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drawings/drawing126.xml" ContentType="application/vnd.openxmlformats-officedocument.drawing+xml"/>
  <Override PartName="/xl/drawings/drawing127.xml" ContentType="application/vnd.openxmlformats-officedocument.drawing+xml"/>
  <Override PartName="/xl/drawings/drawing128.xml" ContentType="application/vnd.openxmlformats-officedocument.drawing+xml"/>
  <Override PartName="/xl/drawings/drawing129.xml" ContentType="application/vnd.openxmlformats-officedocument.drawing+xml"/>
  <Override PartName="/xl/drawings/drawing130.xml" ContentType="application/vnd.openxmlformats-officedocument.drawing+xml"/>
  <Override PartName="/xl/drawings/drawing131.xml" ContentType="application/vnd.openxmlformats-officedocument.drawing+xml"/>
  <Override PartName="/xl/drawings/drawing132.xml" ContentType="application/vnd.openxmlformats-officedocument.drawing+xml"/>
  <Override PartName="/xl/drawings/drawing133.xml" ContentType="application/vnd.openxmlformats-officedocument.drawing+xml"/>
  <Override PartName="/xl/drawings/drawing134.xml" ContentType="application/vnd.openxmlformats-officedocument.drawing+xml"/>
  <Override PartName="/xl/drawings/drawing135.xml" ContentType="application/vnd.openxmlformats-officedocument.drawing+xml"/>
  <Override PartName="/xl/drawings/drawing136.xml" ContentType="application/vnd.openxmlformats-officedocument.drawing+xml"/>
  <Override PartName="/xl/drawings/drawing137.xml" ContentType="application/vnd.openxmlformats-officedocument.drawing+xml"/>
  <Override PartName="/xl/drawings/drawing138.xml" ContentType="application/vnd.openxmlformats-officedocument.drawing+xml"/>
  <Override PartName="/xl/drawings/drawing139.xml" ContentType="application/vnd.openxmlformats-officedocument.drawing+xml"/>
  <Override PartName="/xl/drawings/drawing140.xml" ContentType="application/vnd.openxmlformats-officedocument.drawing+xml"/>
  <Override PartName="/xl/drawings/drawing141.xml" ContentType="application/vnd.openxmlformats-officedocument.drawing+xml"/>
  <Override PartName="/xl/drawings/drawing142.xml" ContentType="application/vnd.openxmlformats-officedocument.drawing+xml"/>
  <Override PartName="/xl/drawings/drawing143.xml" ContentType="application/vnd.openxmlformats-officedocument.drawing+xml"/>
  <Override PartName="/xl/drawings/drawing144.xml" ContentType="application/vnd.openxmlformats-officedocument.drawing+xml"/>
  <Override PartName="/xl/drawings/drawing145.xml" ContentType="application/vnd.openxmlformats-officedocument.drawing+xml"/>
  <Override PartName="/xl/drawings/drawing146.xml" ContentType="application/vnd.openxmlformats-officedocument.drawing+xml"/>
  <Override PartName="/xl/drawings/drawing147.xml" ContentType="application/vnd.openxmlformats-officedocument.drawing+xml"/>
  <Override PartName="/xl/drawings/drawing148.xml" ContentType="application/vnd.openxmlformats-officedocument.drawing+xml"/>
  <Override PartName="/xl/drawings/drawing149.xml" ContentType="application/vnd.openxmlformats-officedocument.drawing+xml"/>
  <Override PartName="/xl/drawings/drawing150.xml" ContentType="application/vnd.openxmlformats-officedocument.drawing+xml"/>
  <Override PartName="/xl/drawings/drawing151.xml" ContentType="application/vnd.openxmlformats-officedocument.drawing+xml"/>
  <Override PartName="/xl/drawings/drawing152.xml" ContentType="application/vnd.openxmlformats-officedocument.drawing+xml"/>
  <Override PartName="/xl/drawings/drawing153.xml" ContentType="application/vnd.openxmlformats-officedocument.drawing+xml"/>
  <Override PartName="/xl/drawings/drawing154.xml" ContentType="application/vnd.openxmlformats-officedocument.drawing+xml"/>
  <Override PartName="/xl/drawings/drawing155.xml" ContentType="application/vnd.openxmlformats-officedocument.drawing+xml"/>
  <Override PartName="/xl/drawings/drawing156.xml" ContentType="application/vnd.openxmlformats-officedocument.drawing+xml"/>
  <Override PartName="/xl/drawings/drawing157.xml" ContentType="application/vnd.openxmlformats-officedocument.drawing+xml"/>
  <Override PartName="/xl/drawings/drawing158.xml" ContentType="application/vnd.openxmlformats-officedocument.drawing+xml"/>
  <Override PartName="/xl/drawings/drawing159.xml" ContentType="application/vnd.openxmlformats-officedocument.drawing+xml"/>
  <Override PartName="/xl/drawings/drawing160.xml" ContentType="application/vnd.openxmlformats-officedocument.drawing+xml"/>
  <Override PartName="/xl/drawings/drawing161.xml" ContentType="application/vnd.openxmlformats-officedocument.drawing+xml"/>
  <Override PartName="/xl/drawings/drawing162.xml" ContentType="application/vnd.openxmlformats-officedocument.drawing+xml"/>
  <Override PartName="/xl/drawings/drawing163.xml" ContentType="application/vnd.openxmlformats-officedocument.drawing+xml"/>
  <Override PartName="/xl/drawings/drawing164.xml" ContentType="application/vnd.openxmlformats-officedocument.drawing+xml"/>
  <Override PartName="/xl/drawings/drawing165.xml" ContentType="application/vnd.openxmlformats-officedocument.drawing+xml"/>
  <Override PartName="/xl/drawings/drawing166.xml" ContentType="application/vnd.openxmlformats-officedocument.drawing+xml"/>
  <Override PartName="/xl/drawings/drawing167.xml" ContentType="application/vnd.openxmlformats-officedocument.drawing+xml"/>
  <Override PartName="/xl/drawings/drawing168.xml" ContentType="application/vnd.openxmlformats-officedocument.drawing+xml"/>
  <Override PartName="/xl/drawings/drawing169.xml" ContentType="application/vnd.openxmlformats-officedocument.drawing+xml"/>
  <Override PartName="/xl/drawings/drawing170.xml" ContentType="application/vnd.openxmlformats-officedocument.drawing+xml"/>
  <Override PartName="/xl/drawings/drawing171.xml" ContentType="application/vnd.openxmlformats-officedocument.drawing+xml"/>
  <Override PartName="/xl/drawings/drawing172.xml" ContentType="application/vnd.openxmlformats-officedocument.drawing+xml"/>
  <Override PartName="/xl/drawings/drawing17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SunitaPfitzner\Public First Dropbox\Policy and Research Team\Polling\Client Tables\XTX Maths Horizons\students\"/>
    </mc:Choice>
  </mc:AlternateContent>
  <xr:revisionPtr revIDLastSave="0" documentId="13_ncr:1_{7CDD3670-91F3-49CE-A44A-B060BC9D883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ver Sheet" sheetId="1" r:id="rId1"/>
    <sheet name="Contents" sheetId="2" r:id="rId2"/>
    <sheet name="Full Results" sheetId="3" r:id="rId3"/>
    <sheet name="Table 1" sheetId="4" r:id="rId4"/>
    <sheet name="Table 2" sheetId="5" r:id="rId5"/>
    <sheet name="Table 3" sheetId="6" r:id="rId6"/>
    <sheet name="Table 4" sheetId="7" r:id="rId7"/>
    <sheet name="Table 5" sheetId="8" r:id="rId8"/>
    <sheet name="Table 6" sheetId="9" r:id="rId9"/>
    <sheet name="Table 7" sheetId="10" r:id="rId10"/>
    <sheet name="Table 8" sheetId="11" r:id="rId11"/>
    <sheet name="Table 9" sheetId="12" r:id="rId12"/>
    <sheet name="Table 10" sheetId="13" r:id="rId13"/>
    <sheet name="Table 11" sheetId="14" r:id="rId14"/>
    <sheet name="Table 12" sheetId="15" r:id="rId15"/>
    <sheet name="Table 13" sheetId="16" r:id="rId16"/>
    <sheet name="Table 14" sheetId="17" r:id="rId17"/>
    <sheet name="Table 15" sheetId="18" r:id="rId18"/>
    <sheet name="Table 16" sheetId="19" r:id="rId19"/>
    <sheet name="Table 17" sheetId="20" r:id="rId20"/>
    <sheet name="Table 18" sheetId="21" r:id="rId21"/>
    <sheet name="Table 19" sheetId="22" r:id="rId22"/>
    <sheet name="Table 20" sheetId="23" r:id="rId23"/>
    <sheet name="Table 21" sheetId="24" r:id="rId24"/>
    <sheet name="Table 22" sheetId="25" r:id="rId25"/>
    <sheet name="Table 23" sheetId="26" r:id="rId26"/>
    <sheet name="Table 24" sheetId="27" r:id="rId27"/>
    <sheet name="Table 25" sheetId="28" r:id="rId28"/>
    <sheet name="Table 26" sheetId="29" r:id="rId29"/>
    <sheet name="Table 27" sheetId="30" r:id="rId30"/>
    <sheet name="Table 28" sheetId="31" r:id="rId31"/>
    <sheet name="Table 29" sheetId="32" r:id="rId32"/>
    <sheet name="Table 30" sheetId="33" r:id="rId33"/>
    <sheet name="Table 31" sheetId="34" r:id="rId34"/>
    <sheet name="Table 32" sheetId="35" r:id="rId35"/>
    <sheet name="Table 33" sheetId="36" r:id="rId36"/>
    <sheet name="Table 34" sheetId="37" r:id="rId37"/>
    <sheet name="Table 35" sheetId="38" r:id="rId38"/>
    <sheet name="Table 36" sheetId="39" r:id="rId39"/>
    <sheet name="Table 37" sheetId="40" r:id="rId40"/>
    <sheet name="Table 38" sheetId="41" r:id="rId41"/>
    <sheet name="Table 39" sheetId="42" r:id="rId42"/>
    <sheet name="Table 40" sheetId="43" r:id="rId43"/>
    <sheet name="Table 41" sheetId="44" r:id="rId44"/>
    <sheet name="Table 42" sheetId="45" r:id="rId45"/>
    <sheet name="Table 43" sheetId="46" r:id="rId46"/>
    <sheet name="Table 44" sheetId="47" r:id="rId47"/>
    <sheet name="Table 45" sheetId="48" r:id="rId48"/>
    <sheet name="Table 46" sheetId="49" r:id="rId49"/>
    <sheet name="Table 47" sheetId="50" r:id="rId50"/>
    <sheet name="Table 48" sheetId="51" r:id="rId51"/>
    <sheet name="Table 49" sheetId="52" r:id="rId52"/>
    <sheet name="Table 50" sheetId="53" r:id="rId53"/>
    <sheet name="Table 51" sheetId="54" r:id="rId54"/>
    <sheet name="Table 52" sheetId="55" r:id="rId55"/>
    <sheet name="Table 53" sheetId="56" r:id="rId56"/>
    <sheet name="Table 54" sheetId="57" r:id="rId57"/>
    <sheet name="Table 55" sheetId="58" r:id="rId58"/>
    <sheet name="Table 56" sheetId="59" r:id="rId59"/>
    <sheet name="Table 57" sheetId="60" r:id="rId60"/>
    <sheet name="Table 58" sheetId="61" r:id="rId61"/>
    <sheet name="Table 59" sheetId="62" r:id="rId62"/>
    <sheet name="Table 60" sheetId="63" r:id="rId63"/>
    <sheet name="Table 61" sheetId="64" r:id="rId64"/>
    <sheet name="Table 62" sheetId="65" r:id="rId65"/>
    <sheet name="Table 63" sheetId="66" r:id="rId66"/>
    <sheet name="Table 64" sheetId="67" r:id="rId67"/>
    <sheet name="Table 65" sheetId="68" r:id="rId68"/>
    <sheet name="Table 66" sheetId="69" r:id="rId69"/>
    <sheet name="Table 67" sheetId="70" r:id="rId70"/>
    <sheet name="Table 68" sheetId="71" r:id="rId71"/>
    <sheet name="Table 69" sheetId="72" r:id="rId72"/>
    <sheet name="Table 70" sheetId="73" r:id="rId73"/>
    <sheet name="Table 71" sheetId="74" r:id="rId74"/>
    <sheet name="Table 72" sheetId="75" r:id="rId75"/>
    <sheet name="Table 73" sheetId="76" r:id="rId76"/>
    <sheet name="Table 74" sheetId="77" r:id="rId77"/>
    <sheet name="Table 75" sheetId="78" r:id="rId78"/>
    <sheet name="Table 76" sheetId="79" r:id="rId79"/>
    <sheet name="Table 77" sheetId="80" r:id="rId80"/>
    <sheet name="Table 78" sheetId="81" r:id="rId81"/>
    <sheet name="Table 79" sheetId="82" r:id="rId82"/>
    <sheet name="Table 80" sheetId="83" r:id="rId83"/>
    <sheet name="Table 81" sheetId="84" r:id="rId84"/>
    <sheet name="Table 82" sheetId="85" r:id="rId85"/>
    <sheet name="Table 83" sheetId="86" r:id="rId86"/>
    <sheet name="Table 84" sheetId="87" r:id="rId87"/>
    <sheet name="Table 85" sheetId="88" r:id="rId88"/>
    <sheet name="Table 86" sheetId="89" r:id="rId89"/>
    <sheet name="Table 87" sheetId="90" r:id="rId90"/>
    <sheet name="Table 88" sheetId="91" r:id="rId91"/>
    <sheet name="Table 89" sheetId="92" r:id="rId92"/>
    <sheet name="Table 90" sheetId="93" r:id="rId93"/>
    <sheet name="Table 91" sheetId="94" r:id="rId94"/>
    <sheet name="Table 92" sheetId="95" r:id="rId95"/>
    <sheet name="Table 93" sheetId="96" r:id="rId96"/>
    <sheet name="Table 94" sheetId="97" r:id="rId97"/>
    <sheet name="Table 95" sheetId="98" r:id="rId98"/>
    <sheet name="Table 96" sheetId="99" r:id="rId99"/>
    <sheet name="Table 97" sheetId="100" r:id="rId100"/>
    <sheet name="Table 98" sheetId="101" r:id="rId101"/>
    <sheet name="Table 99" sheetId="102" r:id="rId102"/>
    <sheet name="Table 100" sheetId="103" r:id="rId103"/>
    <sheet name="Table 101" sheetId="104" r:id="rId104"/>
    <sheet name="Table 102" sheetId="105" r:id="rId105"/>
    <sheet name="Table 103" sheetId="106" r:id="rId106"/>
    <sheet name="Table 104" sheetId="107" r:id="rId107"/>
    <sheet name="Table 105" sheetId="108" r:id="rId108"/>
    <sheet name="Table 106" sheetId="109" r:id="rId109"/>
    <sheet name="Table 107" sheetId="110" r:id="rId110"/>
    <sheet name="Table 108" sheetId="111" r:id="rId111"/>
    <sheet name="Table 109" sheetId="112" r:id="rId112"/>
    <sheet name="Table 110" sheetId="113" r:id="rId113"/>
    <sheet name="Table 111" sheetId="114" r:id="rId114"/>
    <sheet name="Table 112" sheetId="115" r:id="rId115"/>
    <sheet name="Table 113" sheetId="116" r:id="rId116"/>
    <sheet name="Table 114" sheetId="117" r:id="rId117"/>
    <sheet name="Table 115" sheetId="118" r:id="rId118"/>
    <sheet name="Table 116" sheetId="119" r:id="rId119"/>
    <sheet name="Table 117" sheetId="120" r:id="rId120"/>
    <sheet name="Table 118" sheetId="121" r:id="rId121"/>
    <sheet name="Table 119" sheetId="122" r:id="rId122"/>
    <sheet name="Table 120" sheetId="123" r:id="rId123"/>
    <sheet name="Table 121" sheetId="124" r:id="rId124"/>
    <sheet name="Table 122" sheetId="125" r:id="rId125"/>
    <sheet name="Table 123" sheetId="126" r:id="rId126"/>
    <sheet name="Table 124" sheetId="127" r:id="rId127"/>
    <sheet name="Table 125" sheetId="128" r:id="rId128"/>
    <sheet name="Table 126" sheetId="129" r:id="rId129"/>
    <sheet name="Table 127" sheetId="130" r:id="rId130"/>
    <sheet name="Table 128" sheetId="131" r:id="rId131"/>
    <sheet name="Table 129" sheetId="132" r:id="rId132"/>
    <sheet name="Table 130" sheetId="133" r:id="rId133"/>
    <sheet name="Table 131" sheetId="134" r:id="rId134"/>
    <sheet name="Table 132" sheetId="135" r:id="rId135"/>
    <sheet name="Table 133" sheetId="136" r:id="rId136"/>
    <sheet name="Table 134" sheetId="137" r:id="rId137"/>
    <sheet name="Table 135" sheetId="138" r:id="rId138"/>
    <sheet name="Table 136" sheetId="139" r:id="rId139"/>
    <sheet name="Table 137" sheetId="140" r:id="rId140"/>
    <sheet name="Table 138" sheetId="141" r:id="rId141"/>
    <sheet name="Table 139" sheetId="142" r:id="rId142"/>
    <sheet name="Table 140" sheetId="143" r:id="rId143"/>
    <sheet name="Table 141" sheetId="144" r:id="rId144"/>
    <sheet name="Table 142" sheetId="145" r:id="rId145"/>
    <sheet name="Table 143" sheetId="146" r:id="rId146"/>
    <sheet name="Table 144" sheetId="147" r:id="rId147"/>
    <sheet name="Table 145" sheetId="148" r:id="rId148"/>
    <sheet name="Table 146" sheetId="149" r:id="rId149"/>
    <sheet name="Table 147" sheetId="150" r:id="rId150"/>
    <sheet name="Table 148" sheetId="151" r:id="rId151"/>
    <sheet name="Table 149" sheetId="152" r:id="rId152"/>
    <sheet name="Table 150" sheetId="153" r:id="rId153"/>
    <sheet name="Table 151" sheetId="154" r:id="rId154"/>
    <sheet name="Table 152" sheetId="155" r:id="rId155"/>
    <sheet name="Table 153" sheetId="156" r:id="rId156"/>
    <sheet name="Table 154" sheetId="157" r:id="rId157"/>
    <sheet name="Table 155" sheetId="158" r:id="rId158"/>
    <sheet name="Table 156" sheetId="159" r:id="rId159"/>
    <sheet name="Table 157" sheetId="160" r:id="rId160"/>
    <sheet name="Table 158" sheetId="161" r:id="rId161"/>
    <sheet name="Table 159" sheetId="162" r:id="rId162"/>
    <sheet name="Table 160" sheetId="163" r:id="rId163"/>
    <sheet name="Table 161" sheetId="164" r:id="rId164"/>
    <sheet name="Table 162" sheetId="165" r:id="rId165"/>
    <sheet name="Table 163" sheetId="166" r:id="rId166"/>
    <sheet name="Table 164" sheetId="167" r:id="rId167"/>
    <sheet name="Table 165" sheetId="168" r:id="rId168"/>
    <sheet name="Table 166" sheetId="169" r:id="rId169"/>
    <sheet name="Table 167" sheetId="170" r:id="rId170"/>
    <sheet name="Table 168" sheetId="171" r:id="rId171"/>
    <sheet name="Table 169" sheetId="172" r:id="rId172"/>
    <sheet name="Table 170" sheetId="173" r:id="rId17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173" l="1"/>
  <c r="B19" i="172"/>
  <c r="B19" i="171"/>
  <c r="B19" i="170"/>
  <c r="B19" i="169"/>
  <c r="B19" i="168"/>
  <c r="B17" i="167"/>
  <c r="B17" i="166"/>
  <c r="B17" i="165"/>
  <c r="B18" i="164"/>
  <c r="B18" i="163"/>
  <c r="B19" i="162"/>
  <c r="B17" i="161"/>
  <c r="B17" i="160"/>
  <c r="B17" i="159"/>
  <c r="B17" i="158"/>
  <c r="B17" i="157"/>
  <c r="B17" i="156"/>
  <c r="B17" i="155"/>
  <c r="B17" i="154"/>
  <c r="B17" i="153"/>
  <c r="B18" i="152"/>
  <c r="B18" i="151"/>
  <c r="B19" i="150"/>
  <c r="B24" i="149"/>
  <c r="B24" i="148"/>
  <c r="B22" i="147"/>
  <c r="B22" i="146"/>
  <c r="B22" i="145"/>
  <c r="B22" i="144"/>
  <c r="B18" i="143"/>
  <c r="B18" i="142"/>
  <c r="B19" i="141"/>
  <c r="B18" i="140"/>
  <c r="B16" i="139"/>
  <c r="B18" i="138"/>
  <c r="B18" i="137"/>
  <c r="B19" i="136"/>
  <c r="B18" i="135"/>
  <c r="B16" i="134"/>
  <c r="B18" i="133"/>
  <c r="B18" i="132"/>
  <c r="B19" i="131"/>
  <c r="B18" i="130"/>
  <c r="B16" i="129"/>
  <c r="B18" i="128"/>
  <c r="B18" i="127"/>
  <c r="B19" i="126"/>
  <c r="B18" i="125"/>
  <c r="B16" i="124"/>
  <c r="B18" i="123"/>
  <c r="B18" i="122"/>
  <c r="B19" i="121"/>
  <c r="B18" i="120"/>
  <c r="B16" i="119"/>
  <c r="B18" i="118"/>
  <c r="B18" i="117"/>
  <c r="B19" i="116"/>
  <c r="B18" i="115"/>
  <c r="B16" i="114"/>
  <c r="B18" i="113"/>
  <c r="B18" i="112"/>
  <c r="B19" i="111"/>
  <c r="B18" i="110"/>
  <c r="B16" i="109"/>
  <c r="B18" i="108"/>
  <c r="B18" i="107"/>
  <c r="B19" i="106"/>
  <c r="B18" i="105"/>
  <c r="B16" i="104"/>
  <c r="B18" i="103"/>
  <c r="B18" i="102"/>
  <c r="B19" i="101"/>
  <c r="B18" i="100"/>
  <c r="B16" i="99"/>
  <c r="B18" i="98"/>
  <c r="B19" i="97"/>
  <c r="B18" i="96"/>
  <c r="B16" i="95"/>
  <c r="B18" i="94"/>
  <c r="B19" i="93"/>
  <c r="B18" i="92"/>
  <c r="B16" i="91"/>
  <c r="B18" i="90"/>
  <c r="B19" i="89"/>
  <c r="B18" i="88"/>
  <c r="B16" i="87"/>
  <c r="B18" i="86"/>
  <c r="B19" i="85"/>
  <c r="B18" i="84"/>
  <c r="B16" i="83"/>
  <c r="B18" i="82"/>
  <c r="B19" i="81"/>
  <c r="B18" i="80"/>
  <c r="B16" i="79"/>
  <c r="B18" i="78"/>
  <c r="B19" i="77"/>
  <c r="B18" i="76"/>
  <c r="B16" i="75"/>
  <c r="B18" i="74"/>
  <c r="B19" i="73"/>
  <c r="B18" i="72"/>
  <c r="B16" i="71"/>
  <c r="B18" i="70"/>
  <c r="B19" i="69"/>
  <c r="B18" i="68"/>
  <c r="B16" i="67"/>
  <c r="B18" i="66"/>
  <c r="B19" i="65"/>
  <c r="B18" i="64"/>
  <c r="B16" i="63"/>
  <c r="B18" i="62"/>
  <c r="B19" i="61"/>
  <c r="B18" i="60"/>
  <c r="B16" i="59"/>
  <c r="B18" i="58"/>
  <c r="B19" i="57"/>
  <c r="B18" i="56"/>
  <c r="B16" i="55"/>
  <c r="B18" i="54"/>
  <c r="B19" i="53"/>
  <c r="B18" i="52"/>
  <c r="B16" i="51"/>
  <c r="B18" i="50"/>
  <c r="B19" i="49"/>
  <c r="B18" i="48"/>
  <c r="B16" i="47"/>
  <c r="B18" i="46"/>
  <c r="B20" i="45"/>
  <c r="B18" i="44"/>
  <c r="B16" i="43"/>
  <c r="B16" i="42"/>
  <c r="B16" i="41"/>
  <c r="B16" i="40"/>
  <c r="B17" i="39"/>
  <c r="B22" i="38"/>
  <c r="B22" i="37"/>
  <c r="B22" i="36"/>
  <c r="B22" i="35"/>
  <c r="B22" i="34"/>
  <c r="B17" i="33"/>
  <c r="B17" i="32"/>
  <c r="B17" i="31"/>
  <c r="B16" i="30"/>
  <c r="B17" i="29"/>
  <c r="B16" i="28"/>
  <c r="B25" i="27"/>
  <c r="B23" i="26"/>
  <c r="B19" i="25"/>
  <c r="B19" i="24"/>
  <c r="B19" i="23"/>
  <c r="B19" i="22"/>
  <c r="B19" i="21"/>
  <c r="B19" i="20"/>
  <c r="B19" i="19"/>
  <c r="B19" i="18"/>
  <c r="B19" i="17"/>
  <c r="B19" i="16"/>
  <c r="B19" i="15"/>
  <c r="B19" i="14"/>
  <c r="B19" i="13"/>
  <c r="B19" i="12"/>
  <c r="B19" i="11"/>
  <c r="B19" i="10"/>
  <c r="B19" i="9"/>
  <c r="B19" i="8"/>
  <c r="B19" i="7"/>
  <c r="B19" i="6"/>
  <c r="B19" i="5"/>
  <c r="B19" i="4"/>
  <c r="E178" i="2"/>
  <c r="D178" i="2"/>
  <c r="E177" i="2"/>
  <c r="D177" i="2"/>
  <c r="E176" i="2"/>
  <c r="D176" i="2"/>
  <c r="E175" i="2"/>
  <c r="D175" i="2"/>
  <c r="E174" i="2"/>
  <c r="D174" i="2"/>
  <c r="D173" i="2"/>
  <c r="E172" i="2"/>
  <c r="D172" i="2"/>
  <c r="E171" i="2"/>
  <c r="D171" i="2"/>
  <c r="E170" i="2"/>
  <c r="D170" i="2"/>
  <c r="E169" i="2"/>
  <c r="D169" i="2"/>
  <c r="E168" i="2"/>
  <c r="D168" i="2"/>
  <c r="E167" i="2"/>
  <c r="D167" i="2"/>
  <c r="E166" i="2"/>
  <c r="D166" i="2"/>
  <c r="E165" i="2"/>
  <c r="D165" i="2"/>
  <c r="E164" i="2"/>
  <c r="D164" i="2"/>
  <c r="E163" i="2"/>
  <c r="D163" i="2"/>
  <c r="E162" i="2"/>
  <c r="D162" i="2"/>
  <c r="E161" i="2"/>
  <c r="D161" i="2"/>
  <c r="E160" i="2"/>
  <c r="D160" i="2"/>
  <c r="E159" i="2"/>
  <c r="D159" i="2"/>
  <c r="D158" i="2"/>
  <c r="E157" i="2"/>
  <c r="D157" i="2"/>
  <c r="E156" i="2"/>
  <c r="D156" i="2"/>
  <c r="E155" i="2"/>
  <c r="D155" i="2"/>
  <c r="E154" i="2"/>
  <c r="D154" i="2"/>
  <c r="E153" i="2"/>
  <c r="D153" i="2"/>
  <c r="E152" i="2"/>
  <c r="D152" i="2"/>
  <c r="E151" i="2"/>
  <c r="D151" i="2"/>
  <c r="E150" i="2"/>
  <c r="D150" i="2"/>
  <c r="E149" i="2"/>
  <c r="D149" i="2"/>
  <c r="E148" i="2"/>
  <c r="D148" i="2"/>
  <c r="E147" i="2"/>
  <c r="D147" i="2"/>
  <c r="E146" i="2"/>
  <c r="D146" i="2"/>
  <c r="E145" i="2"/>
  <c r="D145" i="2"/>
  <c r="E144" i="2"/>
  <c r="D144" i="2"/>
  <c r="E143" i="2"/>
  <c r="D143" i="2"/>
  <c r="E142" i="2"/>
  <c r="D142" i="2"/>
  <c r="E141" i="2"/>
  <c r="D141" i="2"/>
  <c r="E140" i="2"/>
  <c r="D140" i="2"/>
  <c r="E139" i="2"/>
  <c r="D139" i="2"/>
  <c r="E138" i="2"/>
  <c r="D138" i="2"/>
  <c r="E137" i="2"/>
  <c r="D137" i="2"/>
  <c r="E136" i="2"/>
  <c r="D136" i="2"/>
  <c r="E135" i="2"/>
  <c r="D135" i="2"/>
  <c r="E134" i="2"/>
  <c r="D134" i="2"/>
  <c r="E133" i="2"/>
  <c r="D133" i="2"/>
  <c r="E132" i="2"/>
  <c r="D132" i="2"/>
  <c r="E131" i="2"/>
  <c r="D131" i="2"/>
  <c r="E130" i="2"/>
  <c r="D130" i="2"/>
  <c r="E129" i="2"/>
  <c r="D129" i="2"/>
  <c r="E128" i="2"/>
  <c r="D128" i="2"/>
  <c r="E127" i="2"/>
  <c r="D127" i="2"/>
  <c r="E126" i="2"/>
  <c r="D126" i="2"/>
  <c r="E125" i="2"/>
  <c r="D125" i="2"/>
  <c r="E124" i="2"/>
  <c r="D124" i="2"/>
  <c r="E123" i="2"/>
  <c r="D123" i="2"/>
  <c r="E122" i="2"/>
  <c r="D122" i="2"/>
  <c r="E121" i="2"/>
  <c r="D121" i="2"/>
  <c r="E120" i="2"/>
  <c r="D120" i="2"/>
  <c r="E119" i="2"/>
  <c r="D119" i="2"/>
  <c r="E118" i="2"/>
  <c r="D118" i="2"/>
  <c r="E117" i="2"/>
  <c r="D117" i="2"/>
  <c r="E116" i="2"/>
  <c r="D116" i="2"/>
  <c r="E115" i="2"/>
  <c r="D115" i="2"/>
  <c r="E114" i="2"/>
  <c r="D114" i="2"/>
  <c r="E113" i="2"/>
  <c r="D113" i="2"/>
  <c r="E112" i="2"/>
  <c r="D112" i="2"/>
  <c r="E111" i="2"/>
  <c r="D111" i="2"/>
  <c r="E110" i="2"/>
  <c r="D110" i="2"/>
  <c r="E109" i="2"/>
  <c r="D109" i="2"/>
  <c r="E108" i="2"/>
  <c r="D108" i="2"/>
  <c r="E107" i="2"/>
  <c r="D107" i="2"/>
  <c r="E106" i="2"/>
  <c r="D106" i="2"/>
  <c r="E105" i="2"/>
  <c r="D105" i="2"/>
  <c r="E104" i="2"/>
  <c r="D104" i="2"/>
  <c r="E103" i="2"/>
  <c r="D103" i="2"/>
  <c r="E102" i="2"/>
  <c r="D102" i="2"/>
  <c r="E101" i="2"/>
  <c r="D101" i="2"/>
  <c r="E100" i="2"/>
  <c r="D100" i="2"/>
  <c r="E99" i="2"/>
  <c r="D99" i="2"/>
  <c r="E98" i="2"/>
  <c r="D98" i="2"/>
  <c r="E97" i="2"/>
  <c r="D97" i="2"/>
  <c r="E96" i="2"/>
  <c r="D96" i="2"/>
  <c r="E95" i="2"/>
  <c r="D95" i="2"/>
  <c r="E94" i="2"/>
  <c r="D94" i="2"/>
  <c r="E93" i="2"/>
  <c r="D93" i="2"/>
  <c r="E92" i="2"/>
  <c r="D92" i="2"/>
  <c r="E91" i="2"/>
  <c r="D91" i="2"/>
  <c r="E90" i="2"/>
  <c r="D90" i="2"/>
  <c r="E89" i="2"/>
  <c r="D89" i="2"/>
  <c r="E88" i="2"/>
  <c r="D88" i="2"/>
  <c r="E87" i="2"/>
  <c r="D87" i="2"/>
  <c r="E86" i="2"/>
  <c r="D86" i="2"/>
  <c r="E85" i="2"/>
  <c r="D85" i="2"/>
  <c r="E84" i="2"/>
  <c r="D84" i="2"/>
  <c r="E83" i="2"/>
  <c r="D83" i="2"/>
  <c r="E82" i="2"/>
  <c r="D82" i="2"/>
  <c r="E81" i="2"/>
  <c r="D81" i="2"/>
  <c r="E80" i="2"/>
  <c r="D80" i="2"/>
  <c r="E79" i="2"/>
  <c r="D79" i="2"/>
  <c r="E78" i="2"/>
  <c r="D78" i="2"/>
  <c r="E77" i="2"/>
  <c r="D77" i="2"/>
  <c r="E76" i="2"/>
  <c r="D76" i="2"/>
  <c r="E75" i="2"/>
  <c r="D75" i="2"/>
  <c r="E74" i="2"/>
  <c r="D74" i="2"/>
  <c r="E73" i="2"/>
  <c r="D73" i="2"/>
  <c r="E72" i="2"/>
  <c r="D72" i="2"/>
  <c r="E71" i="2"/>
  <c r="D71" i="2"/>
  <c r="E70" i="2"/>
  <c r="D70" i="2"/>
  <c r="E69" i="2"/>
  <c r="D69" i="2"/>
  <c r="E68" i="2"/>
  <c r="D68" i="2"/>
  <c r="E67" i="2"/>
  <c r="D67" i="2"/>
  <c r="E66" i="2"/>
  <c r="D66" i="2"/>
  <c r="E65" i="2"/>
  <c r="D65" i="2"/>
  <c r="E64" i="2"/>
  <c r="D64" i="2"/>
  <c r="E63" i="2"/>
  <c r="D63" i="2"/>
  <c r="E62" i="2"/>
  <c r="D62" i="2"/>
  <c r="E61" i="2"/>
  <c r="D61" i="2"/>
  <c r="E60" i="2"/>
  <c r="D60" i="2"/>
  <c r="E59" i="2"/>
  <c r="D59" i="2"/>
  <c r="E58" i="2"/>
  <c r="D58" i="2"/>
  <c r="E57" i="2"/>
  <c r="D57" i="2"/>
  <c r="E56" i="2"/>
  <c r="D56" i="2"/>
  <c r="E55" i="2"/>
  <c r="D55" i="2"/>
  <c r="E54" i="2"/>
  <c r="D54" i="2"/>
  <c r="E53" i="2"/>
  <c r="D53" i="2"/>
  <c r="E52" i="2"/>
  <c r="D52" i="2"/>
  <c r="E51" i="2"/>
  <c r="D51" i="2"/>
  <c r="E50" i="2"/>
  <c r="D50" i="2"/>
  <c r="E49" i="2"/>
  <c r="D49" i="2"/>
  <c r="E48" i="2"/>
  <c r="D48" i="2"/>
  <c r="E47" i="2"/>
  <c r="D47" i="2"/>
  <c r="E46" i="2"/>
  <c r="D46" i="2"/>
  <c r="D45" i="2"/>
  <c r="E44" i="2"/>
  <c r="D44" i="2"/>
  <c r="E43" i="2"/>
  <c r="D43" i="2"/>
  <c r="E42" i="2"/>
  <c r="D42" i="2"/>
  <c r="E41" i="2"/>
  <c r="D41" i="2"/>
  <c r="E40" i="2"/>
  <c r="D40" i="2"/>
  <c r="D39" i="2"/>
  <c r="E38" i="2"/>
  <c r="D38" i="2"/>
  <c r="E37" i="2"/>
  <c r="D37" i="2"/>
  <c r="E36" i="2"/>
  <c r="D36" i="2"/>
  <c r="E35" i="2"/>
  <c r="D35" i="2"/>
  <c r="E34" i="2"/>
  <c r="D34" i="2"/>
  <c r="E33" i="2"/>
  <c r="D33" i="2"/>
  <c r="E32" i="2"/>
  <c r="D32" i="2"/>
  <c r="E31" i="2"/>
  <c r="D31" i="2"/>
  <c r="E30" i="2"/>
  <c r="D30" i="2"/>
  <c r="E29" i="2"/>
  <c r="D29" i="2"/>
  <c r="E28" i="2"/>
  <c r="D28" i="2"/>
  <c r="E27" i="2"/>
  <c r="D27" i="2"/>
  <c r="E26" i="2"/>
  <c r="D26" i="2"/>
  <c r="E25" i="2"/>
  <c r="D25" i="2"/>
  <c r="E24" i="2"/>
  <c r="D24" i="2"/>
  <c r="E23" i="2"/>
  <c r="D23" i="2"/>
  <c r="E22" i="2"/>
  <c r="D22" i="2"/>
  <c r="E21" i="2"/>
  <c r="D21" i="2"/>
  <c r="E20" i="2"/>
  <c r="D20" i="2"/>
  <c r="D19" i="2"/>
  <c r="E18" i="2"/>
  <c r="D18" i="2"/>
  <c r="E17" i="2"/>
  <c r="D17" i="2"/>
  <c r="E16" i="2"/>
  <c r="D16" i="2"/>
  <c r="E15" i="2"/>
  <c r="D15" i="2"/>
  <c r="E14" i="2"/>
  <c r="D14" i="2"/>
  <c r="E13" i="2"/>
  <c r="D13" i="2"/>
  <c r="E12" i="2"/>
  <c r="D12" i="2"/>
  <c r="E11" i="2"/>
  <c r="D11" i="2"/>
  <c r="E10" i="2"/>
  <c r="D10" i="2"/>
  <c r="D9" i="2"/>
  <c r="D6" i="2"/>
  <c r="F20" i="1"/>
</calcChain>
</file>

<file path=xl/sharedStrings.xml><?xml version="1.0" encoding="utf-8"?>
<sst xmlns="http://schemas.openxmlformats.org/spreadsheetml/2006/main" count="24718" uniqueCount="399">
  <si>
    <t>Public First Poll for Maths Horizons - Students</t>
  </si>
  <si>
    <t>Fieldwork:</t>
  </si>
  <si>
    <t>6th Dec - 15th Dec 2024</t>
  </si>
  <si>
    <t xml:space="preserve">Interview Method: </t>
  </si>
  <si>
    <t>Online Survey</t>
  </si>
  <si>
    <t>Population represented:</t>
  </si>
  <si>
    <t>Students in England age 5-18</t>
  </si>
  <si>
    <t>Sample size:</t>
  </si>
  <si>
    <t>Methodology:</t>
  </si>
  <si>
    <t>All results are weighted using Iterative Proportional Fitting, or 'Raking'. The results are  weighted by age, gender, and region to Nationally Representative Proportions</t>
  </si>
  <si>
    <t>Public First is a member of the BPC and abides by its rules. For more information please contact the Public First polling team:</t>
  </si>
  <si>
    <t>Table of Contents</t>
  </si>
  <si>
    <t>Individual Tables</t>
  </si>
  <si>
    <t>Full Result Row</t>
  </si>
  <si>
    <t>Question Base</t>
  </si>
  <si>
    <t/>
  </si>
  <si>
    <t>Total</t>
  </si>
  <si>
    <t>Male</t>
  </si>
  <si>
    <t>Female</t>
  </si>
  <si>
    <t>Unweighted</t>
  </si>
  <si>
    <t>Weighted</t>
  </si>
  <si>
    <t>Reception to Year 3</t>
  </si>
  <si>
    <t>Year 4 to Year 6</t>
  </si>
  <si>
    <t>Year 7 to Year 13</t>
  </si>
  <si>
    <t>Primary</t>
  </si>
  <si>
    <t>Secondary</t>
  </si>
  <si>
    <t>Year 12 or 13</t>
  </si>
  <si>
    <t>State</t>
  </si>
  <si>
    <t>Private or grammar</t>
  </si>
  <si>
    <t>London</t>
  </si>
  <si>
    <t>South East</t>
  </si>
  <si>
    <t>South West</t>
  </si>
  <si>
    <t>East of England</t>
  </si>
  <si>
    <t>East Midlands</t>
  </si>
  <si>
    <t>West Midlands</t>
  </si>
  <si>
    <t>Yorkshire and the Humber</t>
  </si>
  <si>
    <t>North East</t>
  </si>
  <si>
    <t>North West</t>
  </si>
  <si>
    <t>Expecting 6 or below</t>
  </si>
  <si>
    <t>Expecting 7 or above</t>
  </si>
  <si>
    <t>Received 6 or below</t>
  </si>
  <si>
    <t>Received 7 or above</t>
  </si>
  <si>
    <t>Maths or Further Maths A-Level</t>
  </si>
  <si>
    <t>Core Maths or T-Level</t>
  </si>
  <si>
    <t>Yes</t>
  </si>
  <si>
    <t>No</t>
  </si>
  <si>
    <t>More confident</t>
  </si>
  <si>
    <t>Less confident</t>
  </si>
  <si>
    <t>Gender</t>
  </si>
  <si>
    <t>School Year</t>
  </si>
  <si>
    <t>School Stage</t>
  </si>
  <si>
    <t>School Type</t>
  </si>
  <si>
    <t>Region</t>
  </si>
  <si>
    <t>Maths GCSE</t>
  </si>
  <si>
    <t>A Level Maths or Other</t>
  </si>
  <si>
    <t>Confidence in maths</t>
  </si>
  <si>
    <t xml:space="preserve"> Maths</t>
  </si>
  <si>
    <t xml:space="preserve"> English</t>
  </si>
  <si>
    <t xml:space="preserve"> Computing</t>
  </si>
  <si>
    <t xml:space="preserve"> Sciences</t>
  </si>
  <si>
    <t xml:space="preserve"> PE / Sports / Games</t>
  </si>
  <si>
    <t xml:space="preserve"> History</t>
  </si>
  <si>
    <t xml:space="preserve"> Geography</t>
  </si>
  <si>
    <t xml:space="preserve"> Art and design</t>
  </si>
  <si>
    <t xml:space="preserve"> Foreign languages</t>
  </si>
  <si>
    <t>Enjoy a lot</t>
  </si>
  <si>
    <t>Enjoy</t>
  </si>
  <si>
    <t>Enjoy a little</t>
  </si>
  <si>
    <t>Do not enjoy</t>
  </si>
  <si>
    <t>N/A - I do not take this subject in school</t>
  </si>
  <si>
    <t>Don't know</t>
  </si>
  <si>
    <t>Grid Summary: How much do you enjoy these subjects at school?</t>
  </si>
  <si>
    <t>Fieldwork:  6th Dec - 15th Dec 2024</t>
  </si>
  <si>
    <t>Data weighted by age, gender, and region to Nationally Representative Proportions</t>
  </si>
  <si>
    <t>BASE: Secondary or sixth form student</t>
  </si>
  <si>
    <t>0</t>
  </si>
  <si>
    <t>*</t>
  </si>
  <si>
    <t>How much do you enjoy these subjects at school?: Maths</t>
  </si>
  <si>
    <t>How much do you enjoy these subjects at school?: English</t>
  </si>
  <si>
    <t>How much do you enjoy these subjects at school?: Computing</t>
  </si>
  <si>
    <t>How much do you enjoy these subjects at school?: Sciences</t>
  </si>
  <si>
    <t>How much do you enjoy these subjects at school?: PE / Sports / Games</t>
  </si>
  <si>
    <t>How much do you enjoy these subjects at school?: History</t>
  </si>
  <si>
    <t>How much do you enjoy these subjects at school?: Geography</t>
  </si>
  <si>
    <t>How much do you enjoy these subjects at school?: Art and design</t>
  </si>
  <si>
    <t>How much do you enjoy these subjects at school?: Foreign languages</t>
  </si>
  <si>
    <t xml:space="preserve"> Physics</t>
  </si>
  <si>
    <t xml:space="preserve"> Biology</t>
  </si>
  <si>
    <t xml:space="preserve"> Chemistry</t>
  </si>
  <si>
    <t>BASE: Primary school student</t>
  </si>
  <si>
    <t>How much do you enjoy these subjects at school?: Physics</t>
  </si>
  <si>
    <t>How much do you enjoy these subjects at school?: Biology</t>
  </si>
  <si>
    <t>How much do you enjoy these subjects at school?: Chemistry</t>
  </si>
  <si>
    <t>Maths</t>
  </si>
  <si>
    <t>English</t>
  </si>
  <si>
    <t>Computing</t>
  </si>
  <si>
    <t>Sciences</t>
  </si>
  <si>
    <t>PE / Sports / Games</t>
  </si>
  <si>
    <t>Art and design</t>
  </si>
  <si>
    <t>Foreign languages</t>
  </si>
  <si>
    <t>Geography</t>
  </si>
  <si>
    <t>History</t>
  </si>
  <si>
    <t>What school subjects do you expect will help you most when you are an adult? Select up to three</t>
  </si>
  <si>
    <t>Biology</t>
  </si>
  <si>
    <t>Physics</t>
  </si>
  <si>
    <t>Chemistry</t>
  </si>
  <si>
    <t>Which of the following school subjects do you expect will help you most when you have left education? Select up to three</t>
  </si>
  <si>
    <t xml:space="preserve">  Are you expecting to take a Maths GCSE?  </t>
  </si>
  <si>
    <t>7, 8 or 9</t>
  </si>
  <si>
    <t>4, 5 or 6</t>
  </si>
  <si>
    <t>1, 2 or 3</t>
  </si>
  <si>
    <t xml:space="preserve"> You said you are expecting to take a Maths GCSE. What grade are you expecting to receive?</t>
  </si>
  <si>
    <t xml:space="preserve"> Have you completed a Maths GCSE?  </t>
  </si>
  <si>
    <t xml:space="preserve"> You said you have taken a Maths GCSE. What grade did you receive?</t>
  </si>
  <si>
    <t>BASE: Expecting to take Maths GCSE</t>
  </si>
  <si>
    <t>Yes, taking Maths A-Level</t>
  </si>
  <si>
    <t>Yes, taking Maths and Further Maths A-Level</t>
  </si>
  <si>
    <t>No, not taking Maths A-Level</t>
  </si>
  <si>
    <t xml:space="preserve"> Are you currently taking Maths or Further Maths A-Level?</t>
  </si>
  <si>
    <t>Taking Core Maths</t>
  </si>
  <si>
    <t>Studying maths as part of your T-Level, Apprenticeship or vocational qualification</t>
  </si>
  <si>
    <t>Neither of the above</t>
  </si>
  <si>
    <t xml:space="preserve"> Are you doing either of the following?</t>
  </si>
  <si>
    <t>BASE: Year 12 or 13</t>
  </si>
  <si>
    <t xml:space="preserve"> I enjoy using numbers</t>
  </si>
  <si>
    <t xml:space="preserve"> I understand maths more quickly than my classmates</t>
  </si>
  <si>
    <t xml:space="preserve"> I prefer working with words than numbers</t>
  </si>
  <si>
    <t xml:space="preserve"> Maths is one of my favourite subjects</t>
  </si>
  <si>
    <t>Strongly Agree</t>
  </si>
  <si>
    <t>Agree</t>
  </si>
  <si>
    <t>Neither Agree nor Disagree</t>
  </si>
  <si>
    <t>Disagree</t>
  </si>
  <si>
    <t>Strongly Disagree</t>
  </si>
  <si>
    <t>Don’t know</t>
  </si>
  <si>
    <t>Total Agree:</t>
  </si>
  <si>
    <t>Total Disagree:</t>
  </si>
  <si>
    <t>Net:</t>
  </si>
  <si>
    <t>Grid Summary: Do you agree or disagree with the following?</t>
  </si>
  <si>
    <t>BASE: All Respondents</t>
  </si>
  <si>
    <t>Do you agree or disagree with the following?: I understand maths more quickly than my classmates</t>
  </si>
  <si>
    <t>Do you agree or disagree with the following?: Maths is one of my favourite subjects</t>
  </si>
  <si>
    <t>Do you agree or disagree with the following?: I enjoy using numbers</t>
  </si>
  <si>
    <t>Do you agree or disagree with the following?: I prefer working with words than numbers</t>
  </si>
  <si>
    <t>The amount we learn in maths at school is too much</t>
  </si>
  <si>
    <t>The amount we learn in maths at school is not enough</t>
  </si>
  <si>
    <t>The amount we learn in maths at school is about right</t>
  </si>
  <si>
    <t xml:space="preserve"> Which of these comes closest to your view?</t>
  </si>
  <si>
    <t xml:space="preserve"> I got stuck on a maths puzzle or question</t>
  </si>
  <si>
    <t xml:space="preserve"> I asked my parents for help on my maths homework</t>
  </si>
  <si>
    <t>This has happened to me in the last month</t>
  </si>
  <si>
    <t>This has not happened to me in the last month</t>
  </si>
  <si>
    <t>Grid Summary: Which of these has happened to you in the last month?</t>
  </si>
  <si>
    <t>Which of these has happened to you in the last month?: I got stuck on a maths puzzle or question</t>
  </si>
  <si>
    <t>Which of these has happened to you in the last month?: I asked my parents for help on my maths homework</t>
  </si>
  <si>
    <t xml:space="preserve"> In your time at school, have you learnt anything about doing sums and calculations (+, -, x, ÷)?</t>
  </si>
  <si>
    <t>A lot of time</t>
  </si>
  <si>
    <t>A moderate amount of time</t>
  </si>
  <si>
    <t>Not much time</t>
  </si>
  <si>
    <t>A small amount of time</t>
  </si>
  <si>
    <t xml:space="preserve"> You said you have learnt about doing sums and calculations (+, -, x, ÷). How much time have you spent learning about this?</t>
  </si>
  <si>
    <t>Very confident</t>
  </si>
  <si>
    <t>Confident</t>
  </si>
  <si>
    <t>Not that confident</t>
  </si>
  <si>
    <t>Not confident at all</t>
  </si>
  <si>
    <t>Total Confident:</t>
  </si>
  <si>
    <t xml:space="preserve"> You said you have learnt about doing sums and calculations (+, -, x, ÷). How confident are you in this topic?</t>
  </si>
  <si>
    <t>I really enjoyed this</t>
  </si>
  <si>
    <t>I enjoyed this</t>
  </si>
  <si>
    <t>I enjoyed this a little</t>
  </si>
  <si>
    <t>I did not enjoy this at all</t>
  </si>
  <si>
    <t xml:space="preserve"> You said you have learnt about doing sums and calculations (+, -, x, ÷). How much did you enjoy learning about this?</t>
  </si>
  <si>
    <t xml:space="preserve"> In your time at school, have you learnt anything about fractions like a half and a quarter?</t>
  </si>
  <si>
    <t xml:space="preserve"> You said you have learnt about fractions like a half and a quarter. How much time have you spent learning about this?</t>
  </si>
  <si>
    <t xml:space="preserve">BASE: Reception to Year 3 students </t>
  </si>
  <si>
    <t xml:space="preserve"> You said you have learnt about fractions like a half and a quarter. How confident are you in this topic?</t>
  </si>
  <si>
    <t xml:space="preserve"> You said you have learnt about fractions like a half and a quarter. How much did you enjoy learning about this?</t>
  </si>
  <si>
    <t xml:space="preserve"> In your time at school, have you learnt anything about measuring and guessing things like lengths and minutes?</t>
  </si>
  <si>
    <t>BASE: Learned about sums (R-P3)</t>
  </si>
  <si>
    <t xml:space="preserve"> You said you have learnt about measuring and guessing things like lengths and minutes. How much time have you spent learning about this?</t>
  </si>
  <si>
    <t>BASE: Learned about fractions (R-P3)</t>
  </si>
  <si>
    <t xml:space="preserve"> You said you have learnt about measuring and guessing things like lengths and minutes. How confident are you in this topic?</t>
  </si>
  <si>
    <t xml:space="preserve"> You said you have learnt about measuring and guessing things like lengths and minutes. How much did you enjoy learning about this?</t>
  </si>
  <si>
    <t xml:space="preserve"> In your time at school, have you learnt anything about recognising and drawing shapes (like squares, triangles, circles, cubes)?</t>
  </si>
  <si>
    <t xml:space="preserve"> You said you have learnt about recognising and drawing shapes (like squares, triangles, circles, cubes). How much time have you spent learning about this?</t>
  </si>
  <si>
    <t xml:space="preserve"> You said you have learnt about recognising and drawing shapes (like squares, triangles, circles, cubes). How confident are you in this topic?</t>
  </si>
  <si>
    <t xml:space="preserve"> You said you have learnt about recognising and drawing shapes (like squares, triangles, circles, cubes). How much did you enjoy learning about this?</t>
  </si>
  <si>
    <t xml:space="preserve"> In your time at school, have you learnt anything about using charts (like pie charts, bar charts)?</t>
  </si>
  <si>
    <t xml:space="preserve"> You said you have learnt about using charts (like pie charts, bar charts). How much time have you spent learning about this?</t>
  </si>
  <si>
    <t>BASE: Learned about measuring (R-P3)</t>
  </si>
  <si>
    <t xml:space="preserve"> You said you have learnt about using charts (like pie charts, bar charts). How confident are you in this topic?</t>
  </si>
  <si>
    <t xml:space="preserve"> You said you have learnt about using charts (like pie charts, bar charts). How much did you enjoy learning about this?</t>
  </si>
  <si>
    <t xml:space="preserve"> In your time at school, have you learnt anything about working out what comes next in a pattern?</t>
  </si>
  <si>
    <t xml:space="preserve"> You said you have learnt about working out what comes next in a pattern. How much time have you spent learning about this?</t>
  </si>
  <si>
    <t>BASE: Learned about shapes (R-P3)</t>
  </si>
  <si>
    <t xml:space="preserve"> You said you have learnt about working out what comes next in a pattern. How confident are you in this topic?</t>
  </si>
  <si>
    <t xml:space="preserve"> You said you have learnt about working out what comes next in a pattern. How much did you enjoy learning about this?</t>
  </si>
  <si>
    <t xml:space="preserve"> In your time at school, have you learnt anything about finding different ways to solve puzzles and problems?</t>
  </si>
  <si>
    <t xml:space="preserve"> You said you have learnt about finding different ways to solve puzzles and problems. How much time have you spent learning about this?</t>
  </si>
  <si>
    <t>BASE: Learned about charts (R-P3)</t>
  </si>
  <si>
    <t xml:space="preserve"> You said you have learnt about finding different ways to solve puzzles and problems. How confident are you in this topic?</t>
  </si>
  <si>
    <t xml:space="preserve"> You said you have learnt about finding different ways to solve puzzles and problems. How much did you enjoy learning about this?</t>
  </si>
  <si>
    <t xml:space="preserve"> In your time at school, have you learnt anything about doing mental sums and calculations (+, -, x, ÷)?</t>
  </si>
  <si>
    <t>BASE: Learned about patterns (R-P3)</t>
  </si>
  <si>
    <t xml:space="preserve"> You said you have learnt about doing mental sums and calculations (+, -, x, ÷). How much time have you spent learning about this?</t>
  </si>
  <si>
    <t>BASE: Learned about puzzles (R-P3)</t>
  </si>
  <si>
    <t xml:space="preserve"> You said you have learnt about doing mental sums and calculations (+, -, x, ÷). How confident are you in this topic?</t>
  </si>
  <si>
    <t xml:space="preserve"> You said you have learnt about doing mental sums and calculations (+, -, x, ÷). How much did you enjoy learning about this?</t>
  </si>
  <si>
    <t xml:space="preserve"> In your time at school, have you learnt anything about fractions (½) ,  percentages (%) and decimals (2.6)?</t>
  </si>
  <si>
    <t xml:space="preserve"> You said you have learnt about fractions (½) ,  percentages (%) and decimals (2.6). How much time have you spent learning about this?</t>
  </si>
  <si>
    <t>BASE: Year 4 to Year 6</t>
  </si>
  <si>
    <t xml:space="preserve"> You said you have learnt about fractions (½) ,  percentages (%) and decimals (2.6). How confident are you in this topic?</t>
  </si>
  <si>
    <t xml:space="preserve"> You said you have learnt about fractions (½) ,  percentages (%) and decimals (2.6). How much did you enjoy learning about this?</t>
  </si>
  <si>
    <t xml:space="preserve"> In your time at school, have you learnt anything about measuring, estimating, time and money?</t>
  </si>
  <si>
    <t xml:space="preserve"> You said you have learnt about measuring, estimating, time and money. How much time have you spent learning about this?</t>
  </si>
  <si>
    <t>BASE: Learned about mental sums (P4-6)</t>
  </si>
  <si>
    <t xml:space="preserve"> You said you have learnt about measuring, estimating, time and money. How confident are you in this topic?</t>
  </si>
  <si>
    <t xml:space="preserve"> You said you have learnt about measuring, estimating, time and money. How much did you enjoy learning about this?</t>
  </si>
  <si>
    <t xml:space="preserve"> In your time at school, have you learnt anything about recognising and drawing shapes, patterns, coordinates, angles, area, volume, symmetry?</t>
  </si>
  <si>
    <t xml:space="preserve"> You said you have learnt about recognising and drawing shapes, patterns, coordinates, angles, area, volume, symmetry. How much time have you spent learning about this?</t>
  </si>
  <si>
    <t>BASE: Learned about fractions/percentages (P4-6)</t>
  </si>
  <si>
    <t xml:space="preserve"> You said you have learnt about recognising and drawing shapes, patterns, coordinates, angles, area, volume, symmetry. How confident are you in this topic?</t>
  </si>
  <si>
    <t xml:space="preserve"> You said you have learnt about recognising and drawing shapes, patterns, coordinates, angles, area, volume, symmetry. How much did you enjoy learning about this?</t>
  </si>
  <si>
    <t xml:space="preserve"> In your time at school, have you learnt anything about data, tables, charts and graphs?</t>
  </si>
  <si>
    <t xml:space="preserve"> You said you have learnt about data, tables, charts and graphs. How much time have you spent learning about this?</t>
  </si>
  <si>
    <t>BASE: Learned about estimating (P4-6)</t>
  </si>
  <si>
    <t xml:space="preserve"> You said you have learnt about data, tables, charts and graphs. How confident are you in this topic?</t>
  </si>
  <si>
    <t xml:space="preserve"> You said you have learnt about data, tables, charts and graphs. How much did you enjoy learning about this?</t>
  </si>
  <si>
    <t xml:space="preserve"> In your time at school, have you learnt anything about patterns, sequences?</t>
  </si>
  <si>
    <t xml:space="preserve"> You said you have learnt about patterns, sequences. How much time have you spent learning about this?</t>
  </si>
  <si>
    <t>BASE: Learned about geometry (P4-6)</t>
  </si>
  <si>
    <t xml:space="preserve"> You said you have learnt about patterns, sequences. How confident are you in this topic?</t>
  </si>
  <si>
    <t xml:space="preserve"> You said you have learnt about patterns, sequences. How much did you enjoy learning about this?</t>
  </si>
  <si>
    <t xml:space="preserve"> In your time at school, have you learnt anything about deeper problems, investigations, problem-solving?</t>
  </si>
  <si>
    <t xml:space="preserve"> You said you have learnt about deeper problems, investigations, problem-solving. How much time have you spent learning about this?</t>
  </si>
  <si>
    <t>BASE: Learned about data/charts (P4-6)</t>
  </si>
  <si>
    <t xml:space="preserve"> You said you have learnt about deeper problems, investigations, problem-solving. How confident are you in this topic?</t>
  </si>
  <si>
    <t xml:space="preserve"> You said you have learnt about deeper problems, investigations, problem-solving. How much did you enjoy learning about this?</t>
  </si>
  <si>
    <t xml:space="preserve"> In your time at school, have you learnt anything about adding, subtracting, multiplying, dividing, using fractions, decimals, percentages, and ratios?</t>
  </si>
  <si>
    <t xml:space="preserve"> You said you have learnt about adding, subtracting, multiplying, dividing, using fractions, decimals, percentages, and ratios. How much time have you spent learning about this?</t>
  </si>
  <si>
    <t>BASE: Learned about patterns/sequences (P4-6)</t>
  </si>
  <si>
    <t xml:space="preserve"> You said you have learnt about adding, subtracting, multiplying, dividing, using fractions, decimals, percentages, and ratios. How confident are you in this topic?</t>
  </si>
  <si>
    <t xml:space="preserve"> You said you have learnt about adding, subtracting, multiplying, dividing, using fractions, decimals, percentages, and ratios. How much did you enjoy learning about this?</t>
  </si>
  <si>
    <t>Very useful</t>
  </si>
  <si>
    <t>Useful</t>
  </si>
  <si>
    <t>Not that useful</t>
  </si>
  <si>
    <t>Not at all useful</t>
  </si>
  <si>
    <t xml:space="preserve"> Do you think that adding, subtracting, multiplying, dividing, using fractions, decimals, percentages, and ratios will be useful for you when you are an adult?</t>
  </si>
  <si>
    <t xml:space="preserve"> In your time at school, have you learnt anything about reading, understanding, and applying diagrams, graphs, tables, spreadsheets, and statistics?</t>
  </si>
  <si>
    <t xml:space="preserve"> You said you have learnt about reading, understanding, and applying diagrams, graphs, tables, spreadsheets, and statistics. How much time have you spent learning about this?</t>
  </si>
  <si>
    <t>BASE: Learned about problem-solving (P4-6)</t>
  </si>
  <si>
    <t xml:space="preserve"> You said you have learnt about reading, understanding, and applying diagrams, graphs, tables, spreadsheets, and statistics. How confident are you in this topic?</t>
  </si>
  <si>
    <t xml:space="preserve"> You said you have learnt about reading, understanding, and applying diagrams, graphs, tables, spreadsheets, and statistics. How much did you enjoy learning about this?</t>
  </si>
  <si>
    <t xml:space="preserve"> Do you think that reading, understanding, and applying diagrams, graphs, tables, spreadsheets, and statistics will be useful for you when you are an adult?</t>
  </si>
  <si>
    <t xml:space="preserve"> In your time at school, have you learnt anything about comparing, estimating, measuring, approximating, and ensuring accuracy of values?</t>
  </si>
  <si>
    <t xml:space="preserve"> You said you have learnt about comparing, estimating, measuring, approximating, and ensuring accuracy of values. How much time have you spent learning about this?</t>
  </si>
  <si>
    <t>BASE: Learned about arithmetic (S)</t>
  </si>
  <si>
    <t xml:space="preserve"> You said you have learnt about comparing, estimating, measuring, approximating, and ensuring accuracy of values. How confident are you in this topic?</t>
  </si>
  <si>
    <t xml:space="preserve"> You said you have learnt about comparing, estimating, measuring, approximating, and ensuring accuracy of values. How much did you enjoy learning about this?</t>
  </si>
  <si>
    <t xml:space="preserve"> Do you think that comparing, estimating, measuring, approximating, and ensuring accuracy of values will be useful for you when you are an adult?</t>
  </si>
  <si>
    <t xml:space="preserve"> In your time at school, have you learnt anything about understanding shapes, volumes, and spatial relationships?</t>
  </si>
  <si>
    <t xml:space="preserve"> You said you have learnt about understanding shapes, volumes, and spatial relationships. How much time have you spent learning about this?</t>
  </si>
  <si>
    <t>BASE: Learned about reading graphs/statistics (S)</t>
  </si>
  <si>
    <t xml:space="preserve"> You said you have learnt about understanding shapes, volumes, and spatial relationships. How confident are you in this topic?</t>
  </si>
  <si>
    <t xml:space="preserve"> You said you have learnt about understanding shapes, volumes, and spatial relationships. How much did you enjoy learning about this?</t>
  </si>
  <si>
    <t xml:space="preserve"> Do you think that understanding shapes, volumes, and spatial relationships will be useful for you when you are an adult?</t>
  </si>
  <si>
    <t xml:space="preserve"> In your time at school, have you learnt anything about using and manipulating algebraic expressions to solve problems, including in spreadsheets?</t>
  </si>
  <si>
    <t xml:space="preserve"> You said you have learnt about using and manipulating algebraic expressions to solve problems, including in spreadsheets. How much time have you spent learning about this?</t>
  </si>
  <si>
    <t>BASE: Learned about approximating (S)</t>
  </si>
  <si>
    <t xml:space="preserve"> You said you have learnt about using and manipulating algebraic expressions to solve problems, including in spreadsheets. How confident are you in this topic?</t>
  </si>
  <si>
    <t xml:space="preserve"> You said you have learnt about using and manipulating algebraic expressions to solve problems, including in spreadsheets. How much did you enjoy learning about this?</t>
  </si>
  <si>
    <t xml:space="preserve"> Do you think that using and manipulating algebraic expressions to solve problems, including in spreadsheets will be useful for you when you are an adult?</t>
  </si>
  <si>
    <t xml:space="preserve"> In your time at school, have you learnt anything about assessing likelihood, randomness, predictions, causation, and uncertainty?</t>
  </si>
  <si>
    <t xml:space="preserve"> You said you have learnt about assessing likelihood, randomness, predictions, causation, and uncertainty. How much time have you spent learning about this?</t>
  </si>
  <si>
    <t>BASE: Learned about shapes/volumes (S)</t>
  </si>
  <si>
    <t xml:space="preserve"> You said you have learnt about assessing likelihood, randomness, predictions, causation, and uncertainty. How confident are you in this topic?</t>
  </si>
  <si>
    <t xml:space="preserve"> You said you have learnt about assessing likelihood, randomness, predictions, causation, and uncertainty. How much did you enjoy learning about this?</t>
  </si>
  <si>
    <t xml:space="preserve"> Do you think that assessing likelihood, randomness, predictions, causation, and uncertainty will be useful for you when you are an adult?</t>
  </si>
  <si>
    <t xml:space="preserve"> In your time at school, have you learnt anything about breaking down problems, finding patterns, critical thinking, and strategic planning?</t>
  </si>
  <si>
    <t xml:space="preserve"> You said you have learnt about breaking down problems, finding patterns, critical thinking, and strategic planning. How much time have you spent learning about this?</t>
  </si>
  <si>
    <t xml:space="preserve"> You said you have learnt about breaking down problems, finding patterns, critical thinking, and strategic planning. How confident are you in this topic?</t>
  </si>
  <si>
    <t xml:space="preserve"> You said you have learnt about breaking down problems, finding patterns, critical thinking, and strategic planning. How much did you enjoy learning about this?</t>
  </si>
  <si>
    <t xml:space="preserve"> Do you think that breaking down problems, finding patterns, critical thinking, and strategic planning will be useful for you when you are an adult?</t>
  </si>
  <si>
    <t xml:space="preserve"> In your time at school, have you learnt anything about budgeting, taxes, percentages, interest rates?</t>
  </si>
  <si>
    <t xml:space="preserve"> You said you have learnt about budgeting, taxes, percentages, interest rates. How much time have you spent learning about this?</t>
  </si>
  <si>
    <t>BASE: Learned about randomness (S)</t>
  </si>
  <si>
    <t xml:space="preserve"> You said you have learnt about budgeting, taxes, percentages, interest rates. How confident are you in this topic?</t>
  </si>
  <si>
    <t xml:space="preserve"> You said you have learnt about budgeting, taxes, percentages, interest rates. How much did you enjoy learning about this?</t>
  </si>
  <si>
    <t xml:space="preserve"> Do you think that budgeting, taxes, percentages, interest rates will be useful for you when you are an adult?</t>
  </si>
  <si>
    <t xml:space="preserve"> In your time at school, have you learnt anything about writing or adapting computer code to solve maths-related problems?</t>
  </si>
  <si>
    <t xml:space="preserve"> You said you have learnt about writing or adapting computer code to solve maths-related problems. How much time have you spent learning about this?</t>
  </si>
  <si>
    <t>BASE: Learned about critical thinking (S)</t>
  </si>
  <si>
    <t xml:space="preserve"> You said you have learnt about writing or adapting computer code to solve maths-related problems. How confident are you in this topic?</t>
  </si>
  <si>
    <t xml:space="preserve"> You said you have learnt about writing or adapting computer code to solve maths-related problems. How much did you enjoy learning about this?</t>
  </si>
  <si>
    <t xml:space="preserve"> Do you think that writing or adapting computer code to solve maths-related problems will be useful for you when you are an adult?</t>
  </si>
  <si>
    <t>Doing sums and calculations (+, -, x, ÷)</t>
  </si>
  <si>
    <t>Fractions like a half and a quarter</t>
  </si>
  <si>
    <t>Measuring and guessing things like lengths and minutes</t>
  </si>
  <si>
    <t>Recognising and drawing shapes (like squares, triangles, circles, cubes)</t>
  </si>
  <si>
    <t>Using charts (like pie charts, bar charts)</t>
  </si>
  <si>
    <t>Working out what comes next in a pattern</t>
  </si>
  <si>
    <t>Finding different ways to solve puzzles and problems</t>
  </si>
  <si>
    <t>I did not enjoy learning about any of these things</t>
  </si>
  <si>
    <t xml:space="preserve"> Thinking about all of the following, which do you most enjoy learning about? </t>
  </si>
  <si>
    <t>BASE: Learned about budgeting (S)</t>
  </si>
  <si>
    <t xml:space="preserve"> And which do you think will be most useful to you when you leave school? </t>
  </si>
  <si>
    <t>Doing mental sums and calculations (+, -, x, ÷)</t>
  </si>
  <si>
    <t>Fractions (½) , percentages (%) and decimals (2.6)</t>
  </si>
  <si>
    <t>Measuring, estimating, time and money</t>
  </si>
  <si>
    <t>Recognising and drawing shapes, patterns, coordinates, angles, area, volume, symmetry</t>
  </si>
  <si>
    <t>Data, tables, charts and graphs</t>
  </si>
  <si>
    <t>Patterns, sequences</t>
  </si>
  <si>
    <t>Deeper problems, investigations, problem-solving</t>
  </si>
  <si>
    <t>BASE: Learned about coding (S)</t>
  </si>
  <si>
    <t>Adding, subtracting, multiplying, dividing, using fractions, decimals, percentages, and ratios</t>
  </si>
  <si>
    <t>Reading, understanding, and applying diagrams, graphs, tables, spreadsheets, and statistics</t>
  </si>
  <si>
    <t>Comparing, estimating, measuring, approximating, and ensuring accuracy of values</t>
  </si>
  <si>
    <t>Understanding shapes, volumes, and spatial relationships</t>
  </si>
  <si>
    <t>Using and manipulating algebraic expressions to solve problems, including in spreadsheets</t>
  </si>
  <si>
    <t>Assessing likelihood, randomness, predictions, causation, and uncertainty</t>
  </si>
  <si>
    <t>Breaking down problems, finding patterns, critical thinking, and strategic planning</t>
  </si>
  <si>
    <t>Budgeting, taxes, percentages, interest rates</t>
  </si>
  <si>
    <t>Writing or adapting computer code to solve maths-related problems</t>
  </si>
  <si>
    <t>BASE: Reception to Y3</t>
  </si>
  <si>
    <t xml:space="preserve"> And which do you think will be most useful to you when you leave school?</t>
  </si>
  <si>
    <t>We are mainly taught how to tackle real world problems</t>
  </si>
  <si>
    <t>We are mainly taught many ways to approach a question</t>
  </si>
  <si>
    <t>We are mainly taught key facts and how to apply them</t>
  </si>
  <si>
    <t>We are mainly given time to practise using the methods we have been shown</t>
  </si>
  <si>
    <t>We are mainly given time to practise applying what we know to new problems</t>
  </si>
  <si>
    <t xml:space="preserve"> Which of these best describes how maths and numbers are taught in your school?</t>
  </si>
  <si>
    <t>Always</t>
  </si>
  <si>
    <t>Most of the time</t>
  </si>
  <si>
    <t>Rarely</t>
  </si>
  <si>
    <t>Never</t>
  </si>
  <si>
    <t xml:space="preserve"> If you understand things in maths more quickly than other people in your class, do your teachers give you harder things to do instead?</t>
  </si>
  <si>
    <t xml:space="preserve"> If you understand things in maths more slowly than other people in your class, do your teachers give you extra support to understand?</t>
  </si>
  <si>
    <t xml:space="preserve"> Using blocks or other physical equipment</t>
  </si>
  <si>
    <t xml:space="preserve"> Playing non-computer games</t>
  </si>
  <si>
    <t xml:space="preserve"> Using pictures or diagrams</t>
  </si>
  <si>
    <t xml:space="preserve"> Using real life examples</t>
  </si>
  <si>
    <t xml:space="preserve"> Learning times tables</t>
  </si>
  <si>
    <t xml:space="preserve"> Using computer games or programmes</t>
  </si>
  <si>
    <t xml:space="preserve"> Explaining a method to someone else</t>
  </si>
  <si>
    <t xml:space="preserve"> Discussing different ways to solve a problem</t>
  </si>
  <si>
    <t>We did this in maths and it helped me learn</t>
  </si>
  <si>
    <t>We did this in maths but it did not help me learn</t>
  </si>
  <si>
    <t>We did not do this in maths</t>
  </si>
  <si>
    <t>Grid Summary: Which of the following have you done in maths at school, and have they helped you learn?</t>
  </si>
  <si>
    <t>Which of the following have you done in maths at school, and have they helped you learn?: Using blocks or other physical equipment</t>
  </si>
  <si>
    <t>Which of the following have you done in maths at school, and have they helped you learn?: Playing non-computer games</t>
  </si>
  <si>
    <t>Which of the following have you done in maths at school, and have they helped you learn?: Using pictures or diagrams</t>
  </si>
  <si>
    <t>Which of the following have you done in maths at school, and have they helped you learn?: Using real life examples</t>
  </si>
  <si>
    <t>Which of the following have you done in maths at school, and have they helped you learn?: Learning times tables</t>
  </si>
  <si>
    <t>Which of the following have you done in maths at school, and have they helped you learn?: Using computer games or programmes</t>
  </si>
  <si>
    <t>Which of the following have you done in maths at school, and have they helped you learn?: Explaining a method to someone else</t>
  </si>
  <si>
    <t>Which of the following have you done in maths at school, and have they helped you learn?: Discussing different ways to solve a problem</t>
  </si>
  <si>
    <t>We are mainly taught how to answer questions quickly and get the right answer</t>
  </si>
  <si>
    <t>We are mainly given time to practise the methods we have been shown</t>
  </si>
  <si>
    <t xml:space="preserve"> Which of these best describes how maths is taught in your school?</t>
  </si>
  <si>
    <t xml:space="preserve"> If you understand things in maths more quickly than other people in your class, do your teachers give you harder things to do instead?  </t>
  </si>
  <si>
    <t>It has mainly repeated things I learned in primary school</t>
  </si>
  <si>
    <t>It has been a mix of repeating things and covering new things</t>
  </si>
  <si>
    <t>It has mainly covered new things</t>
  </si>
  <si>
    <t xml:space="preserve"> Would you say that the maths you have covered in secondary school has repeated things you learned in primary school, or is it covering new things?</t>
  </si>
  <si>
    <t>I expect to use maths a lot in my future career</t>
  </si>
  <si>
    <t>I expect to use some maths in my future career</t>
  </si>
  <si>
    <t>I do not expect to use maths in my future career</t>
  </si>
  <si>
    <t xml:space="preserve"> Do you expect to use maths in your future career?</t>
  </si>
  <si>
    <t>Advances in AI (artificial intelligence) mean it is more important now to learn skills in maths</t>
  </si>
  <si>
    <t>Advances in AI (artificial intelligence) mean it is less important now to learn skills in maths</t>
  </si>
  <si>
    <t>Advances in AI (artificial intelligence) have not really impacted how important it is to learn skills in maths</t>
  </si>
  <si>
    <t xml:space="preserve"> Which of the following comes closest to your view?</t>
  </si>
  <si>
    <t xml:space="preserve"> Knowing how to code</t>
  </si>
  <si>
    <t xml:space="preserve"> Getting a good grade in Maths A Level</t>
  </si>
  <si>
    <t xml:space="preserve"> Being good at maths in general</t>
  </si>
  <si>
    <t xml:space="preserve"> Getting a good grade in Maths GCSE</t>
  </si>
  <si>
    <t xml:space="preserve"> Being good at writing in general</t>
  </si>
  <si>
    <t>Very important</t>
  </si>
  <si>
    <t>Somewhat important</t>
  </si>
  <si>
    <t>Not that important</t>
  </si>
  <si>
    <t>Not at all important</t>
  </si>
  <si>
    <t>Total Important:</t>
  </si>
  <si>
    <t>Grid Summary: How important would you say the following are to your future and career, if at all?</t>
  </si>
  <si>
    <t>How important would you say the following are to your future and career, if at all?: Getting a good grade in Maths GCSE</t>
  </si>
  <si>
    <t>How important would you say the following are to your future and career, if at all?: Getting a good grade in Maths A Level</t>
  </si>
  <si>
    <t>How important would you say the following are to your future and career, if at all?: Knowing how to code</t>
  </si>
  <si>
    <t>How important would you say the following are to your future and career, if at all?: Being good at writing in general</t>
  </si>
  <si>
    <t>How important would you say the following are to your future and career, if at all?: Being good at maths in general</t>
  </si>
  <si>
    <t>Full Results</t>
  </si>
  <si>
    <t>BASE: Reception to Year 3 students</t>
  </si>
  <si>
    <t>BASE: Year 7 to Year 13</t>
  </si>
  <si>
    <t>BASE: Learned about algebraic expressions (S)</t>
  </si>
  <si>
    <t>BASE: Year 7 to Year 9</t>
  </si>
  <si>
    <t>BASE: Taken Maths GCSE</t>
  </si>
  <si>
    <t>BASE: Not taking A-Level Maths</t>
  </si>
  <si>
    <t>BASE: Learned about [aspect]</t>
  </si>
  <si>
    <t>BASE: Year 10 to Year 11</t>
  </si>
  <si>
    <t>BASE: Year 12 to Year 13</t>
  </si>
  <si>
    <t>Any Post-GCSEs Maths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</si>
</sst>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  <scheme val="minor"/>
    </font>
    <font>
      <b/>
      <sz val="18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sz val="13"/>
      <color rgb="FF000000"/>
      <name val="Calibri"/>
      <family val="2"/>
    </font>
    <font>
      <i/>
      <sz val="13"/>
      <color rgb="FF000000"/>
      <name val="Calibri"/>
      <family val="2"/>
    </font>
    <font>
      <i/>
      <u/>
      <sz val="13"/>
      <color theme="1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2"/>
      <color rgb="FF000000"/>
      <name val="Calibri"/>
      <family val="2"/>
    </font>
    <font>
      <b/>
      <i/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8" fillId="0" borderId="0" xfId="0" applyFont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/>
    <xf numFmtId="0" fontId="8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9" fontId="8" fillId="0" borderId="2" xfId="0" applyNumberFormat="1" applyFont="1" applyBorder="1" applyAlignment="1">
      <alignment horizontal="center" vertical="center"/>
    </xf>
    <xf numFmtId="9" fontId="7" fillId="0" borderId="0" xfId="0" applyNumberFormat="1" applyFont="1" applyAlignment="1">
      <alignment horizontal="center" vertical="center"/>
    </xf>
    <xf numFmtId="9" fontId="7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11" fillId="0" borderId="0" xfId="0" applyFont="1"/>
    <xf numFmtId="0" fontId="8" fillId="0" borderId="4" xfId="0" applyFont="1" applyBorder="1" applyAlignment="1">
      <alignment horizontal="center" vertical="center" wrapText="1"/>
    </xf>
    <xf numFmtId="0" fontId="12" fillId="0" borderId="0" xfId="0" applyFont="1"/>
    <xf numFmtId="0" fontId="13" fillId="0" borderId="1" xfId="0" applyFont="1" applyBorder="1"/>
    <xf numFmtId="0" fontId="13" fillId="0" borderId="1" xfId="0" applyFont="1" applyBorder="1" applyAlignment="1">
      <alignment wrapText="1"/>
    </xf>
    <xf numFmtId="0" fontId="8" fillId="0" borderId="0" xfId="0" applyFont="1"/>
    <xf numFmtId="9" fontId="7" fillId="0" borderId="4" xfId="0" applyNumberFormat="1" applyFont="1" applyBorder="1" applyAlignment="1">
      <alignment horizontal="center" vertical="center"/>
    </xf>
    <xf numFmtId="0" fontId="13" fillId="0" borderId="0" xfId="0" applyFont="1"/>
    <xf numFmtId="0" fontId="13" fillId="0" borderId="5" xfId="0" applyFont="1" applyBorder="1"/>
    <xf numFmtId="0" fontId="0" fillId="0" borderId="5" xfId="0" applyBorder="1"/>
    <xf numFmtId="0" fontId="12" fillId="0" borderId="0" xfId="0" applyFont="1" applyAlignment="1">
      <alignment wrapText="1"/>
    </xf>
    <xf numFmtId="2" fontId="8" fillId="0" borderId="1" xfId="0" applyNumberFormat="1" applyFont="1" applyBorder="1" applyAlignment="1">
      <alignment horizontal="center" vertical="center"/>
    </xf>
    <xf numFmtId="2" fontId="7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0" fillId="0" borderId="0" xfId="0"/>
    <xf numFmtId="0" fontId="4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10" fillId="0" borderId="0" xfId="0" applyFont="1" applyAlignment="1">
      <alignment vertical="top" wrapText="1"/>
    </xf>
    <xf numFmtId="0" fontId="8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77" Type="http://schemas.openxmlformats.org/officeDocument/2006/relationships/calcChain" Target="calcChain.xml"/><Relationship Id="rId172" Type="http://schemas.openxmlformats.org/officeDocument/2006/relationships/worksheet" Target="worksheets/sheet172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theme" Target="theme/theme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styles" Target="styles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sharedStrings" Target="sharedStrings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4389120" cy="82296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A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A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A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A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A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A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A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A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A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7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A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7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A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7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A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7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A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8.xml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9.xml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1.xml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2.xm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4.xml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5.xml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6.xml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7.xml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8.xml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9.xml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0.xml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1.xml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2.xml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3.xml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4.xml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5.xml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6.xml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7.xml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8.xml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9.xml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0.xml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1.xml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2.xml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3.xml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4.xml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5.xml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6.xml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7.xml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8.xml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9.xml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0.xml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1.xml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2.xml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3.xml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4.xml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5.xml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6.xml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7.xml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8.xml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9.xml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0.xml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1.xml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2.xml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3.xml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4.xml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5.xml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6.xml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7.xml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8.xml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9.xml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0.xml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1.xml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2.xml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3.xml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4.xml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5.xml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6.xml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7.xml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8.xml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9.xml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0.xml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1.xml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2.xml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3.xml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4.xml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5.xml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6.xml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7.xml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8.xml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9.xml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0.xml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1.xml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2.xml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3.xml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4.xml"/></Relationships>
</file>

<file path=xl/worksheets/_rels/sheet1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5.xml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6.xml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7.xml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8.xml"/></Relationships>
</file>

<file path=xl/worksheets/_rels/sheet1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9.xml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0.xml"/></Relationships>
</file>

<file path=xl/worksheets/_rels/sheet1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1.xml"/></Relationships>
</file>

<file path=xl/worksheets/_rels/sheet1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2.xml"/></Relationships>
</file>

<file path=xl/worksheets/_rels/sheet1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3.xml"/></Relationships>
</file>

<file path=xl/worksheets/_rels/sheet1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4.xml"/></Relationships>
</file>

<file path=xl/worksheets/_rels/sheet1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5.xml"/></Relationships>
</file>

<file path=xl/worksheets/_rels/sheet1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6.xml"/></Relationships>
</file>

<file path=xl/worksheets/_rels/sheet1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7.xml"/></Relationships>
</file>

<file path=xl/worksheets/_rels/sheet1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8.xml"/></Relationships>
</file>

<file path=xl/worksheets/_rels/sheet1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9.xml"/></Relationships>
</file>

<file path=xl/worksheets/_rels/sheet1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0.xml"/></Relationships>
</file>

<file path=xl/worksheets/_rels/sheet1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1.xml"/></Relationships>
</file>

<file path=xl/worksheets/_rels/sheet1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2.xml"/></Relationships>
</file>

<file path=xl/worksheets/_rels/sheet1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F7:M20"/>
  <sheetViews>
    <sheetView showGridLines="0" tabSelected="1" workbookViewId="0"/>
  </sheetViews>
  <sheetFormatPr defaultColWidth="10.90625" defaultRowHeight="14.5" x14ac:dyDescent="0.35"/>
  <sheetData>
    <row r="7" spans="6:12" ht="40" customHeight="1" x14ac:dyDescent="0.35">
      <c r="F7" s="37" t="s">
        <v>0</v>
      </c>
      <c r="G7" s="38"/>
      <c r="H7" s="38"/>
      <c r="I7" s="38"/>
      <c r="J7" s="38"/>
      <c r="K7" s="38"/>
      <c r="L7" s="38"/>
    </row>
    <row r="10" spans="6:12" ht="20" customHeight="1" x14ac:dyDescent="0.45">
      <c r="F10" s="2" t="s">
        <v>1</v>
      </c>
      <c r="K10" s="3" t="s">
        <v>2</v>
      </c>
    </row>
    <row r="11" spans="6:12" ht="20" customHeight="1" x14ac:dyDescent="0.45">
      <c r="F11" s="2" t="s">
        <v>3</v>
      </c>
      <c r="K11" s="3" t="s">
        <v>4</v>
      </c>
    </row>
    <row r="12" spans="6:12" ht="20" customHeight="1" x14ac:dyDescent="0.45">
      <c r="F12" s="2" t="s">
        <v>5</v>
      </c>
      <c r="K12" s="3" t="s">
        <v>6</v>
      </c>
    </row>
    <row r="13" spans="6:12" ht="20" customHeight="1" x14ac:dyDescent="0.45">
      <c r="F13" s="2" t="s">
        <v>7</v>
      </c>
      <c r="K13" s="3">
        <v>2154</v>
      </c>
    </row>
    <row r="14" spans="6:12" ht="18.5" x14ac:dyDescent="0.45">
      <c r="F14" s="2"/>
    </row>
    <row r="15" spans="6:12" ht="18.5" x14ac:dyDescent="0.45">
      <c r="F15" s="2"/>
    </row>
    <row r="16" spans="6:12" ht="18.5" x14ac:dyDescent="0.45">
      <c r="F16" s="2" t="s">
        <v>8</v>
      </c>
    </row>
    <row r="17" spans="6:13" ht="50" customHeight="1" x14ac:dyDescent="0.35">
      <c r="F17" s="39" t="s">
        <v>9</v>
      </c>
      <c r="G17" s="38"/>
      <c r="H17" s="38"/>
      <c r="I17" s="38"/>
      <c r="J17" s="38"/>
      <c r="K17" s="38"/>
      <c r="L17" s="38"/>
      <c r="M17" s="38"/>
    </row>
    <row r="19" spans="6:13" ht="30" customHeight="1" x14ac:dyDescent="0.35">
      <c r="F19" s="4" t="s">
        <v>10</v>
      </c>
    </row>
    <row r="20" spans="6:13" ht="17" x14ac:dyDescent="0.35">
      <c r="F20" s="5" t="str">
        <f>HYPERLINK("mailto:" &amp; "polling@publicfirst.co.uk" &amp; "?subject="&amp; F7, "polling@publicfirst.co.uk")</f>
        <v>polling@publicfirst.co.uk</v>
      </c>
    </row>
  </sheetData>
  <mergeCells count="2">
    <mergeCell ref="F7:L7"/>
    <mergeCell ref="F17:M17"/>
  </mergeCells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2:G178"/>
  <sheetViews>
    <sheetView showGridLines="0" workbookViewId="0"/>
  </sheetViews>
  <sheetFormatPr defaultColWidth="10.90625" defaultRowHeight="14.5" x14ac:dyDescent="0.35"/>
  <cols>
    <col min="4" max="4" width="100.7265625" customWidth="1"/>
    <col min="5" max="5" width="20.7265625" customWidth="1"/>
  </cols>
  <sheetData>
    <row r="2" spans="3:6" ht="40" customHeight="1" x14ac:dyDescent="0.35">
      <c r="D2" s="1" t="s">
        <v>11</v>
      </c>
    </row>
    <row r="6" spans="3:6" x14ac:dyDescent="0.35">
      <c r="D6" s="8" t="str">
        <f>HYPERLINK("#'Full Results'!A1", "Full Results")</f>
        <v>Full Results</v>
      </c>
    </row>
    <row r="8" spans="3:6" x14ac:dyDescent="0.35">
      <c r="D8" s="6" t="s">
        <v>12</v>
      </c>
      <c r="E8" s="6" t="s">
        <v>13</v>
      </c>
      <c r="F8" s="6" t="s">
        <v>14</v>
      </c>
    </row>
    <row r="9" spans="3:6" x14ac:dyDescent="0.35">
      <c r="C9">
        <v>1</v>
      </c>
      <c r="D9" s="8" t="str">
        <f>HYPERLINK("#'Table 1'!A1", "Grid Summary: How much do you enjoy these subjects at school?")</f>
        <v>Grid Summary: How much do you enjoy these subjects at school?</v>
      </c>
      <c r="E9" s="7"/>
      <c r="F9" t="s">
        <v>89</v>
      </c>
    </row>
    <row r="10" spans="3:6" x14ac:dyDescent="0.35">
      <c r="C10">
        <v>2</v>
      </c>
      <c r="D10" s="8" t="str">
        <f>HYPERLINK("#'Table 2'!A1", "How much do you enjoy these subjects at school?: Maths")</f>
        <v>How much do you enjoy these subjects at school?: Maths</v>
      </c>
      <c r="E10" s="18" t="str">
        <f>HYPERLINK("#'Full Results'!A11", "11")</f>
        <v>11</v>
      </c>
      <c r="F10" t="s">
        <v>89</v>
      </c>
    </row>
    <row r="11" spans="3:6" x14ac:dyDescent="0.35">
      <c r="C11">
        <v>3</v>
      </c>
      <c r="D11" s="8" t="str">
        <f>HYPERLINK("#'Table 3'!A1", "How much do you enjoy these subjects at school?: English")</f>
        <v>How much do you enjoy these subjects at school?: English</v>
      </c>
      <c r="E11" s="18" t="str">
        <f>HYPERLINK("#'Full Results'!A20", "20")</f>
        <v>20</v>
      </c>
      <c r="F11" t="s">
        <v>89</v>
      </c>
    </row>
    <row r="12" spans="3:6" x14ac:dyDescent="0.35">
      <c r="C12">
        <v>4</v>
      </c>
      <c r="D12" s="8" t="str">
        <f>HYPERLINK("#'Table 4'!A1", "How much do you enjoy these subjects at school?: Computing")</f>
        <v>How much do you enjoy these subjects at school?: Computing</v>
      </c>
      <c r="E12" s="18" t="str">
        <f>HYPERLINK("#'Full Results'!A29", "29")</f>
        <v>29</v>
      </c>
      <c r="F12" t="s">
        <v>89</v>
      </c>
    </row>
    <row r="13" spans="3:6" x14ac:dyDescent="0.35">
      <c r="C13">
        <v>5</v>
      </c>
      <c r="D13" s="8" t="str">
        <f>HYPERLINK("#'Table 5'!A1", "How much do you enjoy these subjects at school?: Sciences")</f>
        <v>How much do you enjoy these subjects at school?: Sciences</v>
      </c>
      <c r="E13" s="18" t="str">
        <f>HYPERLINK("#'Full Results'!A38", "38")</f>
        <v>38</v>
      </c>
      <c r="F13" t="s">
        <v>89</v>
      </c>
    </row>
    <row r="14" spans="3:6" x14ac:dyDescent="0.35">
      <c r="C14">
        <v>6</v>
      </c>
      <c r="D14" s="8" t="str">
        <f>HYPERLINK("#'Table 6'!A1", "How much do you enjoy these subjects at school?: PE / Sports / Games")</f>
        <v>How much do you enjoy these subjects at school?: PE / Sports / Games</v>
      </c>
      <c r="E14" s="18" t="str">
        <f>HYPERLINK("#'Full Results'!A47", "47")</f>
        <v>47</v>
      </c>
      <c r="F14" t="s">
        <v>89</v>
      </c>
    </row>
    <row r="15" spans="3:6" x14ac:dyDescent="0.35">
      <c r="C15">
        <v>7</v>
      </c>
      <c r="D15" s="8" t="str">
        <f>HYPERLINK("#'Table 7'!A1", "How much do you enjoy these subjects at school?: History")</f>
        <v>How much do you enjoy these subjects at school?: History</v>
      </c>
      <c r="E15" s="18" t="str">
        <f>HYPERLINK("#'Full Results'!A56", "56")</f>
        <v>56</v>
      </c>
      <c r="F15" t="s">
        <v>89</v>
      </c>
    </row>
    <row r="16" spans="3:6" x14ac:dyDescent="0.35">
      <c r="C16">
        <v>8</v>
      </c>
      <c r="D16" s="8" t="str">
        <f>HYPERLINK("#'Table 8'!A1", "How much do you enjoy these subjects at school?: Geography")</f>
        <v>How much do you enjoy these subjects at school?: Geography</v>
      </c>
      <c r="E16" s="18" t="str">
        <f>HYPERLINK("#'Full Results'!A65", "65")</f>
        <v>65</v>
      </c>
      <c r="F16" t="s">
        <v>89</v>
      </c>
    </row>
    <row r="17" spans="3:6" x14ac:dyDescent="0.35">
      <c r="C17">
        <v>9</v>
      </c>
      <c r="D17" s="8" t="str">
        <f>HYPERLINK("#'Table 9'!A1", "How much do you enjoy these subjects at school?: Art and design")</f>
        <v>How much do you enjoy these subjects at school?: Art and design</v>
      </c>
      <c r="E17" s="18" t="str">
        <f>HYPERLINK("#'Full Results'!A74", "74")</f>
        <v>74</v>
      </c>
      <c r="F17" t="s">
        <v>89</v>
      </c>
    </row>
    <row r="18" spans="3:6" x14ac:dyDescent="0.35">
      <c r="C18">
        <v>10</v>
      </c>
      <c r="D18" s="8" t="str">
        <f>HYPERLINK("#'Table 10'!A1", "How much do you enjoy these subjects at school?: Foreign languages")</f>
        <v>How much do you enjoy these subjects at school?: Foreign languages</v>
      </c>
      <c r="E18" s="18" t="str">
        <f>HYPERLINK("#'Full Results'!A83", "83")</f>
        <v>83</v>
      </c>
      <c r="F18" t="s">
        <v>89</v>
      </c>
    </row>
    <row r="19" spans="3:6" x14ac:dyDescent="0.35">
      <c r="C19">
        <v>11</v>
      </c>
      <c r="D19" s="8" t="str">
        <f>HYPERLINK("#'Table 11'!A1", "Grid Summary: How much do you enjoy these subjects at school?")</f>
        <v>Grid Summary: How much do you enjoy these subjects at school?</v>
      </c>
      <c r="E19" s="7"/>
      <c r="F19" t="s">
        <v>74</v>
      </c>
    </row>
    <row r="20" spans="3:6" x14ac:dyDescent="0.35">
      <c r="C20">
        <v>12</v>
      </c>
      <c r="D20" s="8" t="str">
        <f>HYPERLINK("#'Table 12'!A1", "How much do you enjoy these subjects at school?: Maths")</f>
        <v>How much do you enjoy these subjects at school?: Maths</v>
      </c>
      <c r="E20" s="18" t="str">
        <f>HYPERLINK("#'Full Results'!A92", "92")</f>
        <v>92</v>
      </c>
      <c r="F20" t="s">
        <v>74</v>
      </c>
    </row>
    <row r="21" spans="3:6" x14ac:dyDescent="0.35">
      <c r="C21">
        <v>13</v>
      </c>
      <c r="D21" s="8" t="str">
        <f>HYPERLINK("#'Table 13'!A1", "How much do you enjoy these subjects at school?: English")</f>
        <v>How much do you enjoy these subjects at school?: English</v>
      </c>
      <c r="E21" s="18" t="str">
        <f>HYPERLINK("#'Full Results'!A101", "101")</f>
        <v>101</v>
      </c>
      <c r="F21" t="s">
        <v>74</v>
      </c>
    </row>
    <row r="22" spans="3:6" x14ac:dyDescent="0.35">
      <c r="C22">
        <v>14</v>
      </c>
      <c r="D22" s="8" t="str">
        <f>HYPERLINK("#'Table 14'!A1", "How much do you enjoy these subjects at school?: Computing")</f>
        <v>How much do you enjoy these subjects at school?: Computing</v>
      </c>
      <c r="E22" s="18" t="str">
        <f>HYPERLINK("#'Full Results'!A110", "110")</f>
        <v>110</v>
      </c>
      <c r="F22" t="s">
        <v>74</v>
      </c>
    </row>
    <row r="23" spans="3:6" x14ac:dyDescent="0.35">
      <c r="C23">
        <v>15</v>
      </c>
      <c r="D23" s="8" t="str">
        <f>HYPERLINK("#'Table 15'!A1", "How much do you enjoy these subjects at school?: Physics")</f>
        <v>How much do you enjoy these subjects at school?: Physics</v>
      </c>
      <c r="E23" s="18" t="str">
        <f>HYPERLINK("#'Full Results'!A119", "119")</f>
        <v>119</v>
      </c>
      <c r="F23" t="s">
        <v>74</v>
      </c>
    </row>
    <row r="24" spans="3:6" x14ac:dyDescent="0.35">
      <c r="C24">
        <v>16</v>
      </c>
      <c r="D24" s="8" t="str">
        <f>HYPERLINK("#'Table 16'!A1", "How much do you enjoy these subjects at school?: Biology")</f>
        <v>How much do you enjoy these subjects at school?: Biology</v>
      </c>
      <c r="E24" s="18" t="str">
        <f>HYPERLINK("#'Full Results'!A128", "128")</f>
        <v>128</v>
      </c>
      <c r="F24" t="s">
        <v>74</v>
      </c>
    </row>
    <row r="25" spans="3:6" x14ac:dyDescent="0.35">
      <c r="C25">
        <v>17</v>
      </c>
      <c r="D25" s="8" t="str">
        <f>HYPERLINK("#'Table 17'!A1", "How much do you enjoy these subjects at school?: Chemistry")</f>
        <v>How much do you enjoy these subjects at school?: Chemistry</v>
      </c>
      <c r="E25" s="18" t="str">
        <f>HYPERLINK("#'Full Results'!A137", "137")</f>
        <v>137</v>
      </c>
      <c r="F25" t="s">
        <v>74</v>
      </c>
    </row>
    <row r="26" spans="3:6" x14ac:dyDescent="0.35">
      <c r="C26">
        <v>18</v>
      </c>
      <c r="D26" s="8" t="str">
        <f>HYPERLINK("#'Table 18'!A1", "How much do you enjoy these subjects at school?: PE / Sports / Games")</f>
        <v>How much do you enjoy these subjects at school?: PE / Sports / Games</v>
      </c>
      <c r="E26" s="18" t="str">
        <f>HYPERLINK("#'Full Results'!A146", "146")</f>
        <v>146</v>
      </c>
      <c r="F26" t="s">
        <v>74</v>
      </c>
    </row>
    <row r="27" spans="3:6" x14ac:dyDescent="0.35">
      <c r="C27">
        <v>19</v>
      </c>
      <c r="D27" s="8" t="str">
        <f>HYPERLINK("#'Table 19'!A1", "How much do you enjoy these subjects at school?: History")</f>
        <v>How much do you enjoy these subjects at school?: History</v>
      </c>
      <c r="E27" s="18" t="str">
        <f>HYPERLINK("#'Full Results'!A155", "155")</f>
        <v>155</v>
      </c>
      <c r="F27" t="s">
        <v>74</v>
      </c>
    </row>
    <row r="28" spans="3:6" x14ac:dyDescent="0.35">
      <c r="C28">
        <v>20</v>
      </c>
      <c r="D28" s="8" t="str">
        <f>HYPERLINK("#'Table 20'!A1", "How much do you enjoy these subjects at school?: Geography")</f>
        <v>How much do you enjoy these subjects at school?: Geography</v>
      </c>
      <c r="E28" s="18" t="str">
        <f>HYPERLINK("#'Full Results'!A164", "164")</f>
        <v>164</v>
      </c>
      <c r="F28" t="s">
        <v>74</v>
      </c>
    </row>
    <row r="29" spans="3:6" x14ac:dyDescent="0.35">
      <c r="C29">
        <v>21</v>
      </c>
      <c r="D29" s="8" t="str">
        <f>HYPERLINK("#'Table 21'!A1", "How much do you enjoy these subjects at school?: Art and design")</f>
        <v>How much do you enjoy these subjects at school?: Art and design</v>
      </c>
      <c r="E29" s="18" t="str">
        <f>HYPERLINK("#'Full Results'!A173", "173")</f>
        <v>173</v>
      </c>
      <c r="F29" t="s">
        <v>74</v>
      </c>
    </row>
    <row r="30" spans="3:6" x14ac:dyDescent="0.35">
      <c r="C30">
        <v>22</v>
      </c>
      <c r="D30" s="8" t="str">
        <f>HYPERLINK("#'Table 22'!A1", "How much do you enjoy these subjects at school?: Foreign languages")</f>
        <v>How much do you enjoy these subjects at school?: Foreign languages</v>
      </c>
      <c r="E30" s="18" t="str">
        <f>HYPERLINK("#'Full Results'!A182", "182")</f>
        <v>182</v>
      </c>
      <c r="F30" t="s">
        <v>74</v>
      </c>
    </row>
    <row r="31" spans="3:6" x14ac:dyDescent="0.35">
      <c r="C31">
        <v>23</v>
      </c>
      <c r="D31" s="8" t="str">
        <f>HYPERLINK("#'Table 23'!A1", "What school subjects do you expect will help you most when you are an adult? Select up to three")</f>
        <v>What school subjects do you expect will help you most when you are an adult? Select up to three</v>
      </c>
      <c r="E31" s="18" t="str">
        <f>HYPERLINK("#'Full Results'!A191", "191")</f>
        <v>191</v>
      </c>
      <c r="F31" t="s">
        <v>89</v>
      </c>
    </row>
    <row r="32" spans="3:6" x14ac:dyDescent="0.35">
      <c r="C32">
        <v>24</v>
      </c>
      <c r="D32" s="8" t="str">
        <f>HYPERLINK("#'Table 24'!A1", "Which of the following school subjects do you expect will help you most when you have left education? Select up to three")</f>
        <v>Which of the following school subjects do you expect will help you most when you have left education? Select up to three</v>
      </c>
      <c r="E32" s="18" t="str">
        <f>HYPERLINK("#'Full Results'!A204", "204")</f>
        <v>204</v>
      </c>
      <c r="F32" t="s">
        <v>74</v>
      </c>
    </row>
    <row r="33" spans="3:6" x14ac:dyDescent="0.35">
      <c r="C33">
        <v>25</v>
      </c>
      <c r="D33" s="8" t="str">
        <f>HYPERLINK("#'Table 25'!A1", "  Are you expecting to take a Maths GCSE?  ")</f>
        <v xml:space="preserve">  Are you expecting to take a Maths GCSE?  </v>
      </c>
      <c r="E33" s="18" t="str">
        <f>HYPERLINK("#'Full Results'!A219", "219")</f>
        <v>219</v>
      </c>
      <c r="F33" s="29" t="s">
        <v>396</v>
      </c>
    </row>
    <row r="34" spans="3:6" x14ac:dyDescent="0.35">
      <c r="C34">
        <v>26</v>
      </c>
      <c r="D34" s="8" t="str">
        <f>HYPERLINK("#'Table 26'!A1", " You said you are expecting to take a Maths GCSE. What grade are you expecting to receive?")</f>
        <v xml:space="preserve"> You said you are expecting to take a Maths GCSE. What grade are you expecting to receive?</v>
      </c>
      <c r="E34" s="18" t="str">
        <f>HYPERLINK("#'Full Results'!A225", "225")</f>
        <v>225</v>
      </c>
      <c r="F34" t="s">
        <v>114</v>
      </c>
    </row>
    <row r="35" spans="3:6" x14ac:dyDescent="0.35">
      <c r="C35">
        <v>27</v>
      </c>
      <c r="D35" s="8" t="str">
        <f>HYPERLINK("#'Table 27'!A1", " Have you completed a Maths GCSE?  ")</f>
        <v xml:space="preserve"> Have you completed a Maths GCSE?  </v>
      </c>
      <c r="E35" s="18" t="str">
        <f>HYPERLINK("#'Full Results'!A232", "232")</f>
        <v>232</v>
      </c>
      <c r="F35" t="s">
        <v>397</v>
      </c>
    </row>
    <row r="36" spans="3:6" x14ac:dyDescent="0.35">
      <c r="C36">
        <v>28</v>
      </c>
      <c r="D36" s="8" t="str">
        <f>HYPERLINK("#'Table 28'!A1", " You said you have taken a Maths GCSE. What grade did you receive?")</f>
        <v xml:space="preserve"> You said you have taken a Maths GCSE. What grade did you receive?</v>
      </c>
      <c r="E36" s="18" t="str">
        <f>HYPERLINK("#'Full Results'!A238", "238")</f>
        <v>238</v>
      </c>
      <c r="F36" t="s">
        <v>393</v>
      </c>
    </row>
    <row r="37" spans="3:6" x14ac:dyDescent="0.35">
      <c r="C37">
        <v>29</v>
      </c>
      <c r="D37" s="8" t="str">
        <f>HYPERLINK("#'Table 29'!A1", " Are you currently taking Maths or Further Maths A-Level?")</f>
        <v xml:space="preserve"> Are you currently taking Maths or Further Maths A-Level?</v>
      </c>
      <c r="E37" s="18" t="str">
        <f>HYPERLINK("#'Full Results'!A245", "245")</f>
        <v>245</v>
      </c>
      <c r="F37" t="s">
        <v>123</v>
      </c>
    </row>
    <row r="38" spans="3:6" x14ac:dyDescent="0.35">
      <c r="C38">
        <v>30</v>
      </c>
      <c r="D38" s="8" t="str">
        <f>HYPERLINK("#'Table 30'!A1", " Are you doing either of the following?")</f>
        <v xml:space="preserve"> Are you doing either of the following?</v>
      </c>
      <c r="E38" s="18" t="str">
        <f>HYPERLINK("#'Full Results'!A252", "252")</f>
        <v>252</v>
      </c>
      <c r="F38" t="s">
        <v>394</v>
      </c>
    </row>
    <row r="39" spans="3:6" x14ac:dyDescent="0.35">
      <c r="C39">
        <v>31</v>
      </c>
      <c r="D39" s="8" t="str">
        <f>HYPERLINK("#'Table 31'!A1", "Grid Summary: Do you agree or disagree with the following?")</f>
        <v>Grid Summary: Do you agree or disagree with the following?</v>
      </c>
      <c r="E39" s="7"/>
      <c r="F39" t="s">
        <v>138</v>
      </c>
    </row>
    <row r="40" spans="3:6" x14ac:dyDescent="0.35">
      <c r="C40">
        <v>32</v>
      </c>
      <c r="D40" s="8" t="str">
        <f>HYPERLINK("#'Table 32'!A1", "Do you agree or disagree with the following?: I understand maths more quickly than my classmates")</f>
        <v>Do you agree or disagree with the following?: I understand maths more quickly than my classmates</v>
      </c>
      <c r="E40" s="18" t="str">
        <f>HYPERLINK("#'Full Results'!A259", "259")</f>
        <v>259</v>
      </c>
      <c r="F40" t="s">
        <v>138</v>
      </c>
    </row>
    <row r="41" spans="3:6" x14ac:dyDescent="0.35">
      <c r="C41">
        <v>33</v>
      </c>
      <c r="D41" s="8" t="str">
        <f>HYPERLINK("#'Table 33'!A1", "Do you agree or disagree with the following?: Maths is one of my favourite subjects")</f>
        <v>Do you agree or disagree with the following?: Maths is one of my favourite subjects</v>
      </c>
      <c r="E41" s="18" t="str">
        <f>HYPERLINK("#'Full Results'!A271", "271")</f>
        <v>271</v>
      </c>
      <c r="F41" t="s">
        <v>138</v>
      </c>
    </row>
    <row r="42" spans="3:6" x14ac:dyDescent="0.35">
      <c r="C42">
        <v>34</v>
      </c>
      <c r="D42" s="8" t="str">
        <f>HYPERLINK("#'Table 34'!A1", "Do you agree or disagree with the following?: I enjoy using numbers")</f>
        <v>Do you agree or disagree with the following?: I enjoy using numbers</v>
      </c>
      <c r="E42" s="18" t="str">
        <f>HYPERLINK("#'Full Results'!A283", "283")</f>
        <v>283</v>
      </c>
      <c r="F42" t="s">
        <v>138</v>
      </c>
    </row>
    <row r="43" spans="3:6" x14ac:dyDescent="0.35">
      <c r="C43">
        <v>35</v>
      </c>
      <c r="D43" s="8" t="str">
        <f>HYPERLINK("#'Table 35'!A1", "Do you agree or disagree with the following?: I prefer working with words than numbers")</f>
        <v>Do you agree or disagree with the following?: I prefer working with words than numbers</v>
      </c>
      <c r="E43" s="18" t="str">
        <f>HYPERLINK("#'Full Results'!A295", "295")</f>
        <v>295</v>
      </c>
      <c r="F43" t="s">
        <v>138</v>
      </c>
    </row>
    <row r="44" spans="3:6" x14ac:dyDescent="0.35">
      <c r="C44">
        <v>36</v>
      </c>
      <c r="D44" s="8" t="str">
        <f>HYPERLINK("#'Table 36'!A1", " Which of these comes closest to your view?")</f>
        <v xml:space="preserve"> Which of these comes closest to your view?</v>
      </c>
      <c r="E44" s="18" t="str">
        <f>HYPERLINK("#'Full Results'!A307", "307")</f>
        <v>307</v>
      </c>
      <c r="F44" t="s">
        <v>138</v>
      </c>
    </row>
    <row r="45" spans="3:6" x14ac:dyDescent="0.35">
      <c r="C45">
        <v>37</v>
      </c>
      <c r="D45" s="8" t="str">
        <f>HYPERLINK("#'Table 37'!A1", "Grid Summary: Which of these has happened to you in the last month?")</f>
        <v>Grid Summary: Which of these has happened to you in the last month?</v>
      </c>
      <c r="E45" s="7"/>
      <c r="F45" t="s">
        <v>138</v>
      </c>
    </row>
    <row r="46" spans="3:6" x14ac:dyDescent="0.35">
      <c r="C46">
        <v>38</v>
      </c>
      <c r="D46" s="8" t="str">
        <f>HYPERLINK("#'Table 38'!A1", "Which of these has happened to you in the last month?: I got stuck on a maths puzzle or question")</f>
        <v>Which of these has happened to you in the last month?: I got stuck on a maths puzzle or question</v>
      </c>
      <c r="E46" s="18" t="str">
        <f>HYPERLINK("#'Full Results'!A314", "314")</f>
        <v>314</v>
      </c>
      <c r="F46" t="s">
        <v>138</v>
      </c>
    </row>
    <row r="47" spans="3:6" x14ac:dyDescent="0.35">
      <c r="C47">
        <v>39</v>
      </c>
      <c r="D47" s="8" t="str">
        <f>HYPERLINK("#'Table 39'!A1", "Which of these has happened to you in the last month?: I asked my parents for help on my maths homework")</f>
        <v>Which of these has happened to you in the last month?: I asked my parents for help on my maths homework</v>
      </c>
      <c r="E47" s="18" t="str">
        <f>HYPERLINK("#'Full Results'!A320", "320")</f>
        <v>320</v>
      </c>
      <c r="F47" t="s">
        <v>138</v>
      </c>
    </row>
    <row r="48" spans="3:6" x14ac:dyDescent="0.35">
      <c r="C48">
        <v>40</v>
      </c>
      <c r="D48" s="8" t="str">
        <f>HYPERLINK("#'Table 40'!A1", " In your time at school, have you learnt anything about doing sums and calculations (+, -, x, ÷)?")</f>
        <v xml:space="preserve"> In your time at school, have you learnt anything about doing sums and calculations (+, -, x, ÷)?</v>
      </c>
      <c r="E48" s="18" t="str">
        <f>HYPERLINK("#'Full Results'!A326", "326")</f>
        <v>326</v>
      </c>
      <c r="F48" t="s">
        <v>173</v>
      </c>
    </row>
    <row r="49" spans="3:6" x14ac:dyDescent="0.35">
      <c r="C49">
        <v>41</v>
      </c>
      <c r="D49" s="8" t="str">
        <f>HYPERLINK("#'Table 41'!A1", " You said you have learnt about doing sums and calculations (+, -, x, ÷). How much time have you spent learning about this?")</f>
        <v xml:space="preserve"> You said you have learnt about doing sums and calculations (+, -, x, ÷). How much time have you spent learning about this?</v>
      </c>
      <c r="E49" s="18" t="str">
        <f>HYPERLINK("#'Full Results'!A332", "332")</f>
        <v>332</v>
      </c>
      <c r="F49" t="s">
        <v>177</v>
      </c>
    </row>
    <row r="50" spans="3:6" x14ac:dyDescent="0.35">
      <c r="C50">
        <v>42</v>
      </c>
      <c r="D50" s="8" t="str">
        <f>HYPERLINK("#'Table 42'!A1", " You said you have learnt about doing sums and calculations (+, -, x, ÷). How confident are you in this topic?")</f>
        <v xml:space="preserve"> You said you have learnt about doing sums and calculations (+, -, x, ÷). How confident are you in this topic?</v>
      </c>
      <c r="E50" s="18" t="str">
        <f>HYPERLINK("#'Full Results'!A340", "340")</f>
        <v>340</v>
      </c>
      <c r="F50" t="s">
        <v>177</v>
      </c>
    </row>
    <row r="51" spans="3:6" x14ac:dyDescent="0.35">
      <c r="C51">
        <v>43</v>
      </c>
      <c r="D51" s="8" t="str">
        <f>HYPERLINK("#'Table 43'!A1", " You said you have learnt about doing sums and calculations (+, -, x, ÷). How much did you enjoy learning about this?")</f>
        <v xml:space="preserve"> You said you have learnt about doing sums and calculations (+, -, x, ÷). How much did you enjoy learning about this?</v>
      </c>
      <c r="E51" s="18" t="str">
        <f>HYPERLINK("#'Full Results'!A350", "350")</f>
        <v>350</v>
      </c>
      <c r="F51" t="s">
        <v>177</v>
      </c>
    </row>
    <row r="52" spans="3:6" x14ac:dyDescent="0.35">
      <c r="C52">
        <v>44</v>
      </c>
      <c r="D52" s="8" t="str">
        <f>HYPERLINK("#'Table 44'!A1", " In your time at school, have you learnt anything about fractions like a half and a quarter?")</f>
        <v xml:space="preserve"> In your time at school, have you learnt anything about fractions like a half and a quarter?</v>
      </c>
      <c r="E52" s="18" t="str">
        <f>HYPERLINK("#'Full Results'!A358", "358")</f>
        <v>358</v>
      </c>
      <c r="F52" t="s">
        <v>389</v>
      </c>
    </row>
    <row r="53" spans="3:6" x14ac:dyDescent="0.35">
      <c r="C53">
        <v>45</v>
      </c>
      <c r="D53" s="8" t="str">
        <f>HYPERLINK("#'Table 45'!A1", " You said you have learnt about fractions like a half and a quarter. How much time have you spent learning about this?")</f>
        <v xml:space="preserve"> You said you have learnt about fractions like a half and a quarter. How much time have you spent learning about this?</v>
      </c>
      <c r="E53" s="18" t="str">
        <f>HYPERLINK("#'Full Results'!A364", "364")</f>
        <v>364</v>
      </c>
      <c r="F53" t="s">
        <v>179</v>
      </c>
    </row>
    <row r="54" spans="3:6" x14ac:dyDescent="0.35">
      <c r="C54">
        <v>46</v>
      </c>
      <c r="D54" s="8" t="str">
        <f>HYPERLINK("#'Table 46'!A1", " You said you have learnt about fractions like a half and a quarter. How confident are you in this topic?")</f>
        <v xml:space="preserve"> You said you have learnt about fractions like a half and a quarter. How confident are you in this topic?</v>
      </c>
      <c r="E54" s="18" t="str">
        <f>HYPERLINK("#'Full Results'!A372", "372")</f>
        <v>372</v>
      </c>
      <c r="F54" t="s">
        <v>179</v>
      </c>
    </row>
    <row r="55" spans="3:6" x14ac:dyDescent="0.35">
      <c r="C55">
        <v>47</v>
      </c>
      <c r="D55" s="8" t="str">
        <f>HYPERLINK("#'Table 47'!A1", " You said you have learnt about fractions like a half and a quarter. How much did you enjoy learning about this?")</f>
        <v xml:space="preserve"> You said you have learnt about fractions like a half and a quarter. How much did you enjoy learning about this?</v>
      </c>
      <c r="E55" s="18" t="str">
        <f>HYPERLINK("#'Full Results'!A382", "382")</f>
        <v>382</v>
      </c>
      <c r="F55" t="s">
        <v>179</v>
      </c>
    </row>
    <row r="56" spans="3:6" x14ac:dyDescent="0.35">
      <c r="C56">
        <v>48</v>
      </c>
      <c r="D56" s="8" t="str">
        <f>HYPERLINK("#'Table 48'!A1", " In your time at school, have you learnt anything about measuring and guessing things like lengths and minutes?")</f>
        <v xml:space="preserve"> In your time at school, have you learnt anything about measuring and guessing things like lengths and minutes?</v>
      </c>
      <c r="E56" s="18" t="str">
        <f>HYPERLINK("#'Full Results'!A390", "390")</f>
        <v>390</v>
      </c>
      <c r="F56" t="s">
        <v>389</v>
      </c>
    </row>
    <row r="57" spans="3:6" x14ac:dyDescent="0.35">
      <c r="C57">
        <v>49</v>
      </c>
      <c r="D57" s="8" t="str">
        <f>HYPERLINK("#'Table 49'!A1", " You said you have learnt about measuring and guessing things like lengths and minutes. How much time have you spent learning about this?")</f>
        <v xml:space="preserve"> You said you have learnt about measuring and guessing things like lengths and minutes. How much time have you spent learning about this?</v>
      </c>
      <c r="E57" s="18" t="str">
        <f>HYPERLINK("#'Full Results'!A396", "396")</f>
        <v>396</v>
      </c>
      <c r="F57" t="s">
        <v>188</v>
      </c>
    </row>
    <row r="58" spans="3:6" x14ac:dyDescent="0.35">
      <c r="C58">
        <v>50</v>
      </c>
      <c r="D58" s="8" t="str">
        <f>HYPERLINK("#'Table 50'!A1", " You said you have learnt about measuring and guessing things like lengths and minutes. How confident are you in this topic?")</f>
        <v xml:space="preserve"> You said you have learnt about measuring and guessing things like lengths and minutes. How confident are you in this topic?</v>
      </c>
      <c r="E58" s="18" t="str">
        <f>HYPERLINK("#'Full Results'!A404", "404")</f>
        <v>404</v>
      </c>
      <c r="F58" t="s">
        <v>188</v>
      </c>
    </row>
    <row r="59" spans="3:6" x14ac:dyDescent="0.35">
      <c r="C59">
        <v>51</v>
      </c>
      <c r="D59" s="8" t="str">
        <f>HYPERLINK("#'Table 51'!A1", " You said you have learnt about measuring and guessing things like lengths and minutes. How much did you enjoy learning about this?")</f>
        <v xml:space="preserve"> You said you have learnt about measuring and guessing things like lengths and minutes. How much did you enjoy learning about this?</v>
      </c>
      <c r="E59" s="18" t="str">
        <f>HYPERLINK("#'Full Results'!A414", "414")</f>
        <v>414</v>
      </c>
      <c r="F59" t="s">
        <v>188</v>
      </c>
    </row>
    <row r="60" spans="3:6" x14ac:dyDescent="0.35">
      <c r="C60">
        <v>52</v>
      </c>
      <c r="D60" s="8" t="str">
        <f>HYPERLINK("#'Table 52'!A1", " In your time at school, have you learnt anything about recognising and drawing shapes (like squares, triangles, circles, cubes)?")</f>
        <v xml:space="preserve"> In your time at school, have you learnt anything about recognising and drawing shapes (like squares, triangles, circles, cubes)?</v>
      </c>
      <c r="E60" s="18" t="str">
        <f>HYPERLINK("#'Full Results'!A422", "422")</f>
        <v>422</v>
      </c>
      <c r="F60" t="s">
        <v>389</v>
      </c>
    </row>
    <row r="61" spans="3:6" x14ac:dyDescent="0.35">
      <c r="C61">
        <v>53</v>
      </c>
      <c r="D61" s="8" t="str">
        <f>HYPERLINK("#'Table 53'!A1", " You said you have learnt about recognising and drawing shapes (like squares, triangles, circles, cubes). How much time have you spent learning about this?")</f>
        <v xml:space="preserve"> You said you have learnt about recognising and drawing shapes (like squares, triangles, circles, cubes). How much time have you spent learning about this?</v>
      </c>
      <c r="E61" s="18" t="str">
        <f>HYPERLINK("#'Full Results'!A428", "428")</f>
        <v>428</v>
      </c>
      <c r="F61" t="s">
        <v>193</v>
      </c>
    </row>
    <row r="62" spans="3:6" x14ac:dyDescent="0.35">
      <c r="C62">
        <v>54</v>
      </c>
      <c r="D62" s="8" t="str">
        <f>HYPERLINK("#'Table 54'!A1", " You said you have learnt about recognising and drawing shapes (like squares, triangles, circles, cubes). How confident are you in this topic?")</f>
        <v xml:space="preserve"> You said you have learnt about recognising and drawing shapes (like squares, triangles, circles, cubes). How confident are you in this topic?</v>
      </c>
      <c r="E62" s="18" t="str">
        <f>HYPERLINK("#'Full Results'!A436", "436")</f>
        <v>436</v>
      </c>
      <c r="F62" t="s">
        <v>193</v>
      </c>
    </row>
    <row r="63" spans="3:6" x14ac:dyDescent="0.35">
      <c r="C63">
        <v>55</v>
      </c>
      <c r="D63" s="8" t="str">
        <f>HYPERLINK("#'Table 55'!A1", " You said you have learnt about recognising and drawing shapes (like squares, triangles, circles, cubes). How much did you enjoy learning about this?")</f>
        <v xml:space="preserve"> You said you have learnt about recognising and drawing shapes (like squares, triangles, circles, cubes). How much did you enjoy learning about this?</v>
      </c>
      <c r="E63" s="18" t="str">
        <f>HYPERLINK("#'Full Results'!A446", "446")</f>
        <v>446</v>
      </c>
      <c r="F63" t="s">
        <v>193</v>
      </c>
    </row>
    <row r="64" spans="3:6" x14ac:dyDescent="0.35">
      <c r="C64">
        <v>56</v>
      </c>
      <c r="D64" s="8" t="str">
        <f>HYPERLINK("#'Table 56'!A1", " In your time at school, have you learnt anything about using charts (like pie charts, bar charts)?")</f>
        <v xml:space="preserve"> In your time at school, have you learnt anything about using charts (like pie charts, bar charts)?</v>
      </c>
      <c r="E64" s="18" t="str">
        <f>HYPERLINK("#'Full Results'!A454", "454")</f>
        <v>454</v>
      </c>
      <c r="F64" t="s">
        <v>389</v>
      </c>
    </row>
    <row r="65" spans="3:6" x14ac:dyDescent="0.35">
      <c r="C65">
        <v>57</v>
      </c>
      <c r="D65" s="8" t="str">
        <f>HYPERLINK("#'Table 57'!A1", " You said you have learnt about using charts (like pie charts, bar charts). How much time have you spent learning about this?")</f>
        <v xml:space="preserve"> You said you have learnt about using charts (like pie charts, bar charts). How much time have you spent learning about this?</v>
      </c>
      <c r="E65" s="18" t="str">
        <f>HYPERLINK("#'Full Results'!A460", "460")</f>
        <v>460</v>
      </c>
      <c r="F65" t="s">
        <v>198</v>
      </c>
    </row>
    <row r="66" spans="3:6" x14ac:dyDescent="0.35">
      <c r="C66">
        <v>58</v>
      </c>
      <c r="D66" s="8" t="str">
        <f>HYPERLINK("#'Table 58'!A1", " You said you have learnt about using charts (like pie charts, bar charts). How confident are you in this topic?")</f>
        <v xml:space="preserve"> You said you have learnt about using charts (like pie charts, bar charts). How confident are you in this topic?</v>
      </c>
      <c r="E66" s="18" t="str">
        <f>HYPERLINK("#'Full Results'!A468", "468")</f>
        <v>468</v>
      </c>
      <c r="F66" t="s">
        <v>198</v>
      </c>
    </row>
    <row r="67" spans="3:6" x14ac:dyDescent="0.35">
      <c r="C67">
        <v>59</v>
      </c>
      <c r="D67" s="8" t="str">
        <f>HYPERLINK("#'Table 59'!A1", " You said you have learnt about using charts (like pie charts, bar charts). How much did you enjoy learning about this?")</f>
        <v xml:space="preserve"> You said you have learnt about using charts (like pie charts, bar charts). How much did you enjoy learning about this?</v>
      </c>
      <c r="E67" s="18" t="str">
        <f>HYPERLINK("#'Full Results'!A478", "478")</f>
        <v>478</v>
      </c>
      <c r="F67" t="s">
        <v>198</v>
      </c>
    </row>
    <row r="68" spans="3:6" x14ac:dyDescent="0.35">
      <c r="C68">
        <v>60</v>
      </c>
      <c r="D68" s="8" t="str">
        <f>HYPERLINK("#'Table 60'!A1", " In your time at school, have you learnt anything about working out what comes next in a pattern?")</f>
        <v xml:space="preserve"> In your time at school, have you learnt anything about working out what comes next in a pattern?</v>
      </c>
      <c r="E68" s="18" t="str">
        <f>HYPERLINK("#'Full Results'!A486", "486")</f>
        <v>486</v>
      </c>
      <c r="F68" t="s">
        <v>389</v>
      </c>
    </row>
    <row r="69" spans="3:6" x14ac:dyDescent="0.35">
      <c r="C69">
        <v>61</v>
      </c>
      <c r="D69" s="8" t="str">
        <f>HYPERLINK("#'Table 61'!A1", " You said you have learnt about working out what comes next in a pattern. How much time have you spent learning about this?")</f>
        <v xml:space="preserve"> You said you have learnt about working out what comes next in a pattern. How much time have you spent learning about this?</v>
      </c>
      <c r="E69" s="18" t="str">
        <f>HYPERLINK("#'Full Results'!A492", "492")</f>
        <v>492</v>
      </c>
      <c r="F69" t="s">
        <v>202</v>
      </c>
    </row>
    <row r="70" spans="3:6" x14ac:dyDescent="0.35">
      <c r="C70">
        <v>62</v>
      </c>
      <c r="D70" s="8" t="str">
        <f>HYPERLINK("#'Table 62'!A1", " You said you have learnt about working out what comes next in a pattern. How confident are you in this topic?")</f>
        <v xml:space="preserve"> You said you have learnt about working out what comes next in a pattern. How confident are you in this topic?</v>
      </c>
      <c r="E70" s="18" t="str">
        <f>HYPERLINK("#'Full Results'!A500", "500")</f>
        <v>500</v>
      </c>
      <c r="F70" t="s">
        <v>202</v>
      </c>
    </row>
    <row r="71" spans="3:6" x14ac:dyDescent="0.35">
      <c r="C71">
        <v>63</v>
      </c>
      <c r="D71" s="8" t="str">
        <f>HYPERLINK("#'Table 63'!A1", " You said you have learnt about working out what comes next in a pattern. How much did you enjoy learning about this?")</f>
        <v xml:space="preserve"> You said you have learnt about working out what comes next in a pattern. How much did you enjoy learning about this?</v>
      </c>
      <c r="E71" s="18" t="str">
        <f>HYPERLINK("#'Full Results'!A510", "510")</f>
        <v>510</v>
      </c>
      <c r="F71" t="s">
        <v>202</v>
      </c>
    </row>
    <row r="72" spans="3:6" x14ac:dyDescent="0.35">
      <c r="C72">
        <v>64</v>
      </c>
      <c r="D72" s="8" t="str">
        <f>HYPERLINK("#'Table 64'!A1", " In your time at school, have you learnt anything about finding different ways to solve puzzles and problems?")</f>
        <v xml:space="preserve"> In your time at school, have you learnt anything about finding different ways to solve puzzles and problems?</v>
      </c>
      <c r="E72" s="18" t="str">
        <f>HYPERLINK("#'Full Results'!A518", "518")</f>
        <v>518</v>
      </c>
      <c r="F72" t="s">
        <v>389</v>
      </c>
    </row>
    <row r="73" spans="3:6" x14ac:dyDescent="0.35">
      <c r="C73">
        <v>65</v>
      </c>
      <c r="D73" s="8" t="str">
        <f>HYPERLINK("#'Table 65'!A1", " You said you have learnt about finding different ways to solve puzzles and problems. How much time have you spent learning about this?")</f>
        <v xml:space="preserve"> You said you have learnt about finding different ways to solve puzzles and problems. How much time have you spent learning about this?</v>
      </c>
      <c r="E73" s="18" t="str">
        <f>HYPERLINK("#'Full Results'!A524", "524")</f>
        <v>524</v>
      </c>
      <c r="F73" t="s">
        <v>204</v>
      </c>
    </row>
    <row r="74" spans="3:6" x14ac:dyDescent="0.35">
      <c r="C74">
        <v>66</v>
      </c>
      <c r="D74" s="8" t="str">
        <f>HYPERLINK("#'Table 66'!A1", " You said you have learnt about finding different ways to solve puzzles and problems. How confident are you in this topic?")</f>
        <v xml:space="preserve"> You said you have learnt about finding different ways to solve puzzles and problems. How confident are you in this topic?</v>
      </c>
      <c r="E74" s="18" t="str">
        <f>HYPERLINK("#'Full Results'!A532", "532")</f>
        <v>532</v>
      </c>
      <c r="F74" t="s">
        <v>204</v>
      </c>
    </row>
    <row r="75" spans="3:6" x14ac:dyDescent="0.35">
      <c r="C75">
        <v>67</v>
      </c>
      <c r="D75" s="8" t="str">
        <f>HYPERLINK("#'Table 67'!A1", " You said you have learnt about finding different ways to solve puzzles and problems. How much did you enjoy learning about this?")</f>
        <v xml:space="preserve"> You said you have learnt about finding different ways to solve puzzles and problems. How much did you enjoy learning about this?</v>
      </c>
      <c r="E75" s="18" t="str">
        <f>HYPERLINK("#'Full Results'!A542", "542")</f>
        <v>542</v>
      </c>
      <c r="F75" t="s">
        <v>204</v>
      </c>
    </row>
    <row r="76" spans="3:6" x14ac:dyDescent="0.35">
      <c r="C76">
        <v>68</v>
      </c>
      <c r="D76" s="8" t="str">
        <f>HYPERLINK("#'Table 68'!A1", " In your time at school, have you learnt anything about doing mental sums and calculations (+, -, x, ÷)?")</f>
        <v xml:space="preserve"> In your time at school, have you learnt anything about doing mental sums and calculations (+, -, x, ÷)?</v>
      </c>
      <c r="E76" s="18" t="str">
        <f>HYPERLINK("#'Full Results'!A550", "550")</f>
        <v>550</v>
      </c>
      <c r="F76" t="s">
        <v>209</v>
      </c>
    </row>
    <row r="77" spans="3:6" x14ac:dyDescent="0.35">
      <c r="C77">
        <v>69</v>
      </c>
      <c r="D77" s="8" t="str">
        <f>HYPERLINK("#'Table 69'!A1", " You said you have learnt about doing mental sums and calculations (+, -, x, ÷). How much time have you spent learning about this?")</f>
        <v xml:space="preserve"> You said you have learnt about doing mental sums and calculations (+, -, x, ÷). How much time have you spent learning about this?</v>
      </c>
      <c r="E77" s="18" t="str">
        <f>HYPERLINK("#'Full Results'!A556", "556")</f>
        <v>556</v>
      </c>
      <c r="F77" t="s">
        <v>214</v>
      </c>
    </row>
    <row r="78" spans="3:6" x14ac:dyDescent="0.35">
      <c r="C78">
        <v>70</v>
      </c>
      <c r="D78" s="8" t="str">
        <f>HYPERLINK("#'Table 70'!A1", " You said you have learnt about doing mental sums and calculations (+, -, x, ÷). How confident are you in this topic?")</f>
        <v xml:space="preserve"> You said you have learnt about doing mental sums and calculations (+, -, x, ÷). How confident are you in this topic?</v>
      </c>
      <c r="E78" s="18" t="str">
        <f>HYPERLINK("#'Full Results'!A564", "564")</f>
        <v>564</v>
      </c>
      <c r="F78" t="s">
        <v>214</v>
      </c>
    </row>
    <row r="79" spans="3:6" x14ac:dyDescent="0.35">
      <c r="C79">
        <v>71</v>
      </c>
      <c r="D79" s="8" t="str">
        <f>HYPERLINK("#'Table 71'!A1", " You said you have learnt about doing mental sums and calculations (+, -, x, ÷). How much did you enjoy learning about this?")</f>
        <v xml:space="preserve"> You said you have learnt about doing mental sums and calculations (+, -, x, ÷). How much did you enjoy learning about this?</v>
      </c>
      <c r="E79" s="18" t="str">
        <f>HYPERLINK("#'Full Results'!A574", "574")</f>
        <v>574</v>
      </c>
      <c r="F79" t="s">
        <v>214</v>
      </c>
    </row>
    <row r="80" spans="3:6" x14ac:dyDescent="0.35">
      <c r="C80">
        <v>72</v>
      </c>
      <c r="D80" s="8" t="str">
        <f>HYPERLINK("#'Table 72'!A1", " In your time at school, have you learnt anything about fractions (½) ,  percentages (%) and decimals (2.6)?")</f>
        <v xml:space="preserve"> In your time at school, have you learnt anything about fractions (½) ,  percentages (%) and decimals (2.6)?</v>
      </c>
      <c r="E80" s="18" t="str">
        <f>HYPERLINK("#'Full Results'!A582", "582")</f>
        <v>582</v>
      </c>
      <c r="F80" t="s">
        <v>209</v>
      </c>
    </row>
    <row r="81" spans="3:6" x14ac:dyDescent="0.35">
      <c r="C81">
        <v>73</v>
      </c>
      <c r="D81" s="8" t="str">
        <f>HYPERLINK("#'Table 73'!A1", " You said you have learnt about fractions (½) ,  percentages (%) and decimals (2.6). How much time have you spent learning about this?")</f>
        <v xml:space="preserve"> You said you have learnt about fractions (½) ,  percentages (%) and decimals (2.6). How much time have you spent learning about this?</v>
      </c>
      <c r="E81" s="18" t="str">
        <f>HYPERLINK("#'Full Results'!A588", "588")</f>
        <v>588</v>
      </c>
      <c r="F81" t="s">
        <v>219</v>
      </c>
    </row>
    <row r="82" spans="3:6" x14ac:dyDescent="0.35">
      <c r="C82">
        <v>74</v>
      </c>
      <c r="D82" s="8" t="str">
        <f>HYPERLINK("#'Table 74'!A1", " You said you have learnt about fractions (½) ,  percentages (%) and decimals (2.6). How confident are you in this topic?")</f>
        <v xml:space="preserve"> You said you have learnt about fractions (½) ,  percentages (%) and decimals (2.6). How confident are you in this topic?</v>
      </c>
      <c r="E82" s="18" t="str">
        <f>HYPERLINK("#'Full Results'!A596", "596")</f>
        <v>596</v>
      </c>
      <c r="F82" t="s">
        <v>219</v>
      </c>
    </row>
    <row r="83" spans="3:6" x14ac:dyDescent="0.35">
      <c r="C83">
        <v>75</v>
      </c>
      <c r="D83" s="8" t="str">
        <f>HYPERLINK("#'Table 75'!A1", " You said you have learnt about fractions (½) ,  percentages (%) and decimals (2.6). How much did you enjoy learning about this?")</f>
        <v xml:space="preserve"> You said you have learnt about fractions (½) ,  percentages (%) and decimals (2.6). How much did you enjoy learning about this?</v>
      </c>
      <c r="E83" s="18" t="str">
        <f>HYPERLINK("#'Full Results'!A606", "606")</f>
        <v>606</v>
      </c>
      <c r="F83" t="s">
        <v>219</v>
      </c>
    </row>
    <row r="84" spans="3:6" x14ac:dyDescent="0.35">
      <c r="C84">
        <v>76</v>
      </c>
      <c r="D84" s="8" t="str">
        <f>HYPERLINK("#'Table 76'!A1", " In your time at school, have you learnt anything about measuring, estimating, time and money?")</f>
        <v xml:space="preserve"> In your time at school, have you learnt anything about measuring, estimating, time and money?</v>
      </c>
      <c r="E84" s="18" t="str">
        <f>HYPERLINK("#'Full Results'!A614", "614")</f>
        <v>614</v>
      </c>
      <c r="F84" t="s">
        <v>209</v>
      </c>
    </row>
    <row r="85" spans="3:6" x14ac:dyDescent="0.35">
      <c r="C85">
        <v>77</v>
      </c>
      <c r="D85" s="8" t="str">
        <f>HYPERLINK("#'Table 77'!A1", " You said you have learnt about measuring, estimating, time and money. How much time have you spent learning about this?")</f>
        <v xml:space="preserve"> You said you have learnt about measuring, estimating, time and money. How much time have you spent learning about this?</v>
      </c>
      <c r="E85" s="18" t="str">
        <f>HYPERLINK("#'Full Results'!A620", "620")</f>
        <v>620</v>
      </c>
      <c r="F85" t="s">
        <v>224</v>
      </c>
    </row>
    <row r="86" spans="3:6" x14ac:dyDescent="0.35">
      <c r="C86">
        <v>78</v>
      </c>
      <c r="D86" s="8" t="str">
        <f>HYPERLINK("#'Table 78'!A1", " You said you have learnt about measuring, estimating, time and money. How confident are you in this topic?")</f>
        <v xml:space="preserve"> You said you have learnt about measuring, estimating, time and money. How confident are you in this topic?</v>
      </c>
      <c r="E86" s="18" t="str">
        <f>HYPERLINK("#'Full Results'!A628", "628")</f>
        <v>628</v>
      </c>
      <c r="F86" t="s">
        <v>224</v>
      </c>
    </row>
    <row r="87" spans="3:6" x14ac:dyDescent="0.35">
      <c r="C87">
        <v>79</v>
      </c>
      <c r="D87" s="8" t="str">
        <f>HYPERLINK("#'Table 79'!A1", " You said you have learnt about measuring, estimating, time and money. How much did you enjoy learning about this?")</f>
        <v xml:space="preserve"> You said you have learnt about measuring, estimating, time and money. How much did you enjoy learning about this?</v>
      </c>
      <c r="E87" s="18" t="str">
        <f>HYPERLINK("#'Full Results'!A638", "638")</f>
        <v>638</v>
      </c>
      <c r="F87" t="s">
        <v>224</v>
      </c>
    </row>
    <row r="88" spans="3:6" x14ac:dyDescent="0.35">
      <c r="C88">
        <v>80</v>
      </c>
      <c r="D88" s="8" t="str">
        <f>HYPERLINK("#'Table 80'!A1", " In your time at school, have you learnt anything about recognising and drawing shapes, patterns, coordinates, angles, area, volume, symmetry?")</f>
        <v xml:space="preserve"> In your time at school, have you learnt anything about recognising and drawing shapes, patterns, coordinates, angles, area, volume, symmetry?</v>
      </c>
      <c r="E88" s="18" t="str">
        <f>HYPERLINK("#'Full Results'!A646", "646")</f>
        <v>646</v>
      </c>
      <c r="F88" t="s">
        <v>209</v>
      </c>
    </row>
    <row r="89" spans="3:6" x14ac:dyDescent="0.35">
      <c r="C89">
        <v>81</v>
      </c>
      <c r="D89" s="8" t="str">
        <f>HYPERLINK("#'Table 81'!A1", " You said you have learnt about recognising and drawing shapes, patterns, coordinates, angles, area, volume, symmetry. How much time have you spent learning about this?")</f>
        <v xml:space="preserve"> You said you have learnt about recognising and drawing shapes, patterns, coordinates, angles, area, volume, symmetry. How much time have you spent learning about this?</v>
      </c>
      <c r="E89" s="18" t="str">
        <f>HYPERLINK("#'Full Results'!A652", "652")</f>
        <v>652</v>
      </c>
      <c r="F89" t="s">
        <v>229</v>
      </c>
    </row>
    <row r="90" spans="3:6" x14ac:dyDescent="0.35">
      <c r="C90">
        <v>82</v>
      </c>
      <c r="D90" s="8" t="str">
        <f>HYPERLINK("#'Table 82'!A1", " You said you have learnt about recognising and drawing shapes, patterns, coordinates, angles, area, volume, symmetry. How confident are you in this topic?")</f>
        <v xml:space="preserve"> You said you have learnt about recognising and drawing shapes, patterns, coordinates, angles, area, volume, symmetry. How confident are you in this topic?</v>
      </c>
      <c r="E90" s="18" t="str">
        <f>HYPERLINK("#'Full Results'!A660", "660")</f>
        <v>660</v>
      </c>
      <c r="F90" t="s">
        <v>229</v>
      </c>
    </row>
    <row r="91" spans="3:6" x14ac:dyDescent="0.35">
      <c r="C91">
        <v>83</v>
      </c>
      <c r="D91" s="8" t="str">
        <f>HYPERLINK("#'Table 83'!A1", " You said you have learnt about recognising and drawing shapes, patterns, coordinates, angles, area, volume, symmetry. How much did you enjoy learning about this?")</f>
        <v xml:space="preserve"> You said you have learnt about recognising and drawing shapes, patterns, coordinates, angles, area, volume, symmetry. How much did you enjoy learning about this?</v>
      </c>
      <c r="E91" s="18" t="str">
        <f>HYPERLINK("#'Full Results'!A670", "670")</f>
        <v>670</v>
      </c>
      <c r="F91" t="s">
        <v>229</v>
      </c>
    </row>
    <row r="92" spans="3:6" x14ac:dyDescent="0.35">
      <c r="C92">
        <v>84</v>
      </c>
      <c r="D92" s="8" t="str">
        <f>HYPERLINK("#'Table 84'!A1", " In your time at school, have you learnt anything about data, tables, charts and graphs?")</f>
        <v xml:space="preserve"> In your time at school, have you learnt anything about data, tables, charts and graphs?</v>
      </c>
      <c r="E92" s="18" t="str">
        <f>HYPERLINK("#'Full Results'!A678", "678")</f>
        <v>678</v>
      </c>
      <c r="F92" t="s">
        <v>209</v>
      </c>
    </row>
    <row r="93" spans="3:6" x14ac:dyDescent="0.35">
      <c r="C93">
        <v>85</v>
      </c>
      <c r="D93" s="8" t="str">
        <f>HYPERLINK("#'Table 85'!A1", " You said you have learnt about data, tables, charts and graphs. How much time have you spent learning about this?")</f>
        <v xml:space="preserve"> You said you have learnt about data, tables, charts and graphs. How much time have you spent learning about this?</v>
      </c>
      <c r="E93" s="18" t="str">
        <f>HYPERLINK("#'Full Results'!A684", "684")</f>
        <v>684</v>
      </c>
      <c r="F93" t="s">
        <v>234</v>
      </c>
    </row>
    <row r="94" spans="3:6" x14ac:dyDescent="0.35">
      <c r="C94">
        <v>86</v>
      </c>
      <c r="D94" s="8" t="str">
        <f>HYPERLINK("#'Table 86'!A1", " You said you have learnt about data, tables, charts and graphs. How confident are you in this topic?")</f>
        <v xml:space="preserve"> You said you have learnt about data, tables, charts and graphs. How confident are you in this topic?</v>
      </c>
      <c r="E94" s="18" t="str">
        <f>HYPERLINK("#'Full Results'!A692", "692")</f>
        <v>692</v>
      </c>
      <c r="F94" t="s">
        <v>234</v>
      </c>
    </row>
    <row r="95" spans="3:6" x14ac:dyDescent="0.35">
      <c r="C95">
        <v>87</v>
      </c>
      <c r="D95" s="8" t="str">
        <f>HYPERLINK("#'Table 87'!A1", " You said you have learnt about data, tables, charts and graphs. How much did you enjoy learning about this?")</f>
        <v xml:space="preserve"> You said you have learnt about data, tables, charts and graphs. How much did you enjoy learning about this?</v>
      </c>
      <c r="E95" s="18" t="str">
        <f>HYPERLINK("#'Full Results'!A702", "702")</f>
        <v>702</v>
      </c>
      <c r="F95" t="s">
        <v>234</v>
      </c>
    </row>
    <row r="96" spans="3:6" x14ac:dyDescent="0.35">
      <c r="C96">
        <v>88</v>
      </c>
      <c r="D96" s="8" t="str">
        <f>HYPERLINK("#'Table 88'!A1", " In your time at school, have you learnt anything about patterns, sequences?")</f>
        <v xml:space="preserve"> In your time at school, have you learnt anything about patterns, sequences?</v>
      </c>
      <c r="E96" s="18" t="str">
        <f>HYPERLINK("#'Full Results'!A710", "710")</f>
        <v>710</v>
      </c>
      <c r="F96" t="s">
        <v>209</v>
      </c>
    </row>
    <row r="97" spans="3:6" x14ac:dyDescent="0.35">
      <c r="C97">
        <v>89</v>
      </c>
      <c r="D97" s="8" t="str">
        <f>HYPERLINK("#'Table 89'!A1", " You said you have learnt about patterns, sequences. How much time have you spent learning about this?")</f>
        <v xml:space="preserve"> You said you have learnt about patterns, sequences. How much time have you spent learning about this?</v>
      </c>
      <c r="E97" s="18" t="str">
        <f>HYPERLINK("#'Full Results'!A716", "716")</f>
        <v>716</v>
      </c>
      <c r="F97" t="s">
        <v>239</v>
      </c>
    </row>
    <row r="98" spans="3:6" x14ac:dyDescent="0.35">
      <c r="C98">
        <v>90</v>
      </c>
      <c r="D98" s="8" t="str">
        <f>HYPERLINK("#'Table 90'!A1", " You said you have learnt about patterns, sequences. How confident are you in this topic?")</f>
        <v xml:space="preserve"> You said you have learnt about patterns, sequences. How confident are you in this topic?</v>
      </c>
      <c r="E98" s="18" t="str">
        <f>HYPERLINK("#'Full Results'!A724", "724")</f>
        <v>724</v>
      </c>
      <c r="F98" t="s">
        <v>239</v>
      </c>
    </row>
    <row r="99" spans="3:6" x14ac:dyDescent="0.35">
      <c r="C99">
        <v>91</v>
      </c>
      <c r="D99" s="8" t="str">
        <f>HYPERLINK("#'Table 91'!A1", " You said you have learnt about patterns, sequences. How much did you enjoy learning about this?")</f>
        <v xml:space="preserve"> You said you have learnt about patterns, sequences. How much did you enjoy learning about this?</v>
      </c>
      <c r="E99" s="18" t="str">
        <f>HYPERLINK("#'Full Results'!A734", "734")</f>
        <v>734</v>
      </c>
      <c r="F99" t="s">
        <v>239</v>
      </c>
    </row>
    <row r="100" spans="3:6" x14ac:dyDescent="0.35">
      <c r="C100">
        <v>92</v>
      </c>
      <c r="D100" s="8" t="str">
        <f>HYPERLINK("#'Table 92'!A1", " In your time at school, have you learnt anything about deeper problems, investigations, problem-solving?")</f>
        <v xml:space="preserve"> In your time at school, have you learnt anything about deeper problems, investigations, problem-solving?</v>
      </c>
      <c r="E100" s="18" t="str">
        <f>HYPERLINK("#'Full Results'!A742", "742")</f>
        <v>742</v>
      </c>
      <c r="F100" t="s">
        <v>209</v>
      </c>
    </row>
    <row r="101" spans="3:6" x14ac:dyDescent="0.35">
      <c r="C101">
        <v>93</v>
      </c>
      <c r="D101" s="8" t="str">
        <f>HYPERLINK("#'Table 93'!A1", " You said you have learnt about deeper problems, investigations, problem-solving. How much time have you spent learning about this?")</f>
        <v xml:space="preserve"> You said you have learnt about deeper problems, investigations, problem-solving. How much time have you spent learning about this?</v>
      </c>
      <c r="E101" s="18" t="str">
        <f>HYPERLINK("#'Full Results'!A748", "748")</f>
        <v>748</v>
      </c>
      <c r="F101" t="s">
        <v>249</v>
      </c>
    </row>
    <row r="102" spans="3:6" x14ac:dyDescent="0.35">
      <c r="C102">
        <v>94</v>
      </c>
      <c r="D102" s="8" t="str">
        <f>HYPERLINK("#'Table 94'!A1", " You said you have learnt about deeper problems, investigations, problem-solving. How confident are you in this topic?")</f>
        <v xml:space="preserve"> You said you have learnt about deeper problems, investigations, problem-solving. How confident are you in this topic?</v>
      </c>
      <c r="E102" s="18" t="str">
        <f>HYPERLINK("#'Full Results'!A756", "756")</f>
        <v>756</v>
      </c>
      <c r="F102" t="s">
        <v>249</v>
      </c>
    </row>
    <row r="103" spans="3:6" x14ac:dyDescent="0.35">
      <c r="C103">
        <v>95</v>
      </c>
      <c r="D103" s="8" t="str">
        <f>HYPERLINK("#'Table 95'!A1", " You said you have learnt about deeper problems, investigations, problem-solving. How much did you enjoy learning about this?")</f>
        <v xml:space="preserve"> You said you have learnt about deeper problems, investigations, problem-solving. How much did you enjoy learning about this?</v>
      </c>
      <c r="E103" s="18" t="str">
        <f>HYPERLINK("#'Full Results'!A766", "766")</f>
        <v>766</v>
      </c>
      <c r="F103" t="s">
        <v>249</v>
      </c>
    </row>
    <row r="104" spans="3:6" x14ac:dyDescent="0.35">
      <c r="C104">
        <v>96</v>
      </c>
      <c r="D104" s="8" t="str">
        <f>HYPERLINK("#'Table 96'!A1", " In your time at school, have you learnt anything about adding, subtracting, multiplying, dividing, using fractions, decimals, percentages, and ratios?")</f>
        <v xml:space="preserve"> In your time at school, have you learnt anything about adding, subtracting, multiplying, dividing, using fractions, decimals, percentages, and ratios?</v>
      </c>
      <c r="E104" s="18" t="str">
        <f>HYPERLINK("#'Full Results'!A774", "774")</f>
        <v>774</v>
      </c>
      <c r="F104" t="s">
        <v>390</v>
      </c>
    </row>
    <row r="105" spans="3:6" x14ac:dyDescent="0.35">
      <c r="C105">
        <v>97</v>
      </c>
      <c r="D105" s="8" t="str">
        <f>HYPERLINK("#'Table 97'!A1", " You said you have learnt about adding, subtracting, multiplying, dividing, using fractions, decimals, percentages, and ratios. How much time have you spent learning about this?")</f>
        <v xml:space="preserve"> You said you have learnt about adding, subtracting, multiplying, dividing, using fractions, decimals, percentages, and ratios. How much time have you spent learning about this?</v>
      </c>
      <c r="E105" s="18" t="str">
        <f>HYPERLINK("#'Full Results'!A780", "780")</f>
        <v>780</v>
      </c>
      <c r="F105" t="s">
        <v>255</v>
      </c>
    </row>
    <row r="106" spans="3:6" x14ac:dyDescent="0.35">
      <c r="C106">
        <v>98</v>
      </c>
      <c r="D106" s="8" t="str">
        <f>HYPERLINK("#'Table 98'!A1", " You said you have learnt about adding, subtracting, multiplying, dividing, using fractions, decimals, percentages, and ratios. How confident are you in this topic?")</f>
        <v xml:space="preserve"> You said you have learnt about adding, subtracting, multiplying, dividing, using fractions, decimals, percentages, and ratios. How confident are you in this topic?</v>
      </c>
      <c r="E106" s="18" t="str">
        <f>HYPERLINK("#'Full Results'!A788", "788")</f>
        <v>788</v>
      </c>
      <c r="F106" t="s">
        <v>255</v>
      </c>
    </row>
    <row r="107" spans="3:6" x14ac:dyDescent="0.35">
      <c r="C107">
        <v>99</v>
      </c>
      <c r="D107" s="8" t="str">
        <f>HYPERLINK("#'Table 99'!A1", " You said you have learnt about adding, subtracting, multiplying, dividing, using fractions, decimals, percentages, and ratios. How much did you enjoy learning about this?")</f>
        <v xml:space="preserve"> You said you have learnt about adding, subtracting, multiplying, dividing, using fractions, decimals, percentages, and ratios. How much did you enjoy learning about this?</v>
      </c>
      <c r="E107" s="18" t="str">
        <f>HYPERLINK("#'Full Results'!A798", "798")</f>
        <v>798</v>
      </c>
      <c r="F107" t="s">
        <v>255</v>
      </c>
    </row>
    <row r="108" spans="3:6" x14ac:dyDescent="0.35">
      <c r="C108">
        <v>100</v>
      </c>
      <c r="D108" s="8" t="str">
        <f>HYPERLINK("#'Table 100'!A1", " Do you think that adding, subtracting, multiplying, dividing, using fractions, decimals, percentages, and ratios will be useful for you when you are an adult?")</f>
        <v xml:space="preserve"> Do you think that adding, subtracting, multiplying, dividing, using fractions, decimals, percentages, and ratios will be useful for you when you are an adult?</v>
      </c>
      <c r="E108" s="18" t="str">
        <f>HYPERLINK("#'Full Results'!A806", "806")</f>
        <v>806</v>
      </c>
      <c r="F108" t="s">
        <v>255</v>
      </c>
    </row>
    <row r="109" spans="3:6" x14ac:dyDescent="0.35">
      <c r="C109">
        <v>101</v>
      </c>
      <c r="D109" s="8" t="str">
        <f>HYPERLINK("#'Table 101'!A1", " In your time at school, have you learnt anything about reading, understanding, and applying diagrams, graphs, tables, spreadsheets, and statistics?")</f>
        <v xml:space="preserve"> In your time at school, have you learnt anything about reading, understanding, and applying diagrams, graphs, tables, spreadsheets, and statistics?</v>
      </c>
      <c r="E109" s="18" t="str">
        <f>HYPERLINK("#'Full Results'!A814", "814")</f>
        <v>814</v>
      </c>
      <c r="F109" t="s">
        <v>390</v>
      </c>
    </row>
    <row r="110" spans="3:6" x14ac:dyDescent="0.35">
      <c r="C110">
        <v>102</v>
      </c>
      <c r="D110" s="8" t="str">
        <f>HYPERLINK("#'Table 102'!A1", " You said you have learnt about reading, understanding, and applying diagrams, graphs, tables, spreadsheets, and statistics. How much time have you spent learning about this?")</f>
        <v xml:space="preserve"> You said you have learnt about reading, understanding, and applying diagrams, graphs, tables, spreadsheets, and statistics. How much time have you spent learning about this?</v>
      </c>
      <c r="E110" s="18" t="str">
        <f>HYPERLINK("#'Full Results'!A820", "820")</f>
        <v>820</v>
      </c>
      <c r="F110" t="s">
        <v>261</v>
      </c>
    </row>
    <row r="111" spans="3:6" x14ac:dyDescent="0.35">
      <c r="C111">
        <v>103</v>
      </c>
      <c r="D111" s="8" t="str">
        <f>HYPERLINK("#'Table 103'!A1", " You said you have learnt about reading, understanding, and applying diagrams, graphs, tables, spreadsheets, and statistics. How confident are you in this topic?")</f>
        <v xml:space="preserve"> You said you have learnt about reading, understanding, and applying diagrams, graphs, tables, spreadsheets, and statistics. How confident are you in this topic?</v>
      </c>
      <c r="E111" s="18" t="str">
        <f>HYPERLINK("#'Full Results'!A828", "828")</f>
        <v>828</v>
      </c>
      <c r="F111" t="s">
        <v>261</v>
      </c>
    </row>
    <row r="112" spans="3:6" x14ac:dyDescent="0.35">
      <c r="C112">
        <v>104</v>
      </c>
      <c r="D112" s="8" t="str">
        <f>HYPERLINK("#'Table 104'!A1", " You said you have learnt about reading, understanding, and applying diagrams, graphs, tables, spreadsheets, and statistics. How much did you enjoy learning about this?")</f>
        <v xml:space="preserve"> You said you have learnt about reading, understanding, and applying diagrams, graphs, tables, spreadsheets, and statistics. How much did you enjoy learning about this?</v>
      </c>
      <c r="E112" s="18" t="str">
        <f>HYPERLINK("#'Full Results'!A838", "838")</f>
        <v>838</v>
      </c>
      <c r="F112" t="s">
        <v>261</v>
      </c>
    </row>
    <row r="113" spans="3:6" x14ac:dyDescent="0.35">
      <c r="C113">
        <v>105</v>
      </c>
      <c r="D113" s="8" t="str">
        <f>HYPERLINK("#'Table 105'!A1", " Do you think that reading, understanding, and applying diagrams, graphs, tables, spreadsheets, and statistics will be useful for you when you are an adult?")</f>
        <v xml:space="preserve"> Do you think that reading, understanding, and applying diagrams, graphs, tables, spreadsheets, and statistics will be useful for you when you are an adult?</v>
      </c>
      <c r="E113" s="18" t="str">
        <f>HYPERLINK("#'Full Results'!A846", "846")</f>
        <v>846</v>
      </c>
      <c r="F113" t="s">
        <v>261</v>
      </c>
    </row>
    <row r="114" spans="3:6" x14ac:dyDescent="0.35">
      <c r="C114">
        <v>106</v>
      </c>
      <c r="D114" s="8" t="str">
        <f>HYPERLINK("#'Table 106'!A1", " In your time at school, have you learnt anything about comparing, estimating, measuring, approximating, and ensuring accuracy of values?")</f>
        <v xml:space="preserve"> In your time at school, have you learnt anything about comparing, estimating, measuring, approximating, and ensuring accuracy of values?</v>
      </c>
      <c r="E114" s="18" t="str">
        <f>HYPERLINK("#'Full Results'!A854", "854")</f>
        <v>854</v>
      </c>
      <c r="F114" t="s">
        <v>390</v>
      </c>
    </row>
    <row r="115" spans="3:6" x14ac:dyDescent="0.35">
      <c r="C115">
        <v>107</v>
      </c>
      <c r="D115" s="8" t="str">
        <f>HYPERLINK("#'Table 107'!A1", " You said you have learnt about comparing, estimating, measuring, approximating, and ensuring accuracy of values. How much time have you spent learning about this?")</f>
        <v xml:space="preserve"> You said you have learnt about comparing, estimating, measuring, approximating, and ensuring accuracy of values. How much time have you spent learning about this?</v>
      </c>
      <c r="E115" s="18" t="str">
        <f>HYPERLINK("#'Full Results'!A860", "860")</f>
        <v>860</v>
      </c>
      <c r="F115" t="s">
        <v>267</v>
      </c>
    </row>
    <row r="116" spans="3:6" x14ac:dyDescent="0.35">
      <c r="C116">
        <v>108</v>
      </c>
      <c r="D116" s="8" t="str">
        <f>HYPERLINK("#'Table 108'!A1", " You said you have learnt about comparing, estimating, measuring, approximating, and ensuring accuracy of values. How confident are you in this topic?")</f>
        <v xml:space="preserve"> You said you have learnt about comparing, estimating, measuring, approximating, and ensuring accuracy of values. How confident are you in this topic?</v>
      </c>
      <c r="E116" s="18" t="str">
        <f>HYPERLINK("#'Full Results'!A868", "868")</f>
        <v>868</v>
      </c>
      <c r="F116" t="s">
        <v>267</v>
      </c>
    </row>
    <row r="117" spans="3:6" x14ac:dyDescent="0.35">
      <c r="C117">
        <v>109</v>
      </c>
      <c r="D117" s="8" t="str">
        <f>HYPERLINK("#'Table 109'!A1", " You said you have learnt about comparing, estimating, measuring, approximating, and ensuring accuracy of values. How much did you enjoy learning about this?")</f>
        <v xml:space="preserve"> You said you have learnt about comparing, estimating, measuring, approximating, and ensuring accuracy of values. How much did you enjoy learning about this?</v>
      </c>
      <c r="E117" s="18" t="str">
        <f>HYPERLINK("#'Full Results'!A878", "878")</f>
        <v>878</v>
      </c>
      <c r="F117" t="s">
        <v>267</v>
      </c>
    </row>
    <row r="118" spans="3:6" x14ac:dyDescent="0.35">
      <c r="C118">
        <v>110</v>
      </c>
      <c r="D118" s="8" t="str">
        <f>HYPERLINK("#'Table 110'!A1", " Do you think that comparing, estimating, measuring, approximating, and ensuring accuracy of values will be useful for you when you are an adult?")</f>
        <v xml:space="preserve"> Do you think that comparing, estimating, measuring, approximating, and ensuring accuracy of values will be useful for you when you are an adult?</v>
      </c>
      <c r="E118" s="18" t="str">
        <f>HYPERLINK("#'Full Results'!A886", "886")</f>
        <v>886</v>
      </c>
      <c r="F118" t="s">
        <v>267</v>
      </c>
    </row>
    <row r="119" spans="3:6" x14ac:dyDescent="0.35">
      <c r="C119">
        <v>111</v>
      </c>
      <c r="D119" s="8" t="str">
        <f>HYPERLINK("#'Table 111'!A1", " In your time at school, have you learnt anything about understanding shapes, volumes, and spatial relationships?")</f>
        <v xml:space="preserve"> In your time at school, have you learnt anything about understanding shapes, volumes, and spatial relationships?</v>
      </c>
      <c r="E119" s="18" t="str">
        <f>HYPERLINK("#'Full Results'!A894", "894")</f>
        <v>894</v>
      </c>
      <c r="F119" t="s">
        <v>390</v>
      </c>
    </row>
    <row r="120" spans="3:6" x14ac:dyDescent="0.35">
      <c r="C120">
        <v>112</v>
      </c>
      <c r="D120" s="8" t="str">
        <f>HYPERLINK("#'Table 112'!A1", " You said you have learnt about understanding shapes, volumes, and spatial relationships. How much time have you spent learning about this?")</f>
        <v xml:space="preserve"> You said you have learnt about understanding shapes, volumes, and spatial relationships. How much time have you spent learning about this?</v>
      </c>
      <c r="E120" s="18" t="str">
        <f>HYPERLINK("#'Full Results'!A900", "900")</f>
        <v>900</v>
      </c>
      <c r="F120" t="s">
        <v>273</v>
      </c>
    </row>
    <row r="121" spans="3:6" x14ac:dyDescent="0.35">
      <c r="C121">
        <v>113</v>
      </c>
      <c r="D121" s="8" t="str">
        <f>HYPERLINK("#'Table 113'!A1", " You said you have learnt about understanding shapes, volumes, and spatial relationships. How confident are you in this topic?")</f>
        <v xml:space="preserve"> You said you have learnt about understanding shapes, volumes, and spatial relationships. How confident are you in this topic?</v>
      </c>
      <c r="E121" s="18" t="str">
        <f>HYPERLINK("#'Full Results'!A908", "908")</f>
        <v>908</v>
      </c>
      <c r="F121" t="s">
        <v>273</v>
      </c>
    </row>
    <row r="122" spans="3:6" x14ac:dyDescent="0.35">
      <c r="C122">
        <v>114</v>
      </c>
      <c r="D122" s="8" t="str">
        <f>HYPERLINK("#'Table 114'!A1", " You said you have learnt about understanding shapes, volumes, and spatial relationships. How much did you enjoy learning about this?")</f>
        <v xml:space="preserve"> You said you have learnt about understanding shapes, volumes, and spatial relationships. How much did you enjoy learning about this?</v>
      </c>
      <c r="E122" s="18" t="str">
        <f>HYPERLINK("#'Full Results'!A918", "918")</f>
        <v>918</v>
      </c>
      <c r="F122" t="s">
        <v>273</v>
      </c>
    </row>
    <row r="123" spans="3:6" x14ac:dyDescent="0.35">
      <c r="C123">
        <v>115</v>
      </c>
      <c r="D123" s="8" t="str">
        <f>HYPERLINK("#'Table 115'!A1", " Do you think that understanding shapes, volumes, and spatial relationships will be useful for you when you are an adult?")</f>
        <v xml:space="preserve"> Do you think that understanding shapes, volumes, and spatial relationships will be useful for you when you are an adult?</v>
      </c>
      <c r="E123" s="18" t="str">
        <f>HYPERLINK("#'Full Results'!A926", "926")</f>
        <v>926</v>
      </c>
      <c r="F123" t="s">
        <v>273</v>
      </c>
    </row>
    <row r="124" spans="3:6" x14ac:dyDescent="0.35">
      <c r="C124">
        <v>116</v>
      </c>
      <c r="D124" s="8" t="str">
        <f>HYPERLINK("#'Table 116'!A1", " In your time at school, have you learnt anything about using and manipulating algebraic expressions to solve problems, including in spreadsheets?")</f>
        <v xml:space="preserve"> In your time at school, have you learnt anything about using and manipulating algebraic expressions to solve problems, including in spreadsheets?</v>
      </c>
      <c r="E124" s="18" t="str">
        <f>HYPERLINK("#'Full Results'!A934", "934")</f>
        <v>934</v>
      </c>
      <c r="F124" t="s">
        <v>390</v>
      </c>
    </row>
    <row r="125" spans="3:6" x14ac:dyDescent="0.35">
      <c r="C125">
        <v>117</v>
      </c>
      <c r="D125" s="8" t="str">
        <f>HYPERLINK("#'Table 117'!A1", " You said you have learnt about using and manipulating algebraic expressions to solve problems, including in spreadsheets. How much time have you spent learning about this?")</f>
        <v xml:space="preserve"> You said you have learnt about using and manipulating algebraic expressions to solve problems, including in spreadsheets. How much time have you spent learning about this?</v>
      </c>
      <c r="E125" s="18" t="str">
        <f>HYPERLINK("#'Full Results'!A940", "940")</f>
        <v>940</v>
      </c>
      <c r="F125" t="s">
        <v>391</v>
      </c>
    </row>
    <row r="126" spans="3:6" x14ac:dyDescent="0.35">
      <c r="C126">
        <v>118</v>
      </c>
      <c r="D126" s="8" t="str">
        <f>HYPERLINK("#'Table 118'!A1", " You said you have learnt about using and manipulating algebraic expressions to solve problems, including in spreadsheets. How confident are you in this topic?")</f>
        <v xml:space="preserve"> You said you have learnt about using and manipulating algebraic expressions to solve problems, including in spreadsheets. How confident are you in this topic?</v>
      </c>
      <c r="E126" s="18" t="str">
        <f>HYPERLINK("#'Full Results'!A948", "948")</f>
        <v>948</v>
      </c>
      <c r="F126" t="s">
        <v>391</v>
      </c>
    </row>
    <row r="127" spans="3:6" x14ac:dyDescent="0.35">
      <c r="C127">
        <v>119</v>
      </c>
      <c r="D127" s="8" t="str">
        <f>HYPERLINK("#'Table 119'!A1", " You said you have learnt about using and manipulating algebraic expressions to solve problems, including in spreadsheets. How much did you enjoy learning about this?")</f>
        <v xml:space="preserve"> You said you have learnt about using and manipulating algebraic expressions to solve problems, including in spreadsheets. How much did you enjoy learning about this?</v>
      </c>
      <c r="E127" s="18" t="str">
        <f>HYPERLINK("#'Full Results'!A958", "958")</f>
        <v>958</v>
      </c>
      <c r="F127" t="s">
        <v>391</v>
      </c>
    </row>
    <row r="128" spans="3:6" x14ac:dyDescent="0.35">
      <c r="C128">
        <v>120</v>
      </c>
      <c r="D128" s="8" t="str">
        <f>HYPERLINK("#'Table 120'!A1", " Do you think that using and manipulating algebraic expressions to solve problems, including in spreadsheets will be useful for you when you are an adult?")</f>
        <v xml:space="preserve"> Do you think that using and manipulating algebraic expressions to solve problems, including in spreadsheets will be useful for you when you are an adult?</v>
      </c>
      <c r="E128" s="18" t="str">
        <f>HYPERLINK("#'Full Results'!A966", "966")</f>
        <v>966</v>
      </c>
      <c r="F128" t="s">
        <v>391</v>
      </c>
    </row>
    <row r="129" spans="3:6" x14ac:dyDescent="0.35">
      <c r="C129">
        <v>121</v>
      </c>
      <c r="D129" s="8" t="str">
        <f>HYPERLINK("#'Table 121'!A1", " In your time at school, have you learnt anything about assessing likelihood, randomness, predictions, causation, and uncertainty?")</f>
        <v xml:space="preserve"> In your time at school, have you learnt anything about assessing likelihood, randomness, predictions, causation, and uncertainty?</v>
      </c>
      <c r="E129" s="18" t="str">
        <f>HYPERLINK("#'Full Results'!A974", "974")</f>
        <v>974</v>
      </c>
      <c r="F129" t="s">
        <v>390</v>
      </c>
    </row>
    <row r="130" spans="3:6" x14ac:dyDescent="0.35">
      <c r="C130">
        <v>122</v>
      </c>
      <c r="D130" s="8" t="str">
        <f>HYPERLINK("#'Table 122'!A1", " You said you have learnt about assessing likelihood, randomness, predictions, causation, and uncertainty. How much time have you spent learning about this?")</f>
        <v xml:space="preserve"> You said you have learnt about assessing likelihood, randomness, predictions, causation, and uncertainty. How much time have you spent learning about this?</v>
      </c>
      <c r="E130" s="18" t="str">
        <f>HYPERLINK("#'Full Results'!A980", "980")</f>
        <v>980</v>
      </c>
      <c r="F130" t="s">
        <v>284</v>
      </c>
    </row>
    <row r="131" spans="3:6" x14ac:dyDescent="0.35">
      <c r="C131">
        <v>123</v>
      </c>
      <c r="D131" s="8" t="str">
        <f>HYPERLINK("#'Table 123'!A1", " You said you have learnt about assessing likelihood, randomness, predictions, causation, and uncertainty. How confident are you in this topic?")</f>
        <v xml:space="preserve"> You said you have learnt about assessing likelihood, randomness, predictions, causation, and uncertainty. How confident are you in this topic?</v>
      </c>
      <c r="E131" s="18" t="str">
        <f>HYPERLINK("#'Full Results'!A988", "988")</f>
        <v>988</v>
      </c>
      <c r="F131" t="s">
        <v>284</v>
      </c>
    </row>
    <row r="132" spans="3:6" x14ac:dyDescent="0.35">
      <c r="C132">
        <v>124</v>
      </c>
      <c r="D132" s="8" t="str">
        <f>HYPERLINK("#'Table 124'!A1", " You said you have learnt about assessing likelihood, randomness, predictions, causation, and uncertainty. How much did you enjoy learning about this?")</f>
        <v xml:space="preserve"> You said you have learnt about assessing likelihood, randomness, predictions, causation, and uncertainty. How much did you enjoy learning about this?</v>
      </c>
      <c r="E132" s="18" t="str">
        <f>HYPERLINK("#'Full Results'!A998", "998")</f>
        <v>998</v>
      </c>
      <c r="F132" t="s">
        <v>284</v>
      </c>
    </row>
    <row r="133" spans="3:6" x14ac:dyDescent="0.35">
      <c r="C133">
        <v>125</v>
      </c>
      <c r="D133" s="8" t="str">
        <f>HYPERLINK("#'Table 125'!A1", " Do you think that assessing likelihood, randomness, predictions, causation, and uncertainty will be useful for you when you are an adult?")</f>
        <v xml:space="preserve"> Do you think that assessing likelihood, randomness, predictions, causation, and uncertainty will be useful for you when you are an adult?</v>
      </c>
      <c r="E133" s="18" t="str">
        <f>HYPERLINK("#'Full Results'!A1006", "1006")</f>
        <v>1006</v>
      </c>
      <c r="F133" t="s">
        <v>284</v>
      </c>
    </row>
    <row r="134" spans="3:6" x14ac:dyDescent="0.35">
      <c r="C134">
        <v>126</v>
      </c>
      <c r="D134" s="8" t="str">
        <f>HYPERLINK("#'Table 126'!A1", " In your time at school, have you learnt anything about breaking down problems, finding patterns, critical thinking, and strategic planning?")</f>
        <v xml:space="preserve"> In your time at school, have you learnt anything about breaking down problems, finding patterns, critical thinking, and strategic planning?</v>
      </c>
      <c r="E134" s="18" t="str">
        <f>HYPERLINK("#'Full Results'!A1014", "1014")</f>
        <v>1014</v>
      </c>
      <c r="F134" t="s">
        <v>390</v>
      </c>
    </row>
    <row r="135" spans="3:6" x14ac:dyDescent="0.35">
      <c r="C135">
        <v>127</v>
      </c>
      <c r="D135" s="8" t="str">
        <f>HYPERLINK("#'Table 127'!A1", " You said you have learnt about breaking down problems, finding patterns, critical thinking, and strategic planning. How much time have you spent learning about this?")</f>
        <v xml:space="preserve"> You said you have learnt about breaking down problems, finding patterns, critical thinking, and strategic planning. How much time have you spent learning about this?</v>
      </c>
      <c r="E135" s="18" t="str">
        <f>HYPERLINK("#'Full Results'!A1020", "1020")</f>
        <v>1020</v>
      </c>
      <c r="F135" t="s">
        <v>290</v>
      </c>
    </row>
    <row r="136" spans="3:6" x14ac:dyDescent="0.35">
      <c r="C136">
        <v>128</v>
      </c>
      <c r="D136" s="8" t="str">
        <f>HYPERLINK("#'Table 128'!A1", " You said you have learnt about breaking down problems, finding patterns, critical thinking, and strategic planning. How confident are you in this topic?")</f>
        <v xml:space="preserve"> You said you have learnt about breaking down problems, finding patterns, critical thinking, and strategic planning. How confident are you in this topic?</v>
      </c>
      <c r="E136" s="18" t="str">
        <f>HYPERLINK("#'Full Results'!A1028", "1028")</f>
        <v>1028</v>
      </c>
      <c r="F136" t="s">
        <v>290</v>
      </c>
    </row>
    <row r="137" spans="3:6" x14ac:dyDescent="0.35">
      <c r="C137">
        <v>129</v>
      </c>
      <c r="D137" s="8" t="str">
        <f>HYPERLINK("#'Table 129'!A1", " You said you have learnt about breaking down problems, finding patterns, critical thinking, and strategic planning. How much did you enjoy learning about this?")</f>
        <v xml:space="preserve"> You said you have learnt about breaking down problems, finding patterns, critical thinking, and strategic planning. How much did you enjoy learning about this?</v>
      </c>
      <c r="E137" s="18" t="str">
        <f>HYPERLINK("#'Full Results'!A1038", "1038")</f>
        <v>1038</v>
      </c>
      <c r="F137" t="s">
        <v>290</v>
      </c>
    </row>
    <row r="138" spans="3:6" x14ac:dyDescent="0.35">
      <c r="C138">
        <v>130</v>
      </c>
      <c r="D138" s="8" t="str">
        <f>HYPERLINK("#'Table 130'!A1", " Do you think that breaking down problems, finding patterns, critical thinking, and strategic planning will be useful for you when you are an adult?")</f>
        <v xml:space="preserve"> Do you think that breaking down problems, finding patterns, critical thinking, and strategic planning will be useful for you when you are an adult?</v>
      </c>
      <c r="E138" s="18" t="str">
        <f>HYPERLINK("#'Full Results'!A1046", "1046")</f>
        <v>1046</v>
      </c>
      <c r="F138" t="s">
        <v>290</v>
      </c>
    </row>
    <row r="139" spans="3:6" x14ac:dyDescent="0.35">
      <c r="C139">
        <v>131</v>
      </c>
      <c r="D139" s="8" t="str">
        <f>HYPERLINK("#'Table 131'!A1", " In your time at school, have you learnt anything about budgeting, taxes, percentages, interest rates?")</f>
        <v xml:space="preserve"> In your time at school, have you learnt anything about budgeting, taxes, percentages, interest rates?</v>
      </c>
      <c r="E139" s="18" t="str">
        <f>HYPERLINK("#'Full Results'!A1054", "1054")</f>
        <v>1054</v>
      </c>
      <c r="F139" t="s">
        <v>390</v>
      </c>
    </row>
    <row r="140" spans="3:6" x14ac:dyDescent="0.35">
      <c r="C140">
        <v>132</v>
      </c>
      <c r="D140" s="8" t="str">
        <f>HYPERLINK("#'Table 132'!A1", " You said you have learnt about budgeting, taxes, percentages, interest rates. How much time have you spent learning about this?")</f>
        <v xml:space="preserve"> You said you have learnt about budgeting, taxes, percentages, interest rates. How much time have you spent learning about this?</v>
      </c>
      <c r="E140" s="18" t="str">
        <f>HYPERLINK("#'Full Results'!A1060", "1060")</f>
        <v>1060</v>
      </c>
      <c r="F140" t="s">
        <v>303</v>
      </c>
    </row>
    <row r="141" spans="3:6" x14ac:dyDescent="0.35">
      <c r="C141">
        <v>133</v>
      </c>
      <c r="D141" s="8" t="str">
        <f>HYPERLINK("#'Table 133'!A1", " You said you have learnt about budgeting, taxes, percentages, interest rates. How confident are you in this topic?")</f>
        <v xml:space="preserve"> You said you have learnt about budgeting, taxes, percentages, interest rates. How confident are you in this topic?</v>
      </c>
      <c r="E141" s="18" t="str">
        <f>HYPERLINK("#'Full Results'!A1068", "1068")</f>
        <v>1068</v>
      </c>
      <c r="F141" t="s">
        <v>303</v>
      </c>
    </row>
    <row r="142" spans="3:6" x14ac:dyDescent="0.35">
      <c r="C142">
        <v>134</v>
      </c>
      <c r="D142" s="8" t="str">
        <f>HYPERLINK("#'Table 134'!A1", " You said you have learnt about budgeting, taxes, percentages, interest rates. How much did you enjoy learning about this?")</f>
        <v xml:space="preserve"> You said you have learnt about budgeting, taxes, percentages, interest rates. How much did you enjoy learning about this?</v>
      </c>
      <c r="E142" s="18" t="str">
        <f>HYPERLINK("#'Full Results'!A1078", "1078")</f>
        <v>1078</v>
      </c>
      <c r="F142" t="s">
        <v>303</v>
      </c>
    </row>
    <row r="143" spans="3:6" x14ac:dyDescent="0.35">
      <c r="C143">
        <v>135</v>
      </c>
      <c r="D143" s="8" t="str">
        <f>HYPERLINK("#'Table 135'!A1", " Do you think that budgeting, taxes, percentages, interest rates will be useful for you when you are an adult?")</f>
        <v xml:space="preserve"> Do you think that budgeting, taxes, percentages, interest rates will be useful for you when you are an adult?</v>
      </c>
      <c r="E143" s="18" t="str">
        <f>HYPERLINK("#'Full Results'!A1086", "1086")</f>
        <v>1086</v>
      </c>
      <c r="F143" t="s">
        <v>303</v>
      </c>
    </row>
    <row r="144" spans="3:6" x14ac:dyDescent="0.35">
      <c r="C144">
        <v>136</v>
      </c>
      <c r="D144" s="8" t="str">
        <f>HYPERLINK("#'Table 136'!A1", " In your time at school, have you learnt anything about writing or adapting computer code to solve maths-related problems?")</f>
        <v xml:space="preserve"> In your time at school, have you learnt anything about writing or adapting computer code to solve maths-related problems?</v>
      </c>
      <c r="E144" s="18" t="str">
        <f>HYPERLINK("#'Full Results'!A1094", "1094")</f>
        <v>1094</v>
      </c>
      <c r="F144" t="s">
        <v>390</v>
      </c>
    </row>
    <row r="145" spans="3:7" x14ac:dyDescent="0.35">
      <c r="C145">
        <v>137</v>
      </c>
      <c r="D145" s="8" t="str">
        <f>HYPERLINK("#'Table 137'!A1", " You said you have learnt about writing or adapting computer code to solve maths-related problems. How much time have you spent learning about this?")</f>
        <v xml:space="preserve"> You said you have learnt about writing or adapting computer code to solve maths-related problems. How much time have you spent learning about this?</v>
      </c>
      <c r="E145" s="18" t="str">
        <f>HYPERLINK("#'Full Results'!A1100", "1100")</f>
        <v>1100</v>
      </c>
      <c r="F145" t="s">
        <v>312</v>
      </c>
    </row>
    <row r="146" spans="3:7" x14ac:dyDescent="0.35">
      <c r="C146">
        <v>138</v>
      </c>
      <c r="D146" s="8" t="str">
        <f>HYPERLINK("#'Table 138'!A1", " You said you have learnt about writing or adapting computer code to solve maths-related problems. How confident are you in this topic?")</f>
        <v xml:space="preserve"> You said you have learnt about writing or adapting computer code to solve maths-related problems. How confident are you in this topic?</v>
      </c>
      <c r="E146" s="18" t="str">
        <f>HYPERLINK("#'Full Results'!A1108", "1108")</f>
        <v>1108</v>
      </c>
      <c r="F146" t="s">
        <v>312</v>
      </c>
    </row>
    <row r="147" spans="3:7" x14ac:dyDescent="0.35">
      <c r="C147">
        <v>139</v>
      </c>
      <c r="D147" s="8" t="str">
        <f>HYPERLINK("#'Table 139'!A1", " You said you have learnt about writing or adapting computer code to solve maths-related problems. How much did you enjoy learning about this?")</f>
        <v xml:space="preserve"> You said you have learnt about writing or adapting computer code to solve maths-related problems. How much did you enjoy learning about this?</v>
      </c>
      <c r="E147" s="18" t="str">
        <f>HYPERLINK("#'Full Results'!A1118", "1118")</f>
        <v>1118</v>
      </c>
      <c r="F147" t="s">
        <v>312</v>
      </c>
    </row>
    <row r="148" spans="3:7" x14ac:dyDescent="0.35">
      <c r="C148">
        <v>140</v>
      </c>
      <c r="D148" s="8" t="str">
        <f>HYPERLINK("#'Table 140'!A1", " Do you think that writing or adapting computer code to solve maths-related problems will be useful for you when you are an adult?")</f>
        <v xml:space="preserve"> Do you think that writing or adapting computer code to solve maths-related problems will be useful for you when you are an adult?</v>
      </c>
      <c r="E148" s="18" t="str">
        <f>HYPERLINK("#'Full Results'!A1126", "1126")</f>
        <v>1126</v>
      </c>
      <c r="F148" t="s">
        <v>312</v>
      </c>
    </row>
    <row r="149" spans="3:7" x14ac:dyDescent="0.35">
      <c r="C149">
        <v>141</v>
      </c>
      <c r="D149" s="8" t="str">
        <f>HYPERLINK("#'Table 141'!A1", " Thinking about all of the following, which do you most enjoy learning about? ")</f>
        <v xml:space="preserve"> Thinking about all of the following, which do you most enjoy learning about? </v>
      </c>
      <c r="E149" s="18" t="str">
        <f>HYPERLINK("#'Full Results'!A1134", "1134")</f>
        <v>1134</v>
      </c>
      <c r="F149" t="s">
        <v>389</v>
      </c>
      <c r="G149" t="s">
        <v>303</v>
      </c>
    </row>
    <row r="150" spans="3:7" x14ac:dyDescent="0.35">
      <c r="C150">
        <v>142</v>
      </c>
      <c r="D150" s="8" t="str">
        <f>HYPERLINK("#'Table 142'!A1", " And which do you think will be most useful to you when you leave school? ")</f>
        <v xml:space="preserve"> And which do you think will be most useful to you when you leave school? </v>
      </c>
      <c r="E150" s="18" t="str">
        <f>HYPERLINK("#'Full Results'!A1146", "1146")</f>
        <v>1146</v>
      </c>
      <c r="F150" t="s">
        <v>389</v>
      </c>
      <c r="G150" t="s">
        <v>303</v>
      </c>
    </row>
    <row r="151" spans="3:7" x14ac:dyDescent="0.35">
      <c r="C151">
        <v>143</v>
      </c>
      <c r="D151" s="8" t="str">
        <f>HYPERLINK("#'Table 143'!A1", " Thinking about all of the following, which do you most enjoy learning about? ")</f>
        <v xml:space="preserve"> Thinking about all of the following, which do you most enjoy learning about? </v>
      </c>
      <c r="E151" s="18" t="str">
        <f>HYPERLINK("#'Full Results'!A1158", "1158")</f>
        <v>1158</v>
      </c>
      <c r="F151" t="s">
        <v>209</v>
      </c>
      <c r="G151" t="s">
        <v>312</v>
      </c>
    </row>
    <row r="152" spans="3:7" x14ac:dyDescent="0.35">
      <c r="C152">
        <v>144</v>
      </c>
      <c r="D152" s="8" t="str">
        <f>HYPERLINK("#'Table 144'!A1", " And which do you think will be most useful to you when you leave school? ")</f>
        <v xml:space="preserve"> And which do you think will be most useful to you when you leave school? </v>
      </c>
      <c r="E152" s="18" t="str">
        <f>HYPERLINK("#'Full Results'!A1170", "1170")</f>
        <v>1170</v>
      </c>
      <c r="F152" t="s">
        <v>209</v>
      </c>
      <c r="G152" t="s">
        <v>312</v>
      </c>
    </row>
    <row r="153" spans="3:7" x14ac:dyDescent="0.35">
      <c r="C153">
        <v>145</v>
      </c>
      <c r="D153" s="8" t="str">
        <f>HYPERLINK("#'Table 145'!A1", " Thinking about all of the following, which do you most enjoy learning about? ")</f>
        <v xml:space="preserve"> Thinking about all of the following, which do you most enjoy learning about? </v>
      </c>
      <c r="E153" s="18" t="str">
        <f>HYPERLINK("#'Full Results'!A1182", "1182")</f>
        <v>1182</v>
      </c>
      <c r="F153" t="s">
        <v>390</v>
      </c>
      <c r="G153" t="s">
        <v>322</v>
      </c>
    </row>
    <row r="154" spans="3:7" x14ac:dyDescent="0.35">
      <c r="C154">
        <v>146</v>
      </c>
      <c r="D154" s="8" t="str">
        <f>HYPERLINK("#'Table 146'!A1", " And which do you think will be most useful to you when you leave school?")</f>
        <v xml:space="preserve"> And which do you think will be most useful to you when you leave school?</v>
      </c>
      <c r="E154" s="18" t="str">
        <f>HYPERLINK("#'Full Results'!A1196", "1196")</f>
        <v>1196</v>
      </c>
      <c r="F154" t="s">
        <v>390</v>
      </c>
      <c r="G154" t="s">
        <v>322</v>
      </c>
    </row>
    <row r="155" spans="3:7" x14ac:dyDescent="0.35">
      <c r="C155">
        <v>147</v>
      </c>
      <c r="D155" s="8" t="str">
        <f>HYPERLINK("#'Table 147'!A1", " Which of these best describes how maths and numbers are taught in your school?")</f>
        <v xml:space="preserve"> Which of these best describes how maths and numbers are taught in your school?</v>
      </c>
      <c r="E155" s="18" t="str">
        <f>HYPERLINK("#'Full Results'!A1210", "1210")</f>
        <v>1210</v>
      </c>
      <c r="F155" t="s">
        <v>89</v>
      </c>
    </row>
    <row r="156" spans="3:7" x14ac:dyDescent="0.35">
      <c r="C156">
        <v>148</v>
      </c>
      <c r="D156" s="8" t="str">
        <f>HYPERLINK("#'Table 148'!A1", " If you understand things in maths more quickly than other people in your class, do your teachers give you harder things to do instead?")</f>
        <v xml:space="preserve"> If you understand things in maths more quickly than other people in your class, do your teachers give you harder things to do instead?</v>
      </c>
      <c r="E156" s="18" t="str">
        <f>HYPERLINK("#'Full Results'!A1219", "1219")</f>
        <v>1219</v>
      </c>
      <c r="F156" t="s">
        <v>89</v>
      </c>
    </row>
    <row r="157" spans="3:7" x14ac:dyDescent="0.35">
      <c r="C157">
        <v>149</v>
      </c>
      <c r="D157" s="8" t="str">
        <f>HYPERLINK("#'Table 149'!A1", " If you understand things in maths more slowly than other people in your class, do your teachers give you extra support to understand?")</f>
        <v xml:space="preserve"> If you understand things in maths more slowly than other people in your class, do your teachers give you extra support to understand?</v>
      </c>
      <c r="E157" s="18" t="str">
        <f>HYPERLINK("#'Full Results'!A1227", "1227")</f>
        <v>1227</v>
      </c>
      <c r="F157" t="s">
        <v>89</v>
      </c>
    </row>
    <row r="158" spans="3:7" x14ac:dyDescent="0.35">
      <c r="C158">
        <v>150</v>
      </c>
      <c r="D158" s="8" t="str">
        <f>HYPERLINK("#'Table 150'!A1", "Grid Summary: Which of the following have you done in maths at school, and have they helped you learn?")</f>
        <v>Grid Summary: Which of the following have you done in maths at school, and have they helped you learn?</v>
      </c>
      <c r="E158" s="7"/>
      <c r="F158" t="s">
        <v>89</v>
      </c>
    </row>
    <row r="159" spans="3:7" x14ac:dyDescent="0.35">
      <c r="C159">
        <v>151</v>
      </c>
      <c r="D159" s="8" t="str">
        <f>HYPERLINK("#'Table 151'!A1", "Which of the following have you done in maths at school, and have they helped you learn?: Using blocks or other physical equipment")</f>
        <v>Which of the following have you done in maths at school, and have they helped you learn?: Using blocks or other physical equipment</v>
      </c>
      <c r="E159" s="18" t="str">
        <f>HYPERLINK("#'Full Results'!A1235", "1235")</f>
        <v>1235</v>
      </c>
      <c r="F159" t="s">
        <v>89</v>
      </c>
    </row>
    <row r="160" spans="3:7" x14ac:dyDescent="0.35">
      <c r="C160">
        <v>152</v>
      </c>
      <c r="D160" s="8" t="str">
        <f>HYPERLINK("#'Table 152'!A1", "Which of the following have you done in maths at school, and have they helped you learn?: Playing non-computer games")</f>
        <v>Which of the following have you done in maths at school, and have they helped you learn?: Playing non-computer games</v>
      </c>
      <c r="E160" s="18" t="str">
        <f>HYPERLINK("#'Full Results'!A1242", "1242")</f>
        <v>1242</v>
      </c>
      <c r="F160" t="s">
        <v>89</v>
      </c>
    </row>
    <row r="161" spans="3:6" x14ac:dyDescent="0.35">
      <c r="C161">
        <v>153</v>
      </c>
      <c r="D161" s="8" t="str">
        <f>HYPERLINK("#'Table 153'!A1", "Which of the following have you done in maths at school, and have they helped you learn?: Using pictures or diagrams")</f>
        <v>Which of the following have you done in maths at school, and have they helped you learn?: Using pictures or diagrams</v>
      </c>
      <c r="E161" s="18" t="str">
        <f>HYPERLINK("#'Full Results'!A1249", "1249")</f>
        <v>1249</v>
      </c>
      <c r="F161" t="s">
        <v>89</v>
      </c>
    </row>
    <row r="162" spans="3:6" x14ac:dyDescent="0.35">
      <c r="C162">
        <v>154</v>
      </c>
      <c r="D162" s="8" t="str">
        <f>HYPERLINK("#'Table 154'!A1", "Which of the following have you done in maths at school, and have they helped you learn?: Using real life examples")</f>
        <v>Which of the following have you done in maths at school, and have they helped you learn?: Using real life examples</v>
      </c>
      <c r="E162" s="18" t="str">
        <f>HYPERLINK("#'Full Results'!A1256", "1256")</f>
        <v>1256</v>
      </c>
      <c r="F162" t="s">
        <v>89</v>
      </c>
    </row>
    <row r="163" spans="3:6" x14ac:dyDescent="0.35">
      <c r="C163">
        <v>155</v>
      </c>
      <c r="D163" s="8" t="str">
        <f>HYPERLINK("#'Table 155'!A1", "Which of the following have you done in maths at school, and have they helped you learn?: Learning times tables")</f>
        <v>Which of the following have you done in maths at school, and have they helped you learn?: Learning times tables</v>
      </c>
      <c r="E163" s="18" t="str">
        <f>HYPERLINK("#'Full Results'!A1263", "1263")</f>
        <v>1263</v>
      </c>
      <c r="F163" t="s">
        <v>89</v>
      </c>
    </row>
    <row r="164" spans="3:6" x14ac:dyDescent="0.35">
      <c r="C164">
        <v>156</v>
      </c>
      <c r="D164" s="8" t="str">
        <f>HYPERLINK("#'Table 156'!A1", "Which of the following have you done in maths at school, and have they helped you learn?: Using computer games or programmes")</f>
        <v>Which of the following have you done in maths at school, and have they helped you learn?: Using computer games or programmes</v>
      </c>
      <c r="E164" s="18" t="str">
        <f>HYPERLINK("#'Full Results'!A1270", "1270")</f>
        <v>1270</v>
      </c>
      <c r="F164" t="s">
        <v>89</v>
      </c>
    </row>
    <row r="165" spans="3:6" x14ac:dyDescent="0.35">
      <c r="C165">
        <v>157</v>
      </c>
      <c r="D165" s="8" t="str">
        <f>HYPERLINK("#'Table 157'!A1", "Which of the following have you done in maths at school, and have they helped you learn?: Explaining a method to someone else")</f>
        <v>Which of the following have you done in maths at school, and have they helped you learn?: Explaining a method to someone else</v>
      </c>
      <c r="E165" s="18" t="str">
        <f>HYPERLINK("#'Full Results'!A1277", "1277")</f>
        <v>1277</v>
      </c>
      <c r="F165" t="s">
        <v>89</v>
      </c>
    </row>
    <row r="166" spans="3:6" x14ac:dyDescent="0.35">
      <c r="C166">
        <v>158</v>
      </c>
      <c r="D166" s="8" t="str">
        <f>HYPERLINK("#'Table 158'!A1", "Which of the following have you done in maths at school, and have they helped you learn?: Discussing different ways to solve a problem")</f>
        <v>Which of the following have you done in maths at school, and have they helped you learn?: Discussing different ways to solve a problem</v>
      </c>
      <c r="E166" s="18" t="str">
        <f>HYPERLINK("#'Full Results'!A1284", "1284")</f>
        <v>1284</v>
      </c>
      <c r="F166" t="s">
        <v>89</v>
      </c>
    </row>
    <row r="167" spans="3:6" x14ac:dyDescent="0.35">
      <c r="C167">
        <v>159</v>
      </c>
      <c r="D167" s="8" t="str">
        <f>HYPERLINK("#'Table 159'!A1", " Which of these best describes how maths is taught in your school?")</f>
        <v xml:space="preserve"> Which of these best describes how maths is taught in your school?</v>
      </c>
      <c r="E167" s="18" t="str">
        <f>HYPERLINK("#'Full Results'!A1291", "1291")</f>
        <v>1291</v>
      </c>
      <c r="F167" t="s">
        <v>74</v>
      </c>
    </row>
    <row r="168" spans="3:6" x14ac:dyDescent="0.35">
      <c r="C168">
        <v>160</v>
      </c>
      <c r="D168" s="8" t="str">
        <f>HYPERLINK("#'Table 160'!A1", " If you understand things in maths more quickly than other people in your class, do your teachers give you harder things to do instead?  ")</f>
        <v xml:space="preserve"> If you understand things in maths more quickly than other people in your class, do your teachers give you harder things to do instead?  </v>
      </c>
      <c r="E168" s="18" t="str">
        <f>HYPERLINK("#'Full Results'!A1300", "1300")</f>
        <v>1300</v>
      </c>
      <c r="F168" t="s">
        <v>74</v>
      </c>
    </row>
    <row r="169" spans="3:6" x14ac:dyDescent="0.35">
      <c r="C169">
        <v>161</v>
      </c>
      <c r="D169" s="8" t="str">
        <f>HYPERLINK("#'Table 161'!A1", " If you understand things in maths more slowly than other people in your class, do your teachers give you extra support to understand?")</f>
        <v xml:space="preserve"> If you understand things in maths more slowly than other people in your class, do your teachers give you extra support to understand?</v>
      </c>
      <c r="E169" s="18" t="str">
        <f>HYPERLINK("#'Full Results'!A1308", "1308")</f>
        <v>1308</v>
      </c>
      <c r="F169" t="s">
        <v>74</v>
      </c>
    </row>
    <row r="170" spans="3:6" x14ac:dyDescent="0.35">
      <c r="C170">
        <v>162</v>
      </c>
      <c r="D170" s="8" t="str">
        <f>HYPERLINK("#'Table 162'!A1", " Would you say that the maths you have covered in secondary school has repeated things you learned in primary school, or is it covering new things?")</f>
        <v xml:space="preserve"> Would you say that the maths you have covered in secondary school has repeated things you learned in primary school, or is it covering new things?</v>
      </c>
      <c r="E170" s="18" t="str">
        <f>HYPERLINK("#'Full Results'!A1316", "1316")</f>
        <v>1316</v>
      </c>
      <c r="F170" t="s">
        <v>392</v>
      </c>
    </row>
    <row r="171" spans="3:6" x14ac:dyDescent="0.35">
      <c r="C171">
        <v>163</v>
      </c>
      <c r="D171" s="8" t="str">
        <f>HYPERLINK("#'Table 163'!A1", " Do you expect to use maths in your future career?")</f>
        <v xml:space="preserve"> Do you expect to use maths in your future career?</v>
      </c>
      <c r="E171" s="18" t="str">
        <f>HYPERLINK("#'Full Results'!A1323", "1323")</f>
        <v>1323</v>
      </c>
      <c r="F171" t="s">
        <v>74</v>
      </c>
    </row>
    <row r="172" spans="3:6" x14ac:dyDescent="0.35">
      <c r="C172">
        <v>164</v>
      </c>
      <c r="D172" s="8" t="str">
        <f>HYPERLINK("#'Table 164'!A1", " Which of the following comes closest to your view?")</f>
        <v xml:space="preserve"> Which of the following comes closest to your view?</v>
      </c>
      <c r="E172" s="18" t="str">
        <f>HYPERLINK("#'Full Results'!A1330", "1330")</f>
        <v>1330</v>
      </c>
      <c r="F172" t="s">
        <v>74</v>
      </c>
    </row>
    <row r="173" spans="3:6" x14ac:dyDescent="0.35">
      <c r="C173">
        <v>165</v>
      </c>
      <c r="D173" s="8" t="str">
        <f>HYPERLINK("#'Table 165'!A1", "Grid Summary: How important would you say the following are to your future and career, if at all?")</f>
        <v>Grid Summary: How important would you say the following are to your future and career, if at all?</v>
      </c>
      <c r="E173" s="7"/>
      <c r="F173" t="s">
        <v>74</v>
      </c>
    </row>
    <row r="174" spans="3:6" x14ac:dyDescent="0.35">
      <c r="C174">
        <v>166</v>
      </c>
      <c r="D174" s="8" t="str">
        <f>HYPERLINK("#'Table 166'!A1", "How important would you say the following are to your future and career, if at all?: Getting a good grade in Maths GCSE")</f>
        <v>How important would you say the following are to your future and career, if at all?: Getting a good grade in Maths GCSE</v>
      </c>
      <c r="E174" s="18" t="str">
        <f>HYPERLINK("#'Full Results'!A1337", "1337")</f>
        <v>1337</v>
      </c>
      <c r="F174" t="s">
        <v>74</v>
      </c>
    </row>
    <row r="175" spans="3:6" x14ac:dyDescent="0.35">
      <c r="C175">
        <v>167</v>
      </c>
      <c r="D175" s="8" t="str">
        <f>HYPERLINK("#'Table 167'!A1", "How important would you say the following are to your future and career, if at all?: Getting a good grade in Maths A Level")</f>
        <v>How important would you say the following are to your future and career, if at all?: Getting a good grade in Maths A Level</v>
      </c>
      <c r="E175" s="18" t="str">
        <f>HYPERLINK("#'Full Results'!A1347", "1347")</f>
        <v>1347</v>
      </c>
      <c r="F175" t="s">
        <v>74</v>
      </c>
    </row>
    <row r="176" spans="3:6" x14ac:dyDescent="0.35">
      <c r="C176">
        <v>168</v>
      </c>
      <c r="D176" s="8" t="str">
        <f>HYPERLINK("#'Table 168'!A1", "How important would you say the following are to your future and career, if at all?: Knowing how to code")</f>
        <v>How important would you say the following are to your future and career, if at all?: Knowing how to code</v>
      </c>
      <c r="E176" s="18" t="str">
        <f>HYPERLINK("#'Full Results'!A1357", "1357")</f>
        <v>1357</v>
      </c>
      <c r="F176" t="s">
        <v>74</v>
      </c>
    </row>
    <row r="177" spans="3:6" x14ac:dyDescent="0.35">
      <c r="C177">
        <v>169</v>
      </c>
      <c r="D177" s="8" t="str">
        <f>HYPERLINK("#'Table 169'!A1", "How important would you say the following are to your future and career, if at all?: Being good at writing in general")</f>
        <v>How important would you say the following are to your future and career, if at all?: Being good at writing in general</v>
      </c>
      <c r="E177" s="18" t="str">
        <f>HYPERLINK("#'Full Results'!A1367", "1367")</f>
        <v>1367</v>
      </c>
      <c r="F177" t="s">
        <v>74</v>
      </c>
    </row>
    <row r="178" spans="3:6" x14ac:dyDescent="0.35">
      <c r="C178">
        <v>170</v>
      </c>
      <c r="D178" s="8" t="str">
        <f>HYPERLINK("#'Table 170'!A1", "How important would you say the following are to your future and career, if at all?: Being good at maths in general")</f>
        <v>How important would you say the following are to your future and career, if at all?: Being good at maths in general</v>
      </c>
      <c r="E178" s="18" t="str">
        <f>HYPERLINK("#'Full Results'!A1377", "1377")</f>
        <v>1377</v>
      </c>
      <c r="F178" t="s">
        <v>74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AN1360"/>
  <sheetViews>
    <sheetView showGridLines="0" workbookViewId="0">
      <pane xSplit="2" ySplit="8" topLeftCell="C9" activePane="bottomRight" state="frozen"/>
      <selection pane="topRight"/>
      <selection pane="bottomLeft"/>
      <selection pane="bottomRight" activeCell="A428" sqref="A428"/>
    </sheetView>
  </sheetViews>
  <sheetFormatPr defaultColWidth="10.90625" defaultRowHeight="14.5" x14ac:dyDescent="0.35"/>
  <cols>
    <col min="2" max="2" width="20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37" t="s">
        <v>388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3"/>
      <c r="C5" s="13"/>
      <c r="D5" s="40" t="s">
        <v>48</v>
      </c>
      <c r="E5" s="40"/>
      <c r="F5" s="13"/>
      <c r="G5" s="40" t="s">
        <v>49</v>
      </c>
      <c r="H5" s="40"/>
      <c r="I5" s="40"/>
      <c r="J5" s="13"/>
      <c r="K5" s="40" t="s">
        <v>50</v>
      </c>
      <c r="L5" s="40"/>
      <c r="M5" s="40"/>
      <c r="N5" s="13"/>
      <c r="O5" s="40" t="s">
        <v>51</v>
      </c>
      <c r="P5" s="40"/>
      <c r="Q5" s="13"/>
      <c r="R5" s="40" t="s">
        <v>52</v>
      </c>
      <c r="S5" s="40"/>
      <c r="T5" s="40"/>
      <c r="U5" s="40"/>
      <c r="V5" s="40"/>
      <c r="W5" s="40"/>
      <c r="X5" s="40"/>
      <c r="Y5" s="40"/>
      <c r="Z5" s="40"/>
      <c r="AA5" s="13"/>
      <c r="AB5" s="40" t="s">
        <v>53</v>
      </c>
      <c r="AC5" s="40"/>
      <c r="AD5" s="40"/>
      <c r="AE5" s="40"/>
      <c r="AF5" s="13"/>
      <c r="AG5" s="40" t="s">
        <v>54</v>
      </c>
      <c r="AH5" s="40"/>
      <c r="AI5" s="13"/>
      <c r="AJ5" s="40" t="s">
        <v>398</v>
      </c>
      <c r="AK5" s="40"/>
      <c r="AL5" s="13"/>
      <c r="AM5" s="40" t="s">
        <v>55</v>
      </c>
      <c r="AN5" s="40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20" customHeight="1" x14ac:dyDescent="0.35">
      <c r="B7" s="10" t="s">
        <v>19</v>
      </c>
      <c r="C7" s="10">
        <v>2154</v>
      </c>
      <c r="D7" s="10">
        <v>1116</v>
      </c>
      <c r="E7" s="10">
        <v>1031</v>
      </c>
      <c r="F7" s="10"/>
      <c r="G7" s="10">
        <v>429</v>
      </c>
      <c r="H7" s="10">
        <v>509</v>
      </c>
      <c r="I7" s="10">
        <v>1216</v>
      </c>
      <c r="J7" s="10"/>
      <c r="K7" s="10">
        <v>938</v>
      </c>
      <c r="L7" s="10">
        <v>924</v>
      </c>
      <c r="M7" s="10">
        <v>292</v>
      </c>
      <c r="N7" s="10"/>
      <c r="O7" s="10">
        <v>1847</v>
      </c>
      <c r="P7" s="10">
        <v>260</v>
      </c>
      <c r="Q7" s="10"/>
      <c r="R7" s="10">
        <v>311</v>
      </c>
      <c r="S7" s="10">
        <v>370</v>
      </c>
      <c r="T7" s="10">
        <v>196</v>
      </c>
      <c r="U7" s="10">
        <v>211</v>
      </c>
      <c r="V7" s="10">
        <v>191</v>
      </c>
      <c r="W7" s="10">
        <v>273</v>
      </c>
      <c r="X7" s="10">
        <v>143</v>
      </c>
      <c r="Y7" s="10">
        <v>114</v>
      </c>
      <c r="Z7" s="10">
        <v>345</v>
      </c>
      <c r="AA7" s="10"/>
      <c r="AB7" s="10">
        <v>152</v>
      </c>
      <c r="AC7" s="10">
        <v>147</v>
      </c>
      <c r="AD7" s="10">
        <v>152</v>
      </c>
      <c r="AE7" s="10">
        <v>106</v>
      </c>
      <c r="AF7" s="10"/>
      <c r="AG7" s="10">
        <v>95</v>
      </c>
      <c r="AH7" s="10">
        <v>46</v>
      </c>
      <c r="AI7" s="10"/>
      <c r="AJ7" s="10">
        <v>141</v>
      </c>
      <c r="AK7" s="10">
        <v>131</v>
      </c>
      <c r="AL7" s="10"/>
      <c r="AM7" s="10">
        <v>1237</v>
      </c>
      <c r="AN7" s="10">
        <v>479</v>
      </c>
    </row>
    <row r="8" spans="2:40" ht="20" customHeight="1" x14ac:dyDescent="0.35">
      <c r="B8" s="11" t="s">
        <v>20</v>
      </c>
      <c r="C8" s="11">
        <v>2154</v>
      </c>
      <c r="D8" s="11">
        <v>1073</v>
      </c>
      <c r="E8" s="11">
        <v>1074</v>
      </c>
      <c r="F8" s="11"/>
      <c r="G8" s="11">
        <v>559</v>
      </c>
      <c r="H8" s="11">
        <v>459</v>
      </c>
      <c r="I8" s="11">
        <v>1136</v>
      </c>
      <c r="J8" s="11"/>
      <c r="K8" s="11">
        <v>1018</v>
      </c>
      <c r="L8" s="11">
        <v>745</v>
      </c>
      <c r="M8" s="11">
        <v>391</v>
      </c>
      <c r="N8" s="11"/>
      <c r="O8" s="11">
        <v>1847</v>
      </c>
      <c r="P8" s="11">
        <v>261</v>
      </c>
      <c r="Q8" s="11"/>
      <c r="R8" s="11">
        <v>345</v>
      </c>
      <c r="S8" s="11">
        <v>345</v>
      </c>
      <c r="T8" s="11">
        <v>215</v>
      </c>
      <c r="U8" s="11">
        <v>237</v>
      </c>
      <c r="V8" s="11">
        <v>194</v>
      </c>
      <c r="W8" s="11">
        <v>215</v>
      </c>
      <c r="X8" s="11">
        <v>215</v>
      </c>
      <c r="Y8" s="11">
        <v>108</v>
      </c>
      <c r="Z8" s="11">
        <v>280</v>
      </c>
      <c r="AA8" s="11"/>
      <c r="AB8" s="11">
        <v>117</v>
      </c>
      <c r="AC8" s="11">
        <v>117</v>
      </c>
      <c r="AD8" s="11">
        <v>211</v>
      </c>
      <c r="AE8" s="11">
        <v>141</v>
      </c>
      <c r="AF8" s="11"/>
      <c r="AG8" s="11">
        <v>117</v>
      </c>
      <c r="AH8" s="11">
        <v>63</v>
      </c>
      <c r="AI8" s="11"/>
      <c r="AJ8" s="11">
        <v>180</v>
      </c>
      <c r="AK8" s="11">
        <v>185</v>
      </c>
      <c r="AL8" s="11"/>
      <c r="AM8" s="11">
        <v>1240</v>
      </c>
      <c r="AN8" s="11">
        <v>486</v>
      </c>
    </row>
    <row r="11" spans="2:40" x14ac:dyDescent="0.35">
      <c r="B11" s="6" t="s">
        <v>77</v>
      </c>
    </row>
    <row r="12" spans="2:40" x14ac:dyDescent="0.35">
      <c r="B12" s="24" t="s">
        <v>89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</row>
    <row r="13" spans="2:40" x14ac:dyDescent="0.35">
      <c r="B13" t="s">
        <v>65</v>
      </c>
      <c r="C13" s="14">
        <v>0.348056396408499</v>
      </c>
      <c r="D13" s="14">
        <v>0.39066322638379403</v>
      </c>
      <c r="E13" s="14">
        <v>0.302677775310215</v>
      </c>
      <c r="F13" s="14"/>
      <c r="G13" s="14">
        <v>0.38114039506680802</v>
      </c>
      <c r="H13" s="14">
        <v>0.30777599287478402</v>
      </c>
      <c r="I13" s="14" t="s">
        <v>76</v>
      </c>
      <c r="J13" s="14"/>
      <c r="K13" s="14">
        <v>0.348056396408499</v>
      </c>
      <c r="L13" s="14" t="s">
        <v>76</v>
      </c>
      <c r="M13" s="14" t="s">
        <v>76</v>
      </c>
      <c r="N13" s="14"/>
      <c r="O13" s="14">
        <v>0.35022507400173197</v>
      </c>
      <c r="P13" s="14">
        <v>0.33067373320675503</v>
      </c>
      <c r="Q13" s="14"/>
      <c r="R13" s="14">
        <v>0.42063877341752698</v>
      </c>
      <c r="S13" s="14">
        <v>0.33218258463879402</v>
      </c>
      <c r="T13" s="14">
        <v>0.30093329843654198</v>
      </c>
      <c r="U13" s="14">
        <v>0.33877651895051603</v>
      </c>
      <c r="V13" s="14">
        <v>0.31076938341896099</v>
      </c>
      <c r="W13" s="14">
        <v>0.31491730308937299</v>
      </c>
      <c r="X13" s="14">
        <v>0.40712741808636799</v>
      </c>
      <c r="Y13" s="14">
        <v>0.21850332577138401</v>
      </c>
      <c r="Z13" s="14">
        <v>0.37624170503545301</v>
      </c>
      <c r="AA13" s="14"/>
      <c r="AB13" s="14" t="s">
        <v>76</v>
      </c>
      <c r="AC13" s="14" t="s">
        <v>76</v>
      </c>
      <c r="AD13" s="14" t="s">
        <v>76</v>
      </c>
      <c r="AE13" s="14" t="s">
        <v>76</v>
      </c>
      <c r="AF13" s="14"/>
      <c r="AG13" s="14" t="s">
        <v>76</v>
      </c>
      <c r="AH13" s="14" t="s">
        <v>76</v>
      </c>
      <c r="AI13" s="14"/>
      <c r="AJ13" s="14" t="s">
        <v>76</v>
      </c>
      <c r="AK13" s="14" t="s">
        <v>76</v>
      </c>
      <c r="AL13" s="14"/>
      <c r="AM13" s="14">
        <v>0.50133199040077103</v>
      </c>
      <c r="AN13" s="14">
        <v>2.0002329460602899E-2</v>
      </c>
    </row>
    <row r="14" spans="2:40" x14ac:dyDescent="0.35">
      <c r="B14" t="s">
        <v>66</v>
      </c>
      <c r="C14" s="14">
        <v>0.31984110829090601</v>
      </c>
      <c r="D14" s="14">
        <v>0.32890684628051198</v>
      </c>
      <c r="E14" s="14">
        <v>0.30955915325651401</v>
      </c>
      <c r="F14" s="14"/>
      <c r="G14" s="14">
        <v>0.31892690330583001</v>
      </c>
      <c r="H14" s="14">
        <v>0.32095417041171298</v>
      </c>
      <c r="I14" s="14" t="s">
        <v>76</v>
      </c>
      <c r="J14" s="14"/>
      <c r="K14" s="14">
        <v>0.31984110829090601</v>
      </c>
      <c r="L14" s="14" t="s">
        <v>76</v>
      </c>
      <c r="M14" s="14" t="s">
        <v>76</v>
      </c>
      <c r="N14" s="14"/>
      <c r="O14" s="14">
        <v>0.31163817821098699</v>
      </c>
      <c r="P14" s="14">
        <v>0.39155942678503403</v>
      </c>
      <c r="Q14" s="14"/>
      <c r="R14" s="14">
        <v>0.39756171908577298</v>
      </c>
      <c r="S14" s="14">
        <v>0.31935167059697001</v>
      </c>
      <c r="T14" s="14">
        <v>0.30349587396059802</v>
      </c>
      <c r="U14" s="14">
        <v>0.33231945696352799</v>
      </c>
      <c r="V14" s="14">
        <v>0.22952382697578899</v>
      </c>
      <c r="W14" s="14">
        <v>0.36376976496421698</v>
      </c>
      <c r="X14" s="14">
        <v>0.27530721367669497</v>
      </c>
      <c r="Y14" s="14">
        <v>0.43262129258307203</v>
      </c>
      <c r="Z14" s="14">
        <v>0.25164781258584201</v>
      </c>
      <c r="AA14" s="14"/>
      <c r="AB14" s="14" t="s">
        <v>76</v>
      </c>
      <c r="AC14" s="14" t="s">
        <v>76</v>
      </c>
      <c r="AD14" s="14" t="s">
        <v>76</v>
      </c>
      <c r="AE14" s="14" t="s">
        <v>76</v>
      </c>
      <c r="AF14" s="14"/>
      <c r="AG14" s="14" t="s">
        <v>76</v>
      </c>
      <c r="AH14" s="14" t="s">
        <v>76</v>
      </c>
      <c r="AI14" s="14"/>
      <c r="AJ14" s="14" t="s">
        <v>76</v>
      </c>
      <c r="AK14" s="14" t="s">
        <v>76</v>
      </c>
      <c r="AL14" s="14"/>
      <c r="AM14" s="14">
        <v>0.35734809282651198</v>
      </c>
      <c r="AN14" s="14">
        <v>8.5997480442485799E-2</v>
      </c>
    </row>
    <row r="15" spans="2:40" x14ac:dyDescent="0.35">
      <c r="B15" t="s">
        <v>67</v>
      </c>
      <c r="C15" s="14">
        <v>0.18590824770569001</v>
      </c>
      <c r="D15" s="14">
        <v>0.18568710072615799</v>
      </c>
      <c r="E15" s="14">
        <v>0.186946766881122</v>
      </c>
      <c r="F15" s="14"/>
      <c r="G15" s="14">
        <v>0.18628412568238101</v>
      </c>
      <c r="H15" s="14">
        <v>0.185450609052728</v>
      </c>
      <c r="I15" s="14" t="s">
        <v>76</v>
      </c>
      <c r="J15" s="14"/>
      <c r="K15" s="14">
        <v>0.18590824770569001</v>
      </c>
      <c r="L15" s="14" t="s">
        <v>76</v>
      </c>
      <c r="M15" s="14" t="s">
        <v>76</v>
      </c>
      <c r="N15" s="14"/>
      <c r="O15" s="14">
        <v>0.18656141420244499</v>
      </c>
      <c r="P15" s="14">
        <v>0.18829255718112001</v>
      </c>
      <c r="Q15" s="14"/>
      <c r="R15" s="14">
        <v>0.124851659274284</v>
      </c>
      <c r="S15" s="14">
        <v>0.16159966100710199</v>
      </c>
      <c r="T15" s="14">
        <v>0.189885507433496</v>
      </c>
      <c r="U15" s="14">
        <v>0.17620792980491701</v>
      </c>
      <c r="V15" s="14">
        <v>0.28403694496380599</v>
      </c>
      <c r="W15" s="14">
        <v>0.18820666373898701</v>
      </c>
      <c r="X15" s="14">
        <v>0.15793336911299499</v>
      </c>
      <c r="Y15" s="14">
        <v>0.19404979344171699</v>
      </c>
      <c r="Z15" s="14">
        <v>0.245731794843082</v>
      </c>
      <c r="AA15" s="14"/>
      <c r="AB15" s="14" t="s">
        <v>76</v>
      </c>
      <c r="AC15" s="14" t="s">
        <v>76</v>
      </c>
      <c r="AD15" s="14" t="s">
        <v>76</v>
      </c>
      <c r="AE15" s="14" t="s">
        <v>76</v>
      </c>
      <c r="AF15" s="14"/>
      <c r="AG15" s="14" t="s">
        <v>76</v>
      </c>
      <c r="AH15" s="14" t="s">
        <v>76</v>
      </c>
      <c r="AI15" s="14"/>
      <c r="AJ15" s="14" t="s">
        <v>76</v>
      </c>
      <c r="AK15" s="14" t="s">
        <v>76</v>
      </c>
      <c r="AL15" s="14"/>
      <c r="AM15" s="14">
        <v>0.11206790872370399</v>
      </c>
      <c r="AN15" s="14">
        <v>0.30315197774782698</v>
      </c>
    </row>
    <row r="16" spans="2:40" x14ac:dyDescent="0.35">
      <c r="B16" t="s">
        <v>68</v>
      </c>
      <c r="C16" s="14">
        <v>0.13897143358978301</v>
      </c>
      <c r="D16" s="14">
        <v>9.0050981223202403E-2</v>
      </c>
      <c r="E16" s="14">
        <v>0.19337839044654101</v>
      </c>
      <c r="F16" s="14"/>
      <c r="G16" s="14">
        <v>0.10444360467563001</v>
      </c>
      <c r="H16" s="14">
        <v>0.181009728179541</v>
      </c>
      <c r="I16" s="14" t="s">
        <v>76</v>
      </c>
      <c r="J16" s="14"/>
      <c r="K16" s="14">
        <v>0.13897143358978301</v>
      </c>
      <c r="L16" s="14" t="s">
        <v>76</v>
      </c>
      <c r="M16" s="14" t="s">
        <v>76</v>
      </c>
      <c r="N16" s="14"/>
      <c r="O16" s="14">
        <v>0.147995729456077</v>
      </c>
      <c r="P16" s="14">
        <v>6.4493769995449202E-2</v>
      </c>
      <c r="Q16" s="14"/>
      <c r="R16" s="14">
        <v>3.8957848562827697E-2</v>
      </c>
      <c r="S16" s="14">
        <v>0.16609535441620499</v>
      </c>
      <c r="T16" s="14">
        <v>0.205685320169363</v>
      </c>
      <c r="U16" s="14">
        <v>0.152696094281038</v>
      </c>
      <c r="V16" s="14">
        <v>0.175669844641444</v>
      </c>
      <c r="W16" s="14">
        <v>0.133106268207423</v>
      </c>
      <c r="X16" s="14">
        <v>0.14800669424353499</v>
      </c>
      <c r="Y16" s="14">
        <v>0.154825588203826</v>
      </c>
      <c r="Z16" s="14">
        <v>0.12637868753562301</v>
      </c>
      <c r="AA16" s="14"/>
      <c r="AB16" s="14" t="s">
        <v>76</v>
      </c>
      <c r="AC16" s="14" t="s">
        <v>76</v>
      </c>
      <c r="AD16" s="14" t="s">
        <v>76</v>
      </c>
      <c r="AE16" s="14" t="s">
        <v>76</v>
      </c>
      <c r="AF16" s="14"/>
      <c r="AG16" s="14" t="s">
        <v>76</v>
      </c>
      <c r="AH16" s="14" t="s">
        <v>76</v>
      </c>
      <c r="AI16" s="14"/>
      <c r="AJ16" s="14" t="s">
        <v>76</v>
      </c>
      <c r="AK16" s="14" t="s">
        <v>76</v>
      </c>
      <c r="AL16" s="14"/>
      <c r="AM16" s="14">
        <v>2.4919449535412402E-2</v>
      </c>
      <c r="AN16" s="14">
        <v>0.59084821234908502</v>
      </c>
    </row>
    <row r="17" spans="2:40" x14ac:dyDescent="0.35">
      <c r="B17" t="s">
        <v>69</v>
      </c>
      <c r="C17" s="14">
        <v>1.9322400884914099E-3</v>
      </c>
      <c r="D17" s="14">
        <v>0</v>
      </c>
      <c r="E17" s="14">
        <v>4.0659690256620003E-3</v>
      </c>
      <c r="F17" s="14"/>
      <c r="G17" s="14">
        <v>3.5192705769440799E-3</v>
      </c>
      <c r="H17" s="14">
        <v>0</v>
      </c>
      <c r="I17" s="14" t="s">
        <v>76</v>
      </c>
      <c r="J17" s="14"/>
      <c r="K17" s="14">
        <v>1.9322400884914099E-3</v>
      </c>
      <c r="L17" s="14" t="s">
        <v>76</v>
      </c>
      <c r="M17" s="14" t="s">
        <v>76</v>
      </c>
      <c r="N17" s="14"/>
      <c r="O17" s="14">
        <v>2.18345779945218E-3</v>
      </c>
      <c r="P17" s="14">
        <v>0</v>
      </c>
      <c r="Q17" s="14"/>
      <c r="R17" s="14">
        <v>1.21304762866783E-2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/>
      <c r="AB17" s="14" t="s">
        <v>76</v>
      </c>
      <c r="AC17" s="14" t="s">
        <v>76</v>
      </c>
      <c r="AD17" s="14" t="s">
        <v>76</v>
      </c>
      <c r="AE17" s="14" t="s">
        <v>76</v>
      </c>
      <c r="AF17" s="14"/>
      <c r="AG17" s="14" t="s">
        <v>76</v>
      </c>
      <c r="AH17" s="14" t="s">
        <v>76</v>
      </c>
      <c r="AI17" s="14"/>
      <c r="AJ17" s="14" t="s">
        <v>76</v>
      </c>
      <c r="AK17" s="14" t="s">
        <v>76</v>
      </c>
      <c r="AL17" s="14"/>
      <c r="AM17" s="14">
        <v>2.9214007395416699E-3</v>
      </c>
      <c r="AN17" s="14">
        <v>0</v>
      </c>
    </row>
    <row r="18" spans="2:40" x14ac:dyDescent="0.35">
      <c r="B18" t="s">
        <v>70</v>
      </c>
      <c r="C18" s="14">
        <v>5.2905739166309402E-3</v>
      </c>
      <c r="D18" s="14">
        <v>4.6918453863333499E-3</v>
      </c>
      <c r="E18" s="14">
        <v>3.3719450799466399E-3</v>
      </c>
      <c r="F18" s="14"/>
      <c r="G18" s="14">
        <v>5.6857006924061204E-3</v>
      </c>
      <c r="H18" s="14">
        <v>4.80949948123458E-3</v>
      </c>
      <c r="I18" s="14" t="s">
        <v>76</v>
      </c>
      <c r="J18" s="14"/>
      <c r="K18" s="14">
        <v>5.2905739166309402E-3</v>
      </c>
      <c r="L18" s="14" t="s">
        <v>76</v>
      </c>
      <c r="M18" s="14" t="s">
        <v>76</v>
      </c>
      <c r="N18" s="14"/>
      <c r="O18" s="14">
        <v>1.39614632930652E-3</v>
      </c>
      <c r="P18" s="14">
        <v>2.4980512831641499E-2</v>
      </c>
      <c r="Q18" s="14"/>
      <c r="R18" s="14">
        <v>5.8595233729098403E-3</v>
      </c>
      <c r="S18" s="14">
        <v>2.0770729340927899E-2</v>
      </c>
      <c r="T18" s="14">
        <v>0</v>
      </c>
      <c r="U18" s="14">
        <v>0</v>
      </c>
      <c r="V18" s="14">
        <v>0</v>
      </c>
      <c r="W18" s="14">
        <v>0</v>
      </c>
      <c r="X18" s="14">
        <v>1.1625304880407099E-2</v>
      </c>
      <c r="Y18" s="14">
        <v>0</v>
      </c>
      <c r="Z18" s="14">
        <v>0</v>
      </c>
      <c r="AA18" s="14"/>
      <c r="AB18" s="14" t="s">
        <v>76</v>
      </c>
      <c r="AC18" s="14" t="s">
        <v>76</v>
      </c>
      <c r="AD18" s="14" t="s">
        <v>76</v>
      </c>
      <c r="AE18" s="14" t="s">
        <v>76</v>
      </c>
      <c r="AF18" s="14"/>
      <c r="AG18" s="14" t="s">
        <v>76</v>
      </c>
      <c r="AH18" s="14" t="s">
        <v>76</v>
      </c>
      <c r="AI18" s="14"/>
      <c r="AJ18" s="14" t="s">
        <v>76</v>
      </c>
      <c r="AK18" s="14" t="s">
        <v>76</v>
      </c>
      <c r="AL18" s="14"/>
      <c r="AM18" s="14">
        <v>1.4111577740586699E-3</v>
      </c>
      <c r="AN18" s="14">
        <v>0</v>
      </c>
    </row>
    <row r="19" spans="2:40" x14ac:dyDescent="0.35"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</row>
    <row r="20" spans="2:40" x14ac:dyDescent="0.35">
      <c r="B20" s="6" t="s">
        <v>78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</row>
    <row r="21" spans="2:40" x14ac:dyDescent="0.35">
      <c r="B21" s="24" t="s">
        <v>89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</row>
    <row r="22" spans="2:40" x14ac:dyDescent="0.35">
      <c r="B22" t="s">
        <v>65</v>
      </c>
      <c r="C22" s="14">
        <v>0.30881184822049201</v>
      </c>
      <c r="D22" s="14">
        <v>0.276484876113475</v>
      </c>
      <c r="E22" s="14">
        <v>0.34401467995614299</v>
      </c>
      <c r="F22" s="14"/>
      <c r="G22" s="14">
        <v>0.33611787376903801</v>
      </c>
      <c r="H22" s="14">
        <v>0.27556623787704398</v>
      </c>
      <c r="I22" s="14" t="s">
        <v>76</v>
      </c>
      <c r="J22" s="14"/>
      <c r="K22" s="14">
        <v>0.30881184822049201</v>
      </c>
      <c r="L22" s="14" t="s">
        <v>76</v>
      </c>
      <c r="M22" s="14" t="s">
        <v>76</v>
      </c>
      <c r="N22" s="14"/>
      <c r="O22" s="14">
        <v>0.28702008941097601</v>
      </c>
      <c r="P22" s="14">
        <v>0.52166057866064997</v>
      </c>
      <c r="Q22" s="14"/>
      <c r="R22" s="14">
        <v>0.42311015229911197</v>
      </c>
      <c r="S22" s="14">
        <v>0.25517219746813402</v>
      </c>
      <c r="T22" s="14">
        <v>0.24535852955877299</v>
      </c>
      <c r="U22" s="14">
        <v>0.19696422037092001</v>
      </c>
      <c r="V22" s="14">
        <v>0.25975116120340402</v>
      </c>
      <c r="W22" s="14">
        <v>0.31272488999653902</v>
      </c>
      <c r="X22" s="14">
        <v>0.34363763765816102</v>
      </c>
      <c r="Y22" s="14">
        <v>0.43052954539300797</v>
      </c>
      <c r="Z22" s="14">
        <v>0.34693016936423299</v>
      </c>
      <c r="AA22" s="14"/>
      <c r="AB22" s="14" t="s">
        <v>76</v>
      </c>
      <c r="AC22" s="14" t="s">
        <v>76</v>
      </c>
      <c r="AD22" s="14" t="s">
        <v>76</v>
      </c>
      <c r="AE22" s="14" t="s">
        <v>76</v>
      </c>
      <c r="AF22" s="14"/>
      <c r="AG22" s="14" t="s">
        <v>76</v>
      </c>
      <c r="AH22" s="14" t="s">
        <v>76</v>
      </c>
      <c r="AI22" s="14"/>
      <c r="AJ22" s="14" t="s">
        <v>76</v>
      </c>
      <c r="AK22" s="14" t="s">
        <v>76</v>
      </c>
      <c r="AL22" s="14"/>
      <c r="AM22" s="14">
        <v>0.35397484010984098</v>
      </c>
      <c r="AN22" s="14">
        <v>0.22193601919318701</v>
      </c>
    </row>
    <row r="23" spans="2:40" x14ac:dyDescent="0.35">
      <c r="B23" t="s">
        <v>66</v>
      </c>
      <c r="C23" s="14">
        <v>0.35725407285773397</v>
      </c>
      <c r="D23" s="14">
        <v>0.34756148232152501</v>
      </c>
      <c r="E23" s="14">
        <v>0.369444140673648</v>
      </c>
      <c r="F23" s="14"/>
      <c r="G23" s="14">
        <v>0.32802485360510297</v>
      </c>
      <c r="H23" s="14">
        <v>0.39284120845857801</v>
      </c>
      <c r="I23" s="14" t="s">
        <v>76</v>
      </c>
      <c r="J23" s="14"/>
      <c r="K23" s="14">
        <v>0.35725407285773397</v>
      </c>
      <c r="L23" s="14" t="s">
        <v>76</v>
      </c>
      <c r="M23" s="14" t="s">
        <v>76</v>
      </c>
      <c r="N23" s="14"/>
      <c r="O23" s="14">
        <v>0.37095417685864002</v>
      </c>
      <c r="P23" s="14">
        <v>0.25921525728173</v>
      </c>
      <c r="Q23" s="14"/>
      <c r="R23" s="14">
        <v>0.34628520112266498</v>
      </c>
      <c r="S23" s="14">
        <v>0.34469829706556998</v>
      </c>
      <c r="T23" s="14">
        <v>0.40109759111520898</v>
      </c>
      <c r="U23" s="14">
        <v>0.43175812801440799</v>
      </c>
      <c r="V23" s="14">
        <v>0.37232207824957603</v>
      </c>
      <c r="W23" s="14">
        <v>0.43890167311805101</v>
      </c>
      <c r="X23" s="14">
        <v>0.277663036430294</v>
      </c>
      <c r="Y23" s="14">
        <v>0.24696063114734501</v>
      </c>
      <c r="Z23" s="14">
        <v>0.30837338673091402</v>
      </c>
      <c r="AA23" s="14"/>
      <c r="AB23" s="14" t="s">
        <v>76</v>
      </c>
      <c r="AC23" s="14" t="s">
        <v>76</v>
      </c>
      <c r="AD23" s="14" t="s">
        <v>76</v>
      </c>
      <c r="AE23" s="14" t="s">
        <v>76</v>
      </c>
      <c r="AF23" s="14"/>
      <c r="AG23" s="14" t="s">
        <v>76</v>
      </c>
      <c r="AH23" s="14" t="s">
        <v>76</v>
      </c>
      <c r="AI23" s="14"/>
      <c r="AJ23" s="14" t="s">
        <v>76</v>
      </c>
      <c r="AK23" s="14" t="s">
        <v>76</v>
      </c>
      <c r="AL23" s="14"/>
      <c r="AM23" s="14">
        <v>0.35252312133546099</v>
      </c>
      <c r="AN23" s="14">
        <v>0.32205007844926498</v>
      </c>
    </row>
    <row r="24" spans="2:40" x14ac:dyDescent="0.35">
      <c r="B24" t="s">
        <v>67</v>
      </c>
      <c r="C24" s="14">
        <v>0.22472455460690499</v>
      </c>
      <c r="D24" s="14">
        <v>0.241085562406989</v>
      </c>
      <c r="E24" s="14">
        <v>0.20768875344265</v>
      </c>
      <c r="F24" s="14"/>
      <c r="G24" s="14">
        <v>0.237464192556575</v>
      </c>
      <c r="H24" s="14">
        <v>0.209213800819675</v>
      </c>
      <c r="I24" s="14" t="s">
        <v>76</v>
      </c>
      <c r="J24" s="14"/>
      <c r="K24" s="14">
        <v>0.22472455460690499</v>
      </c>
      <c r="L24" s="14" t="s">
        <v>76</v>
      </c>
      <c r="M24" s="14" t="s">
        <v>76</v>
      </c>
      <c r="N24" s="14"/>
      <c r="O24" s="14">
        <v>0.227708836756876</v>
      </c>
      <c r="P24" s="14">
        <v>0.17161050390031499</v>
      </c>
      <c r="Q24" s="14"/>
      <c r="R24" s="14">
        <v>0.14421741374774499</v>
      </c>
      <c r="S24" s="14">
        <v>0.26674118011697201</v>
      </c>
      <c r="T24" s="14">
        <v>0.213454703224562</v>
      </c>
      <c r="U24" s="14">
        <v>0.288754909573115</v>
      </c>
      <c r="V24" s="14">
        <v>0.26011292025020799</v>
      </c>
      <c r="W24" s="14">
        <v>0.15804230829326199</v>
      </c>
      <c r="X24" s="14">
        <v>0.25829334246204</v>
      </c>
      <c r="Y24" s="14">
        <v>0.18755163769348801</v>
      </c>
      <c r="Z24" s="14">
        <v>0.24071584193276899</v>
      </c>
      <c r="AA24" s="14"/>
      <c r="AB24" s="14" t="s">
        <v>76</v>
      </c>
      <c r="AC24" s="14" t="s">
        <v>76</v>
      </c>
      <c r="AD24" s="14" t="s">
        <v>76</v>
      </c>
      <c r="AE24" s="14" t="s">
        <v>76</v>
      </c>
      <c r="AF24" s="14"/>
      <c r="AG24" s="14" t="s">
        <v>76</v>
      </c>
      <c r="AH24" s="14" t="s">
        <v>76</v>
      </c>
      <c r="AI24" s="14"/>
      <c r="AJ24" s="14" t="s">
        <v>76</v>
      </c>
      <c r="AK24" s="14" t="s">
        <v>76</v>
      </c>
      <c r="AL24" s="14"/>
      <c r="AM24" s="14">
        <v>0.19716861121888399</v>
      </c>
      <c r="AN24" s="14">
        <v>0.29675808401148501</v>
      </c>
    </row>
    <row r="25" spans="2:40" x14ac:dyDescent="0.35">
      <c r="B25" t="s">
        <v>68</v>
      </c>
      <c r="C25" s="14">
        <v>8.9856740976945002E-2</v>
      </c>
      <c r="D25" s="14">
        <v>0.11513762782184001</v>
      </c>
      <c r="E25" s="14">
        <v>5.98322920755191E-2</v>
      </c>
      <c r="F25" s="14"/>
      <c r="G25" s="14">
        <v>7.0668341275867602E-2</v>
      </c>
      <c r="H25" s="14">
        <v>0.113218986003862</v>
      </c>
      <c r="I25" s="14" t="s">
        <v>76</v>
      </c>
      <c r="J25" s="14"/>
      <c r="K25" s="14">
        <v>8.9856740976945002E-2</v>
      </c>
      <c r="L25" s="14" t="s">
        <v>76</v>
      </c>
      <c r="M25" s="14" t="s">
        <v>76</v>
      </c>
      <c r="N25" s="14"/>
      <c r="O25" s="14">
        <v>9.5202835175158998E-2</v>
      </c>
      <c r="P25" s="14">
        <v>3.9004306621720698E-2</v>
      </c>
      <c r="Q25" s="14"/>
      <c r="R25" s="14">
        <v>6.19584985922145E-2</v>
      </c>
      <c r="S25" s="14">
        <v>0.122726370525756</v>
      </c>
      <c r="T25" s="14">
        <v>0.11649952925101199</v>
      </c>
      <c r="U25" s="14">
        <v>8.2522742041556393E-2</v>
      </c>
      <c r="V25" s="14">
        <v>8.6099121024299202E-2</v>
      </c>
      <c r="W25" s="14">
        <v>9.0331128592147397E-2</v>
      </c>
      <c r="X25" s="14">
        <v>6.1339226531520102E-2</v>
      </c>
      <c r="Y25" s="14">
        <v>9.8248154853873296E-2</v>
      </c>
      <c r="Z25" s="14">
        <v>9.30632097062708E-2</v>
      </c>
      <c r="AA25" s="14"/>
      <c r="AB25" s="14" t="s">
        <v>76</v>
      </c>
      <c r="AC25" s="14" t="s">
        <v>76</v>
      </c>
      <c r="AD25" s="14" t="s">
        <v>76</v>
      </c>
      <c r="AE25" s="14" t="s">
        <v>76</v>
      </c>
      <c r="AF25" s="14"/>
      <c r="AG25" s="14" t="s">
        <v>76</v>
      </c>
      <c r="AH25" s="14" t="s">
        <v>76</v>
      </c>
      <c r="AI25" s="14"/>
      <c r="AJ25" s="14" t="s">
        <v>76</v>
      </c>
      <c r="AK25" s="14" t="s">
        <v>76</v>
      </c>
      <c r="AL25" s="14"/>
      <c r="AM25" s="14">
        <v>7.7978319924244699E-2</v>
      </c>
      <c r="AN25" s="14">
        <v>0.14824400869194801</v>
      </c>
    </row>
    <row r="26" spans="2:40" x14ac:dyDescent="0.35">
      <c r="B26" t="s">
        <v>69</v>
      </c>
      <c r="C26" s="14">
        <v>1.06476197952831E-2</v>
      </c>
      <c r="D26" s="14">
        <v>6.2310822955553803E-3</v>
      </c>
      <c r="E26" s="14">
        <v>1.55513566883974E-2</v>
      </c>
      <c r="F26" s="14"/>
      <c r="G26" s="14">
        <v>1.5501061594361199E-2</v>
      </c>
      <c r="H26" s="14">
        <v>4.7384612255054097E-3</v>
      </c>
      <c r="I26" s="14" t="s">
        <v>76</v>
      </c>
      <c r="J26" s="14"/>
      <c r="K26" s="14">
        <v>1.06476197952831E-2</v>
      </c>
      <c r="L26" s="14" t="s">
        <v>76</v>
      </c>
      <c r="M26" s="14" t="s">
        <v>76</v>
      </c>
      <c r="N26" s="14"/>
      <c r="O26" s="14">
        <v>9.2771076093254908E-3</v>
      </c>
      <c r="P26" s="14">
        <v>8.5093535355831793E-3</v>
      </c>
      <c r="Q26" s="14"/>
      <c r="R26" s="14">
        <v>1.7375476091909099E-2</v>
      </c>
      <c r="S26" s="14">
        <v>1.06619548235681E-2</v>
      </c>
      <c r="T26" s="14">
        <v>0</v>
      </c>
      <c r="U26" s="14">
        <v>0</v>
      </c>
      <c r="V26" s="14">
        <v>0</v>
      </c>
      <c r="W26" s="14">
        <v>0</v>
      </c>
      <c r="X26" s="14">
        <v>5.9066756917984603E-2</v>
      </c>
      <c r="Y26" s="14">
        <v>0</v>
      </c>
      <c r="Z26" s="14">
        <v>0</v>
      </c>
      <c r="AA26" s="14"/>
      <c r="AB26" s="14" t="s">
        <v>76</v>
      </c>
      <c r="AC26" s="14" t="s">
        <v>76</v>
      </c>
      <c r="AD26" s="14" t="s">
        <v>76</v>
      </c>
      <c r="AE26" s="14" t="s">
        <v>76</v>
      </c>
      <c r="AF26" s="14"/>
      <c r="AG26" s="14" t="s">
        <v>76</v>
      </c>
      <c r="AH26" s="14" t="s">
        <v>76</v>
      </c>
      <c r="AI26" s="14"/>
      <c r="AJ26" s="14" t="s">
        <v>76</v>
      </c>
      <c r="AK26" s="14" t="s">
        <v>76</v>
      </c>
      <c r="AL26" s="14"/>
      <c r="AM26" s="14">
        <v>8.0465091692852892E-3</v>
      </c>
      <c r="AN26" s="14">
        <v>0</v>
      </c>
    </row>
    <row r="27" spans="2:40" x14ac:dyDescent="0.35">
      <c r="B27" t="s">
        <v>70</v>
      </c>
      <c r="C27" s="14">
        <v>8.7051635426402194E-3</v>
      </c>
      <c r="D27" s="14">
        <v>1.3499369040616001E-2</v>
      </c>
      <c r="E27" s="14">
        <v>3.46877716364297E-3</v>
      </c>
      <c r="F27" s="14"/>
      <c r="G27" s="14">
        <v>1.2223677199055399E-2</v>
      </c>
      <c r="H27" s="14">
        <v>4.4213056153369797E-3</v>
      </c>
      <c r="I27" s="14" t="s">
        <v>76</v>
      </c>
      <c r="J27" s="14"/>
      <c r="K27" s="14">
        <v>8.7051635426402194E-3</v>
      </c>
      <c r="L27" s="14" t="s">
        <v>76</v>
      </c>
      <c r="M27" s="14" t="s">
        <v>76</v>
      </c>
      <c r="N27" s="14"/>
      <c r="O27" s="14">
        <v>9.8369541890234204E-3</v>
      </c>
      <c r="P27" s="14">
        <v>0</v>
      </c>
      <c r="Q27" s="14"/>
      <c r="R27" s="14">
        <v>7.0532581463543598E-3</v>
      </c>
      <c r="S27" s="14">
        <v>0</v>
      </c>
      <c r="T27" s="14">
        <v>2.3589646850443999E-2</v>
      </c>
      <c r="U27" s="14">
        <v>0</v>
      </c>
      <c r="V27" s="14">
        <v>2.1714719272512301E-2</v>
      </c>
      <c r="W27" s="14">
        <v>0</v>
      </c>
      <c r="X27" s="14">
        <v>0</v>
      </c>
      <c r="Y27" s="14">
        <v>3.6710030912286203E-2</v>
      </c>
      <c r="Z27" s="14">
        <v>1.0917392265813499E-2</v>
      </c>
      <c r="AA27" s="14"/>
      <c r="AB27" s="14" t="s">
        <v>76</v>
      </c>
      <c r="AC27" s="14" t="s">
        <v>76</v>
      </c>
      <c r="AD27" s="14" t="s">
        <v>76</v>
      </c>
      <c r="AE27" s="14" t="s">
        <v>76</v>
      </c>
      <c r="AF27" s="14"/>
      <c r="AG27" s="14" t="s">
        <v>76</v>
      </c>
      <c r="AH27" s="14" t="s">
        <v>76</v>
      </c>
      <c r="AI27" s="14"/>
      <c r="AJ27" s="14" t="s">
        <v>76</v>
      </c>
      <c r="AK27" s="14" t="s">
        <v>76</v>
      </c>
      <c r="AL27" s="14"/>
      <c r="AM27" s="14">
        <v>1.03085982422851E-2</v>
      </c>
      <c r="AN27" s="14">
        <v>1.1011809654114701E-2</v>
      </c>
    </row>
    <row r="28" spans="2:40" x14ac:dyDescent="0.35"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</row>
    <row r="29" spans="2:40" x14ac:dyDescent="0.35">
      <c r="B29" s="6" t="s">
        <v>79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</row>
    <row r="30" spans="2:40" x14ac:dyDescent="0.35">
      <c r="B30" s="24" t="s">
        <v>89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</row>
    <row r="31" spans="2:40" x14ac:dyDescent="0.35">
      <c r="B31" t="s">
        <v>65</v>
      </c>
      <c r="C31" s="14">
        <v>0.44669664098131201</v>
      </c>
      <c r="D31" s="14">
        <v>0.49807760880912599</v>
      </c>
      <c r="E31" s="14">
        <v>0.39041059650250598</v>
      </c>
      <c r="F31" s="14"/>
      <c r="G31" s="14">
        <v>0.45407818960697499</v>
      </c>
      <c r="H31" s="14">
        <v>0.437709463813996</v>
      </c>
      <c r="I31" s="14" t="s">
        <v>76</v>
      </c>
      <c r="J31" s="14"/>
      <c r="K31" s="14">
        <v>0.44669664098131201</v>
      </c>
      <c r="L31" s="14" t="s">
        <v>76</v>
      </c>
      <c r="M31" s="14" t="s">
        <v>76</v>
      </c>
      <c r="N31" s="14"/>
      <c r="O31" s="14">
        <v>0.42904113268924199</v>
      </c>
      <c r="P31" s="14">
        <v>0.61863823471018498</v>
      </c>
      <c r="Q31" s="14"/>
      <c r="R31" s="14">
        <v>0.54759654631121601</v>
      </c>
      <c r="S31" s="14">
        <v>0.35502028806109898</v>
      </c>
      <c r="T31" s="14">
        <v>0.371854707415955</v>
      </c>
      <c r="U31" s="14">
        <v>0.360431089532676</v>
      </c>
      <c r="V31" s="14">
        <v>0.40590738309322</v>
      </c>
      <c r="W31" s="14">
        <v>0.49122486098407903</v>
      </c>
      <c r="X31" s="14">
        <v>0.57535559141664505</v>
      </c>
      <c r="Y31" s="14">
        <v>0.44914852434714803</v>
      </c>
      <c r="Z31" s="14">
        <v>0.45739024685163499</v>
      </c>
      <c r="AA31" s="14"/>
      <c r="AB31" s="14" t="s">
        <v>76</v>
      </c>
      <c r="AC31" s="14" t="s">
        <v>76</v>
      </c>
      <c r="AD31" s="14" t="s">
        <v>76</v>
      </c>
      <c r="AE31" s="14" t="s">
        <v>76</v>
      </c>
      <c r="AF31" s="14"/>
      <c r="AG31" s="14" t="s">
        <v>76</v>
      </c>
      <c r="AH31" s="14" t="s">
        <v>76</v>
      </c>
      <c r="AI31" s="14"/>
      <c r="AJ31" s="14" t="s">
        <v>76</v>
      </c>
      <c r="AK31" s="14" t="s">
        <v>76</v>
      </c>
      <c r="AL31" s="14"/>
      <c r="AM31" s="14">
        <v>0.49640381897983898</v>
      </c>
      <c r="AN31" s="14">
        <v>0.34085501243973299</v>
      </c>
    </row>
    <row r="32" spans="2:40" x14ac:dyDescent="0.35">
      <c r="B32" t="s">
        <v>66</v>
      </c>
      <c r="C32" s="14">
        <v>0.31537309208029701</v>
      </c>
      <c r="D32" s="14">
        <v>0.30382701681611002</v>
      </c>
      <c r="E32" s="14">
        <v>0.329422838652913</v>
      </c>
      <c r="F32" s="14"/>
      <c r="G32" s="14">
        <v>0.253396809194467</v>
      </c>
      <c r="H32" s="14">
        <v>0.39083040635309502</v>
      </c>
      <c r="I32" s="14" t="s">
        <v>76</v>
      </c>
      <c r="J32" s="14"/>
      <c r="K32" s="14">
        <v>0.31537309208029701</v>
      </c>
      <c r="L32" s="14" t="s">
        <v>76</v>
      </c>
      <c r="M32" s="14" t="s">
        <v>76</v>
      </c>
      <c r="N32" s="14"/>
      <c r="O32" s="14">
        <v>0.33005907599860101</v>
      </c>
      <c r="P32" s="14">
        <v>0.201644377756967</v>
      </c>
      <c r="Q32" s="14"/>
      <c r="R32" s="14">
        <v>0.27798501067327103</v>
      </c>
      <c r="S32" s="14">
        <v>0.396664592526837</v>
      </c>
      <c r="T32" s="14">
        <v>0.33938408368003598</v>
      </c>
      <c r="U32" s="14">
        <v>0.41788276297035798</v>
      </c>
      <c r="V32" s="14">
        <v>0.327114204157327</v>
      </c>
      <c r="W32" s="14">
        <v>0.22117223628020499</v>
      </c>
      <c r="X32" s="14">
        <v>0.24046766901889399</v>
      </c>
      <c r="Y32" s="14">
        <v>0.278458828838762</v>
      </c>
      <c r="Z32" s="14">
        <v>0.29401938563639002</v>
      </c>
      <c r="AA32" s="14"/>
      <c r="AB32" s="14" t="s">
        <v>76</v>
      </c>
      <c r="AC32" s="14" t="s">
        <v>76</v>
      </c>
      <c r="AD32" s="14" t="s">
        <v>76</v>
      </c>
      <c r="AE32" s="14" t="s">
        <v>76</v>
      </c>
      <c r="AF32" s="14"/>
      <c r="AG32" s="14" t="s">
        <v>76</v>
      </c>
      <c r="AH32" s="14" t="s">
        <v>76</v>
      </c>
      <c r="AI32" s="14"/>
      <c r="AJ32" s="14" t="s">
        <v>76</v>
      </c>
      <c r="AK32" s="14" t="s">
        <v>76</v>
      </c>
      <c r="AL32" s="14"/>
      <c r="AM32" s="14">
        <v>0.294842585314117</v>
      </c>
      <c r="AN32" s="14">
        <v>0.346472630560685</v>
      </c>
    </row>
    <row r="33" spans="2:40" x14ac:dyDescent="0.35">
      <c r="B33" t="s">
        <v>67</v>
      </c>
      <c r="C33" s="14">
        <v>0.124259953400662</v>
      </c>
      <c r="D33" s="14">
        <v>9.5272217485850297E-2</v>
      </c>
      <c r="E33" s="14">
        <v>0.15667799805990201</v>
      </c>
      <c r="F33" s="14"/>
      <c r="G33" s="14">
        <v>0.125681852777557</v>
      </c>
      <c r="H33" s="14">
        <v>0.12252876361078199</v>
      </c>
      <c r="I33" s="14" t="s">
        <v>76</v>
      </c>
      <c r="J33" s="14"/>
      <c r="K33" s="14">
        <v>0.124259953400662</v>
      </c>
      <c r="L33" s="14" t="s">
        <v>76</v>
      </c>
      <c r="M33" s="14" t="s">
        <v>76</v>
      </c>
      <c r="N33" s="14"/>
      <c r="O33" s="14">
        <v>0.122732309599742</v>
      </c>
      <c r="P33" s="14">
        <v>0.12908656590486201</v>
      </c>
      <c r="Q33" s="14"/>
      <c r="R33" s="14">
        <v>0.12639874617822999</v>
      </c>
      <c r="S33" s="14">
        <v>9.0978074129798206E-2</v>
      </c>
      <c r="T33" s="14">
        <v>0.10907472098083799</v>
      </c>
      <c r="U33" s="14">
        <v>0.18366903754339001</v>
      </c>
      <c r="V33" s="14">
        <v>0.112875750219167</v>
      </c>
      <c r="W33" s="14">
        <v>0.13388199702624301</v>
      </c>
      <c r="X33" s="14">
        <v>0.10139217853225301</v>
      </c>
      <c r="Y33" s="14">
        <v>0.176459511813572</v>
      </c>
      <c r="Z33" s="14">
        <v>0.12185673394666099</v>
      </c>
      <c r="AA33" s="14"/>
      <c r="AB33" s="14" t="s">
        <v>76</v>
      </c>
      <c r="AC33" s="14" t="s">
        <v>76</v>
      </c>
      <c r="AD33" s="14" t="s">
        <v>76</v>
      </c>
      <c r="AE33" s="14" t="s">
        <v>76</v>
      </c>
      <c r="AF33" s="14"/>
      <c r="AG33" s="14" t="s">
        <v>76</v>
      </c>
      <c r="AH33" s="14" t="s">
        <v>76</v>
      </c>
      <c r="AI33" s="14"/>
      <c r="AJ33" s="14" t="s">
        <v>76</v>
      </c>
      <c r="AK33" s="14" t="s">
        <v>76</v>
      </c>
      <c r="AL33" s="14"/>
      <c r="AM33" s="14">
        <v>9.6208978547565396E-2</v>
      </c>
      <c r="AN33" s="14">
        <v>0.22388842292434599</v>
      </c>
    </row>
    <row r="34" spans="2:40" x14ac:dyDescent="0.35">
      <c r="B34" t="s">
        <v>68</v>
      </c>
      <c r="C34" s="14">
        <v>2.10621543850858E-2</v>
      </c>
      <c r="D34" s="14">
        <v>1.11035288296272E-2</v>
      </c>
      <c r="E34" s="14">
        <v>3.2106736320086697E-2</v>
      </c>
      <c r="F34" s="14"/>
      <c r="G34" s="14">
        <v>2.2298292844733301E-2</v>
      </c>
      <c r="H34" s="14">
        <v>1.9557132078308399E-2</v>
      </c>
      <c r="I34" s="14" t="s">
        <v>76</v>
      </c>
      <c r="J34" s="14"/>
      <c r="K34" s="14">
        <v>2.10621543850858E-2</v>
      </c>
      <c r="L34" s="14" t="s">
        <v>76</v>
      </c>
      <c r="M34" s="14" t="s">
        <v>76</v>
      </c>
      <c r="N34" s="14"/>
      <c r="O34" s="14">
        <v>2.0449591301321301E-2</v>
      </c>
      <c r="P34" s="14">
        <v>3.0202993632486901E-2</v>
      </c>
      <c r="Q34" s="14"/>
      <c r="R34" s="14">
        <v>1.2039694698774099E-2</v>
      </c>
      <c r="S34" s="14">
        <v>1.8170013262010801E-2</v>
      </c>
      <c r="T34" s="14">
        <v>2.60668778062433E-2</v>
      </c>
      <c r="U34" s="14">
        <v>1.04712757713599E-2</v>
      </c>
      <c r="V34" s="14">
        <v>5.7341918518866601E-2</v>
      </c>
      <c r="W34" s="14">
        <v>4.3045127594613299E-2</v>
      </c>
      <c r="X34" s="14">
        <v>1.16096155166304E-2</v>
      </c>
      <c r="Y34" s="14">
        <v>0</v>
      </c>
      <c r="Z34" s="14">
        <v>1.1733016676306499E-2</v>
      </c>
      <c r="AA34" s="14"/>
      <c r="AB34" s="14" t="s">
        <v>76</v>
      </c>
      <c r="AC34" s="14" t="s">
        <v>76</v>
      </c>
      <c r="AD34" s="14" t="s">
        <v>76</v>
      </c>
      <c r="AE34" s="14" t="s">
        <v>76</v>
      </c>
      <c r="AF34" s="14"/>
      <c r="AG34" s="14" t="s">
        <v>76</v>
      </c>
      <c r="AH34" s="14" t="s">
        <v>76</v>
      </c>
      <c r="AI34" s="14"/>
      <c r="AJ34" s="14" t="s">
        <v>76</v>
      </c>
      <c r="AK34" s="14" t="s">
        <v>76</v>
      </c>
      <c r="AL34" s="14"/>
      <c r="AM34" s="14">
        <v>1.61987835071986E-2</v>
      </c>
      <c r="AN34" s="14">
        <v>3.94199650256431E-2</v>
      </c>
    </row>
    <row r="35" spans="2:40" x14ac:dyDescent="0.35">
      <c r="B35" t="s">
        <v>69</v>
      </c>
      <c r="C35" s="14">
        <v>7.9544776922112106E-2</v>
      </c>
      <c r="D35" s="14">
        <v>8.1616089675719705E-2</v>
      </c>
      <c r="E35" s="14">
        <v>7.7606601402207903E-2</v>
      </c>
      <c r="F35" s="14"/>
      <c r="G35" s="14">
        <v>0.124702210432568</v>
      </c>
      <c r="H35" s="14">
        <v>2.45647346625841E-2</v>
      </c>
      <c r="I35" s="14" t="s">
        <v>76</v>
      </c>
      <c r="J35" s="14"/>
      <c r="K35" s="14">
        <v>7.9544776922112106E-2</v>
      </c>
      <c r="L35" s="14" t="s">
        <v>76</v>
      </c>
      <c r="M35" s="14" t="s">
        <v>76</v>
      </c>
      <c r="N35" s="14"/>
      <c r="O35" s="14">
        <v>8.5986608871532005E-2</v>
      </c>
      <c r="P35" s="14">
        <v>1.0921482031114199E-2</v>
      </c>
      <c r="Q35" s="14"/>
      <c r="R35" s="14">
        <v>3.0120478765599801E-2</v>
      </c>
      <c r="S35" s="14">
        <v>0.122305693379357</v>
      </c>
      <c r="T35" s="14">
        <v>0.10588126453694</v>
      </c>
      <c r="U35" s="14">
        <v>2.7545834182216199E-2</v>
      </c>
      <c r="V35" s="14">
        <v>7.8087818478599802E-2</v>
      </c>
      <c r="W35" s="14">
        <v>0.110675778114859</v>
      </c>
      <c r="X35" s="14">
        <v>5.9549640635170903E-2</v>
      </c>
      <c r="Y35" s="14">
        <v>9.5933135000517505E-2</v>
      </c>
      <c r="Z35" s="14">
        <v>0.103485799434964</v>
      </c>
      <c r="AA35" s="14"/>
      <c r="AB35" s="14" t="s">
        <v>76</v>
      </c>
      <c r="AC35" s="14" t="s">
        <v>76</v>
      </c>
      <c r="AD35" s="14" t="s">
        <v>76</v>
      </c>
      <c r="AE35" s="14" t="s">
        <v>76</v>
      </c>
      <c r="AF35" s="14"/>
      <c r="AG35" s="14" t="s">
        <v>76</v>
      </c>
      <c r="AH35" s="14" t="s">
        <v>76</v>
      </c>
      <c r="AI35" s="14"/>
      <c r="AJ35" s="14" t="s">
        <v>76</v>
      </c>
      <c r="AK35" s="14" t="s">
        <v>76</v>
      </c>
      <c r="AL35" s="14"/>
      <c r="AM35" s="14">
        <v>8.1045726942397395E-2</v>
      </c>
      <c r="AN35" s="14">
        <v>4.9363969049593601E-2</v>
      </c>
    </row>
    <row r="36" spans="2:40" x14ac:dyDescent="0.35">
      <c r="B36" t="s">
        <v>70</v>
      </c>
      <c r="C36" s="14">
        <v>1.30633822305315E-2</v>
      </c>
      <c r="D36" s="14">
        <v>1.01035383835659E-2</v>
      </c>
      <c r="E36" s="14">
        <v>1.37752290623845E-2</v>
      </c>
      <c r="F36" s="14"/>
      <c r="G36" s="14">
        <v>1.98426451437002E-2</v>
      </c>
      <c r="H36" s="14">
        <v>4.80949948123458E-3</v>
      </c>
      <c r="I36" s="14" t="s">
        <v>76</v>
      </c>
      <c r="J36" s="14"/>
      <c r="K36" s="14">
        <v>1.30633822305315E-2</v>
      </c>
      <c r="L36" s="14" t="s">
        <v>76</v>
      </c>
      <c r="M36" s="14" t="s">
        <v>76</v>
      </c>
      <c r="N36" s="14"/>
      <c r="O36" s="14">
        <v>1.1731281539562601E-2</v>
      </c>
      <c r="P36" s="14">
        <v>9.5063459643859906E-3</v>
      </c>
      <c r="Q36" s="14"/>
      <c r="R36" s="14">
        <v>5.8595233729098403E-3</v>
      </c>
      <c r="S36" s="14">
        <v>1.6861338640897498E-2</v>
      </c>
      <c r="T36" s="14">
        <v>4.7738345579987303E-2</v>
      </c>
      <c r="U36" s="14">
        <v>0</v>
      </c>
      <c r="V36" s="14">
        <v>1.86729255328194E-2</v>
      </c>
      <c r="W36" s="14">
        <v>0</v>
      </c>
      <c r="X36" s="14">
        <v>1.1625304880407099E-2</v>
      </c>
      <c r="Y36" s="14">
        <v>0</v>
      </c>
      <c r="Z36" s="14">
        <v>1.1514817454043501E-2</v>
      </c>
      <c r="AA36" s="14"/>
      <c r="AB36" s="14" t="s">
        <v>76</v>
      </c>
      <c r="AC36" s="14" t="s">
        <v>76</v>
      </c>
      <c r="AD36" s="14" t="s">
        <v>76</v>
      </c>
      <c r="AE36" s="14" t="s">
        <v>76</v>
      </c>
      <c r="AF36" s="14"/>
      <c r="AG36" s="14" t="s">
        <v>76</v>
      </c>
      <c r="AH36" s="14" t="s">
        <v>76</v>
      </c>
      <c r="AI36" s="14"/>
      <c r="AJ36" s="14" t="s">
        <v>76</v>
      </c>
      <c r="AK36" s="14" t="s">
        <v>76</v>
      </c>
      <c r="AL36" s="14"/>
      <c r="AM36" s="14">
        <v>1.53001067088821E-2</v>
      </c>
      <c r="AN36" s="14">
        <v>0</v>
      </c>
    </row>
    <row r="37" spans="2:40" x14ac:dyDescent="0.35"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</row>
    <row r="38" spans="2:40" x14ac:dyDescent="0.35">
      <c r="B38" s="6" t="s">
        <v>80</v>
      </c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</row>
    <row r="39" spans="2:40" x14ac:dyDescent="0.35">
      <c r="B39" s="24" t="s">
        <v>89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</row>
    <row r="40" spans="2:40" x14ac:dyDescent="0.35">
      <c r="B40" t="s">
        <v>65</v>
      </c>
      <c r="C40" s="14">
        <v>0.32330256041163702</v>
      </c>
      <c r="D40" s="14">
        <v>0.33887341845173202</v>
      </c>
      <c r="E40" s="14">
        <v>0.30755760970792301</v>
      </c>
      <c r="F40" s="14"/>
      <c r="G40" s="14">
        <v>0.33467030749075</v>
      </c>
      <c r="H40" s="14">
        <v>0.30946211009772501</v>
      </c>
      <c r="I40" s="14" t="s">
        <v>76</v>
      </c>
      <c r="J40" s="14"/>
      <c r="K40" s="14">
        <v>0.32330256041163702</v>
      </c>
      <c r="L40" s="14" t="s">
        <v>76</v>
      </c>
      <c r="M40" s="14" t="s">
        <v>76</v>
      </c>
      <c r="N40" s="14"/>
      <c r="O40" s="14">
        <v>0.30316319000065101</v>
      </c>
      <c r="P40" s="14">
        <v>0.47750404283936698</v>
      </c>
      <c r="Q40" s="14"/>
      <c r="R40" s="14">
        <v>0.44684463710753702</v>
      </c>
      <c r="S40" s="14">
        <v>0.27299844979258198</v>
      </c>
      <c r="T40" s="14">
        <v>0.29075305311135502</v>
      </c>
      <c r="U40" s="14">
        <v>0.35501388061005501</v>
      </c>
      <c r="V40" s="14">
        <v>0.28298406955997502</v>
      </c>
      <c r="W40" s="14">
        <v>0.29191439181088702</v>
      </c>
      <c r="X40" s="14">
        <v>0.33436664527750798</v>
      </c>
      <c r="Y40" s="14">
        <v>0.24346089937849</v>
      </c>
      <c r="Z40" s="14">
        <v>0.29988117837255401</v>
      </c>
      <c r="AA40" s="14"/>
      <c r="AB40" s="14" t="s">
        <v>76</v>
      </c>
      <c r="AC40" s="14" t="s">
        <v>76</v>
      </c>
      <c r="AD40" s="14" t="s">
        <v>76</v>
      </c>
      <c r="AE40" s="14" t="s">
        <v>76</v>
      </c>
      <c r="AF40" s="14"/>
      <c r="AG40" s="14" t="s">
        <v>76</v>
      </c>
      <c r="AH40" s="14" t="s">
        <v>76</v>
      </c>
      <c r="AI40" s="14"/>
      <c r="AJ40" s="14" t="s">
        <v>76</v>
      </c>
      <c r="AK40" s="14" t="s">
        <v>76</v>
      </c>
      <c r="AL40" s="14"/>
      <c r="AM40" s="14">
        <v>0.37198411136181803</v>
      </c>
      <c r="AN40" s="14">
        <v>0.222986093261964</v>
      </c>
    </row>
    <row r="41" spans="2:40" x14ac:dyDescent="0.35">
      <c r="B41" t="s">
        <v>66</v>
      </c>
      <c r="C41" s="14">
        <v>0.37954960749805899</v>
      </c>
      <c r="D41" s="14">
        <v>0.39835901643955701</v>
      </c>
      <c r="E41" s="14">
        <v>0.35880503221395399</v>
      </c>
      <c r="F41" s="14"/>
      <c r="G41" s="14">
        <v>0.34903135685319298</v>
      </c>
      <c r="H41" s="14">
        <v>0.41670616356657703</v>
      </c>
      <c r="I41" s="14" t="s">
        <v>76</v>
      </c>
      <c r="J41" s="14"/>
      <c r="K41" s="14">
        <v>0.37954960749805899</v>
      </c>
      <c r="L41" s="14" t="s">
        <v>76</v>
      </c>
      <c r="M41" s="14" t="s">
        <v>76</v>
      </c>
      <c r="N41" s="14"/>
      <c r="O41" s="14">
        <v>0.38854433454110499</v>
      </c>
      <c r="P41" s="14">
        <v>0.31767089665192999</v>
      </c>
      <c r="Q41" s="14"/>
      <c r="R41" s="14">
        <v>0.34325151606404503</v>
      </c>
      <c r="S41" s="14">
        <v>0.385672953760337</v>
      </c>
      <c r="T41" s="14">
        <v>0.34835500645192802</v>
      </c>
      <c r="U41" s="14">
        <v>0.35180494049403899</v>
      </c>
      <c r="V41" s="14">
        <v>0.36083928721749597</v>
      </c>
      <c r="W41" s="14">
        <v>0.45201458049587601</v>
      </c>
      <c r="X41" s="14">
        <v>0.35345023080825999</v>
      </c>
      <c r="Y41" s="14">
        <v>0.47142711727113701</v>
      </c>
      <c r="Z41" s="14">
        <v>0.41699407859160198</v>
      </c>
      <c r="AA41" s="14"/>
      <c r="AB41" s="14" t="s">
        <v>76</v>
      </c>
      <c r="AC41" s="14" t="s">
        <v>76</v>
      </c>
      <c r="AD41" s="14" t="s">
        <v>76</v>
      </c>
      <c r="AE41" s="14" t="s">
        <v>76</v>
      </c>
      <c r="AF41" s="14"/>
      <c r="AG41" s="14" t="s">
        <v>76</v>
      </c>
      <c r="AH41" s="14" t="s">
        <v>76</v>
      </c>
      <c r="AI41" s="14"/>
      <c r="AJ41" s="14" t="s">
        <v>76</v>
      </c>
      <c r="AK41" s="14" t="s">
        <v>76</v>
      </c>
      <c r="AL41" s="14"/>
      <c r="AM41" s="14">
        <v>0.38599740180299502</v>
      </c>
      <c r="AN41" s="14">
        <v>0.33152111852998101</v>
      </c>
    </row>
    <row r="42" spans="2:40" x14ac:dyDescent="0.35">
      <c r="B42" t="s">
        <v>67</v>
      </c>
      <c r="C42" s="14">
        <v>0.19524669677645901</v>
      </c>
      <c r="D42" s="14">
        <v>0.17149179245118301</v>
      </c>
      <c r="E42" s="14">
        <v>0.22221228770937401</v>
      </c>
      <c r="F42" s="14"/>
      <c r="G42" s="14">
        <v>0.175667202697357</v>
      </c>
      <c r="H42" s="14">
        <v>0.219085106717093</v>
      </c>
      <c r="I42" s="14" t="s">
        <v>76</v>
      </c>
      <c r="J42" s="14"/>
      <c r="K42" s="14">
        <v>0.19524669677645901</v>
      </c>
      <c r="L42" s="14" t="s">
        <v>76</v>
      </c>
      <c r="M42" s="14" t="s">
        <v>76</v>
      </c>
      <c r="N42" s="14"/>
      <c r="O42" s="14">
        <v>0.19690140912424201</v>
      </c>
      <c r="P42" s="14">
        <v>0.17954982674967601</v>
      </c>
      <c r="Q42" s="14"/>
      <c r="R42" s="14">
        <v>0.17343541970207599</v>
      </c>
      <c r="S42" s="14">
        <v>0.19867669378981401</v>
      </c>
      <c r="T42" s="14">
        <v>0.19694747112830799</v>
      </c>
      <c r="U42" s="14">
        <v>0.25959438545741698</v>
      </c>
      <c r="V42" s="14">
        <v>0.22633910891662101</v>
      </c>
      <c r="W42" s="14">
        <v>0.20331180839405899</v>
      </c>
      <c r="X42" s="14">
        <v>0.17188180424680399</v>
      </c>
      <c r="Y42" s="14">
        <v>0.16996829137670999</v>
      </c>
      <c r="Z42" s="14">
        <v>0.156476972234078</v>
      </c>
      <c r="AA42" s="14"/>
      <c r="AB42" s="14" t="s">
        <v>76</v>
      </c>
      <c r="AC42" s="14" t="s">
        <v>76</v>
      </c>
      <c r="AD42" s="14" t="s">
        <v>76</v>
      </c>
      <c r="AE42" s="14" t="s">
        <v>76</v>
      </c>
      <c r="AF42" s="14"/>
      <c r="AG42" s="14" t="s">
        <v>76</v>
      </c>
      <c r="AH42" s="14" t="s">
        <v>76</v>
      </c>
      <c r="AI42" s="14"/>
      <c r="AJ42" s="14" t="s">
        <v>76</v>
      </c>
      <c r="AK42" s="14" t="s">
        <v>76</v>
      </c>
      <c r="AL42" s="14"/>
      <c r="AM42" s="14">
        <v>0.159112023316515</v>
      </c>
      <c r="AN42" s="14">
        <v>0.30026625427043402</v>
      </c>
    </row>
    <row r="43" spans="2:40" x14ac:dyDescent="0.35">
      <c r="B43" t="s">
        <v>68</v>
      </c>
      <c r="C43" s="14">
        <v>4.5880754177128197E-2</v>
      </c>
      <c r="D43" s="14">
        <v>4.16754224116377E-2</v>
      </c>
      <c r="E43" s="14">
        <v>5.0702881211333199E-2</v>
      </c>
      <c r="F43" s="14"/>
      <c r="G43" s="14">
        <v>5.1050431598950202E-2</v>
      </c>
      <c r="H43" s="14">
        <v>3.9586572665371397E-2</v>
      </c>
      <c r="I43" s="14" t="s">
        <v>76</v>
      </c>
      <c r="J43" s="14"/>
      <c r="K43" s="14">
        <v>4.5880754177128197E-2</v>
      </c>
      <c r="L43" s="14" t="s">
        <v>76</v>
      </c>
      <c r="M43" s="14" t="s">
        <v>76</v>
      </c>
      <c r="N43" s="14"/>
      <c r="O43" s="14">
        <v>5.0086055460082199E-2</v>
      </c>
      <c r="P43" s="14">
        <v>7.2595342590578097E-3</v>
      </c>
      <c r="Q43" s="14"/>
      <c r="R43" s="14">
        <v>6.1801713258643103E-3</v>
      </c>
      <c r="S43" s="14">
        <v>7.3587148071240296E-2</v>
      </c>
      <c r="T43" s="14">
        <v>7.5278385870179002E-2</v>
      </c>
      <c r="U43" s="14">
        <v>3.3586793438487902E-2</v>
      </c>
      <c r="V43" s="14">
        <v>9.0793868077622297E-2</v>
      </c>
      <c r="W43" s="14">
        <v>1.41708582554086E-2</v>
      </c>
      <c r="X43" s="14">
        <v>1.2244923068641601E-2</v>
      </c>
      <c r="Y43" s="14">
        <v>7.8433665989032397E-2</v>
      </c>
      <c r="Z43" s="14">
        <v>5.7937779132767903E-2</v>
      </c>
      <c r="AA43" s="14"/>
      <c r="AB43" s="14" t="s">
        <v>76</v>
      </c>
      <c r="AC43" s="14" t="s">
        <v>76</v>
      </c>
      <c r="AD43" s="14" t="s">
        <v>76</v>
      </c>
      <c r="AE43" s="14" t="s">
        <v>76</v>
      </c>
      <c r="AF43" s="14"/>
      <c r="AG43" s="14" t="s">
        <v>76</v>
      </c>
      <c r="AH43" s="14" t="s">
        <v>76</v>
      </c>
      <c r="AI43" s="14"/>
      <c r="AJ43" s="14" t="s">
        <v>76</v>
      </c>
      <c r="AK43" s="14" t="s">
        <v>76</v>
      </c>
      <c r="AL43" s="14"/>
      <c r="AM43" s="14">
        <v>2.1050029003254402E-2</v>
      </c>
      <c r="AN43" s="14">
        <v>0.13504029008279</v>
      </c>
    </row>
    <row r="44" spans="2:40" x14ac:dyDescent="0.35">
      <c r="B44" t="s">
        <v>69</v>
      </c>
      <c r="C44" s="14">
        <v>3.2814707290749298E-2</v>
      </c>
      <c r="D44" s="14">
        <v>2.6877142788798301E-2</v>
      </c>
      <c r="E44" s="14">
        <v>3.9486397245495901E-2</v>
      </c>
      <c r="F44" s="14"/>
      <c r="G44" s="14">
        <v>5.53668020814128E-2</v>
      </c>
      <c r="H44" s="14">
        <v>5.3570989139472402E-3</v>
      </c>
      <c r="I44" s="14" t="s">
        <v>76</v>
      </c>
      <c r="J44" s="14"/>
      <c r="K44" s="14">
        <v>3.2814707290749298E-2</v>
      </c>
      <c r="L44" s="14" t="s">
        <v>76</v>
      </c>
      <c r="M44" s="14" t="s">
        <v>76</v>
      </c>
      <c r="N44" s="14"/>
      <c r="O44" s="14">
        <v>3.61369818914987E-2</v>
      </c>
      <c r="P44" s="14">
        <v>8.5093535355831793E-3</v>
      </c>
      <c r="Q44" s="14"/>
      <c r="R44" s="14">
        <v>1.7375476091909099E-2</v>
      </c>
      <c r="S44" s="14">
        <v>5.2203415945128298E-2</v>
      </c>
      <c r="T44" s="14">
        <v>5.6555459270483402E-2</v>
      </c>
      <c r="U44" s="14">
        <v>0</v>
      </c>
      <c r="V44" s="14">
        <v>1.86729255328194E-2</v>
      </c>
      <c r="W44" s="14">
        <v>2.5100496836155499E-2</v>
      </c>
      <c r="X44" s="14">
        <v>7.0856241423958993E-2</v>
      </c>
      <c r="Y44" s="14">
        <v>0</v>
      </c>
      <c r="Z44" s="14">
        <v>3.4762962340035099E-2</v>
      </c>
      <c r="AA44" s="14"/>
      <c r="AB44" s="14" t="s">
        <v>76</v>
      </c>
      <c r="AC44" s="14" t="s">
        <v>76</v>
      </c>
      <c r="AD44" s="14" t="s">
        <v>76</v>
      </c>
      <c r="AE44" s="14" t="s">
        <v>76</v>
      </c>
      <c r="AF44" s="14"/>
      <c r="AG44" s="14" t="s">
        <v>76</v>
      </c>
      <c r="AH44" s="14" t="s">
        <v>76</v>
      </c>
      <c r="AI44" s="14"/>
      <c r="AJ44" s="14" t="s">
        <v>76</v>
      </c>
      <c r="AK44" s="14" t="s">
        <v>76</v>
      </c>
      <c r="AL44" s="14"/>
      <c r="AM44" s="14">
        <v>3.3597659520315099E-2</v>
      </c>
      <c r="AN44" s="14">
        <v>4.9877137538601396E-3</v>
      </c>
    </row>
    <row r="45" spans="2:40" x14ac:dyDescent="0.35">
      <c r="B45" t="s">
        <v>70</v>
      </c>
      <c r="C45" s="14">
        <v>2.32056738459674E-2</v>
      </c>
      <c r="D45" s="14">
        <v>2.2723207457092401E-2</v>
      </c>
      <c r="E45" s="14">
        <v>2.12357919119192E-2</v>
      </c>
      <c r="F45" s="14"/>
      <c r="G45" s="14">
        <v>3.4213899278336901E-2</v>
      </c>
      <c r="H45" s="14">
        <v>9.8029480392858304E-3</v>
      </c>
      <c r="I45" s="14" t="s">
        <v>76</v>
      </c>
      <c r="J45" s="14"/>
      <c r="K45" s="14">
        <v>2.32056738459674E-2</v>
      </c>
      <c r="L45" s="14" t="s">
        <v>76</v>
      </c>
      <c r="M45" s="14" t="s">
        <v>76</v>
      </c>
      <c r="N45" s="14"/>
      <c r="O45" s="14">
        <v>2.5168028982420598E-2</v>
      </c>
      <c r="P45" s="14">
        <v>9.5063459643859906E-3</v>
      </c>
      <c r="Q45" s="14"/>
      <c r="R45" s="14">
        <v>1.2912779708568399E-2</v>
      </c>
      <c r="S45" s="14">
        <v>1.6861338640897498E-2</v>
      </c>
      <c r="T45" s="14">
        <v>3.21106241677468E-2</v>
      </c>
      <c r="U45" s="14">
        <v>0</v>
      </c>
      <c r="V45" s="14">
        <v>2.03707406954667E-2</v>
      </c>
      <c r="W45" s="14">
        <v>1.3487864207615099E-2</v>
      </c>
      <c r="X45" s="14">
        <v>5.7200155174827898E-2</v>
      </c>
      <c r="Y45" s="14">
        <v>3.6710025984629802E-2</v>
      </c>
      <c r="Z45" s="14">
        <v>3.3947029328962403E-2</v>
      </c>
      <c r="AA45" s="14"/>
      <c r="AB45" s="14" t="s">
        <v>76</v>
      </c>
      <c r="AC45" s="14" t="s">
        <v>76</v>
      </c>
      <c r="AD45" s="14" t="s">
        <v>76</v>
      </c>
      <c r="AE45" s="14" t="s">
        <v>76</v>
      </c>
      <c r="AF45" s="14"/>
      <c r="AG45" s="14" t="s">
        <v>76</v>
      </c>
      <c r="AH45" s="14" t="s">
        <v>76</v>
      </c>
      <c r="AI45" s="14"/>
      <c r="AJ45" s="14" t="s">
        <v>76</v>
      </c>
      <c r="AK45" s="14" t="s">
        <v>76</v>
      </c>
      <c r="AL45" s="14"/>
      <c r="AM45" s="14">
        <v>2.8258774995102699E-2</v>
      </c>
      <c r="AN45" s="14">
        <v>5.1985301009712104E-3</v>
      </c>
    </row>
    <row r="46" spans="2:40" x14ac:dyDescent="0.35"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</row>
    <row r="47" spans="2:40" x14ac:dyDescent="0.35">
      <c r="B47" s="6" t="s">
        <v>81</v>
      </c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</row>
    <row r="48" spans="2:40" x14ac:dyDescent="0.35">
      <c r="B48" s="24" t="s">
        <v>89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</row>
    <row r="49" spans="2:40" x14ac:dyDescent="0.35">
      <c r="B49" t="s">
        <v>65</v>
      </c>
      <c r="C49" s="14">
        <v>0.56869602837918698</v>
      </c>
      <c r="D49" s="14">
        <v>0.63724496259276098</v>
      </c>
      <c r="E49" s="14">
        <v>0.49404710230855098</v>
      </c>
      <c r="F49" s="14"/>
      <c r="G49" s="14">
        <v>0.60332486328833601</v>
      </c>
      <c r="H49" s="14">
        <v>0.526534757051346</v>
      </c>
      <c r="I49" s="14" t="s">
        <v>76</v>
      </c>
      <c r="J49" s="14"/>
      <c r="K49" s="14">
        <v>0.56869602837918698</v>
      </c>
      <c r="L49" s="14" t="s">
        <v>76</v>
      </c>
      <c r="M49" s="14" t="s">
        <v>76</v>
      </c>
      <c r="N49" s="14"/>
      <c r="O49" s="14">
        <v>0.566370434450857</v>
      </c>
      <c r="P49" s="14">
        <v>0.61314006238297902</v>
      </c>
      <c r="Q49" s="14"/>
      <c r="R49" s="14">
        <v>0.65112235790115403</v>
      </c>
      <c r="S49" s="14">
        <v>0.42336998772323298</v>
      </c>
      <c r="T49" s="14">
        <v>0.59165746814932696</v>
      </c>
      <c r="U49" s="14">
        <v>0.57162687892647002</v>
      </c>
      <c r="V49" s="14">
        <v>0.50366402136967503</v>
      </c>
      <c r="W49" s="14">
        <v>0.58755232121987799</v>
      </c>
      <c r="X49" s="14">
        <v>0.61678579840135095</v>
      </c>
      <c r="Y49" s="14">
        <v>0.58159534292889203</v>
      </c>
      <c r="Z49" s="14">
        <v>0.60474972342721101</v>
      </c>
      <c r="AA49" s="14"/>
      <c r="AB49" s="14" t="s">
        <v>76</v>
      </c>
      <c r="AC49" s="14" t="s">
        <v>76</v>
      </c>
      <c r="AD49" s="14" t="s">
        <v>76</v>
      </c>
      <c r="AE49" s="14" t="s">
        <v>76</v>
      </c>
      <c r="AF49" s="14"/>
      <c r="AG49" s="14" t="s">
        <v>76</v>
      </c>
      <c r="AH49" s="14" t="s">
        <v>76</v>
      </c>
      <c r="AI49" s="14"/>
      <c r="AJ49" s="14" t="s">
        <v>76</v>
      </c>
      <c r="AK49" s="14" t="s">
        <v>76</v>
      </c>
      <c r="AL49" s="14"/>
      <c r="AM49" s="14">
        <v>0.61400989320179999</v>
      </c>
      <c r="AN49" s="14">
        <v>0.46402118073137599</v>
      </c>
    </row>
    <row r="50" spans="2:40" x14ac:dyDescent="0.35">
      <c r="B50" t="s">
        <v>66</v>
      </c>
      <c r="C50" s="14">
        <v>0.25170275271919901</v>
      </c>
      <c r="D50" s="14">
        <v>0.21041760166530801</v>
      </c>
      <c r="E50" s="14">
        <v>0.29819311029362999</v>
      </c>
      <c r="F50" s="14"/>
      <c r="G50" s="14">
        <v>0.255360158287115</v>
      </c>
      <c r="H50" s="14">
        <v>0.24724979122311</v>
      </c>
      <c r="I50" s="14" t="s">
        <v>76</v>
      </c>
      <c r="J50" s="14"/>
      <c r="K50" s="14">
        <v>0.25170275271919901</v>
      </c>
      <c r="L50" s="14" t="s">
        <v>76</v>
      </c>
      <c r="M50" s="14" t="s">
        <v>76</v>
      </c>
      <c r="N50" s="14"/>
      <c r="O50" s="14">
        <v>0.25402721274824902</v>
      </c>
      <c r="P50" s="14">
        <v>0.24111552945849299</v>
      </c>
      <c r="Q50" s="14"/>
      <c r="R50" s="14">
        <v>0.24138299436571301</v>
      </c>
      <c r="S50" s="14">
        <v>0.345472358075887</v>
      </c>
      <c r="T50" s="14">
        <v>0.26157497737395502</v>
      </c>
      <c r="U50" s="14">
        <v>0.23720537326223101</v>
      </c>
      <c r="V50" s="14">
        <v>0.234166877399759</v>
      </c>
      <c r="W50" s="14">
        <v>0.24262511584389701</v>
      </c>
      <c r="X50" s="14">
        <v>0.18101119963411699</v>
      </c>
      <c r="Y50" s="14">
        <v>0.22733167618340699</v>
      </c>
      <c r="Z50" s="14">
        <v>0.245876537250729</v>
      </c>
      <c r="AA50" s="14"/>
      <c r="AB50" s="14" t="s">
        <v>76</v>
      </c>
      <c r="AC50" s="14" t="s">
        <v>76</v>
      </c>
      <c r="AD50" s="14" t="s">
        <v>76</v>
      </c>
      <c r="AE50" s="14" t="s">
        <v>76</v>
      </c>
      <c r="AF50" s="14"/>
      <c r="AG50" s="14" t="s">
        <v>76</v>
      </c>
      <c r="AH50" s="14" t="s">
        <v>76</v>
      </c>
      <c r="AI50" s="14"/>
      <c r="AJ50" s="14" t="s">
        <v>76</v>
      </c>
      <c r="AK50" s="14" t="s">
        <v>76</v>
      </c>
      <c r="AL50" s="14"/>
      <c r="AM50" s="14">
        <v>0.24276972984922701</v>
      </c>
      <c r="AN50" s="14">
        <v>0.23518842038165999</v>
      </c>
    </row>
    <row r="51" spans="2:40" x14ac:dyDescent="0.35">
      <c r="B51" t="s">
        <v>67</v>
      </c>
      <c r="C51" s="14">
        <v>0.118083700413814</v>
      </c>
      <c r="D51" s="14">
        <v>0.103254160747127</v>
      </c>
      <c r="E51" s="14">
        <v>0.13230145267038501</v>
      </c>
      <c r="F51" s="14"/>
      <c r="G51" s="14">
        <v>9.7794938787324898E-2</v>
      </c>
      <c r="H51" s="14">
        <v>0.142785657210353</v>
      </c>
      <c r="I51" s="14" t="s">
        <v>76</v>
      </c>
      <c r="J51" s="14"/>
      <c r="K51" s="14">
        <v>0.118083700413814</v>
      </c>
      <c r="L51" s="14" t="s">
        <v>76</v>
      </c>
      <c r="M51" s="14" t="s">
        <v>76</v>
      </c>
      <c r="N51" s="14"/>
      <c r="O51" s="14">
        <v>0.122107764778079</v>
      </c>
      <c r="P51" s="14">
        <v>6.6973397341786006E-2</v>
      </c>
      <c r="Q51" s="14"/>
      <c r="R51" s="14">
        <v>8.8722344651654406E-2</v>
      </c>
      <c r="S51" s="14">
        <v>0.155534473950941</v>
      </c>
      <c r="T51" s="14">
        <v>5.7149891880024298E-2</v>
      </c>
      <c r="U51" s="14">
        <v>0.11831699936145799</v>
      </c>
      <c r="V51" s="14">
        <v>0.198524620218028</v>
      </c>
      <c r="W51" s="14">
        <v>0.12894571291853599</v>
      </c>
      <c r="X51" s="14">
        <v>0.110989640996927</v>
      </c>
      <c r="Y51" s="14">
        <v>9.3795193355850001E-2</v>
      </c>
      <c r="Z51" s="14">
        <v>0.108982510067356</v>
      </c>
      <c r="AA51" s="14"/>
      <c r="AB51" s="14" t="s">
        <v>76</v>
      </c>
      <c r="AC51" s="14" t="s">
        <v>76</v>
      </c>
      <c r="AD51" s="14" t="s">
        <v>76</v>
      </c>
      <c r="AE51" s="14" t="s">
        <v>76</v>
      </c>
      <c r="AF51" s="14"/>
      <c r="AG51" s="14" t="s">
        <v>76</v>
      </c>
      <c r="AH51" s="14" t="s">
        <v>76</v>
      </c>
      <c r="AI51" s="14"/>
      <c r="AJ51" s="14" t="s">
        <v>76</v>
      </c>
      <c r="AK51" s="14" t="s">
        <v>76</v>
      </c>
      <c r="AL51" s="14"/>
      <c r="AM51" s="14">
        <v>9.8003276868463704E-2</v>
      </c>
      <c r="AN51" s="14">
        <v>0.17532194078020699</v>
      </c>
    </row>
    <row r="52" spans="2:40" x14ac:dyDescent="0.35">
      <c r="B52" t="s">
        <v>68</v>
      </c>
      <c r="C52" s="14">
        <v>5.89817420782432E-2</v>
      </c>
      <c r="D52" s="14">
        <v>4.7297791015572001E-2</v>
      </c>
      <c r="E52" s="14">
        <v>7.2086389647487106E-2</v>
      </c>
      <c r="F52" s="14"/>
      <c r="G52" s="14">
        <v>4.0601476551270999E-2</v>
      </c>
      <c r="H52" s="14">
        <v>8.1360068233123306E-2</v>
      </c>
      <c r="I52" s="14" t="s">
        <v>76</v>
      </c>
      <c r="J52" s="14"/>
      <c r="K52" s="14">
        <v>5.89817420782432E-2</v>
      </c>
      <c r="L52" s="14" t="s">
        <v>76</v>
      </c>
      <c r="M52" s="14" t="s">
        <v>76</v>
      </c>
      <c r="N52" s="14"/>
      <c r="O52" s="14">
        <v>5.5683826618173497E-2</v>
      </c>
      <c r="P52" s="14">
        <v>6.9264664852356703E-2</v>
      </c>
      <c r="Q52" s="14"/>
      <c r="R52" s="14">
        <v>1.2912779708568399E-2</v>
      </c>
      <c r="S52" s="14">
        <v>6.4961225426372005E-2</v>
      </c>
      <c r="T52" s="14">
        <v>8.9617662596693695E-2</v>
      </c>
      <c r="U52" s="14">
        <v>7.2850748449840602E-2</v>
      </c>
      <c r="V52" s="14">
        <v>6.3644481012537502E-2</v>
      </c>
      <c r="W52" s="14">
        <v>4.0876850017688399E-2</v>
      </c>
      <c r="X52" s="14">
        <v>9.1213360967605295E-2</v>
      </c>
      <c r="Y52" s="14">
        <v>9.7277787531850707E-2</v>
      </c>
      <c r="Z52" s="14">
        <v>4.0391229254704598E-2</v>
      </c>
      <c r="AA52" s="14"/>
      <c r="AB52" s="14" t="s">
        <v>76</v>
      </c>
      <c r="AC52" s="14" t="s">
        <v>76</v>
      </c>
      <c r="AD52" s="14" t="s">
        <v>76</v>
      </c>
      <c r="AE52" s="14" t="s">
        <v>76</v>
      </c>
      <c r="AF52" s="14"/>
      <c r="AG52" s="14" t="s">
        <v>76</v>
      </c>
      <c r="AH52" s="14" t="s">
        <v>76</v>
      </c>
      <c r="AI52" s="14"/>
      <c r="AJ52" s="14" t="s">
        <v>76</v>
      </c>
      <c r="AK52" s="14" t="s">
        <v>76</v>
      </c>
      <c r="AL52" s="14"/>
      <c r="AM52" s="14">
        <v>4.13831981123663E-2</v>
      </c>
      <c r="AN52" s="14">
        <v>0.125468458106758</v>
      </c>
    </row>
    <row r="53" spans="2:40" x14ac:dyDescent="0.35">
      <c r="B53" t="s">
        <v>69</v>
      </c>
      <c r="C53" s="14">
        <v>1.6024242729206399E-3</v>
      </c>
      <c r="D53" s="14">
        <v>0</v>
      </c>
      <c r="E53" s="14">
        <v>3.3719450799466399E-3</v>
      </c>
      <c r="F53" s="14"/>
      <c r="G53" s="14">
        <v>2.9185630859535302E-3</v>
      </c>
      <c r="H53" s="14">
        <v>0</v>
      </c>
      <c r="I53" s="14" t="s">
        <v>76</v>
      </c>
      <c r="J53" s="14"/>
      <c r="K53" s="14">
        <v>1.6024242729206399E-3</v>
      </c>
      <c r="L53" s="14" t="s">
        <v>76</v>
      </c>
      <c r="M53" s="14" t="s">
        <v>76</v>
      </c>
      <c r="N53" s="14"/>
      <c r="O53" s="14">
        <v>1.8107614046408401E-3</v>
      </c>
      <c r="P53" s="14">
        <v>0</v>
      </c>
      <c r="Q53" s="14"/>
      <c r="R53" s="14">
        <v>0</v>
      </c>
      <c r="S53" s="14">
        <v>1.06619548235681E-2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14"/>
      <c r="AB53" s="14" t="s">
        <v>76</v>
      </c>
      <c r="AC53" s="14" t="s">
        <v>76</v>
      </c>
      <c r="AD53" s="14" t="s">
        <v>76</v>
      </c>
      <c r="AE53" s="14" t="s">
        <v>76</v>
      </c>
      <c r="AF53" s="14"/>
      <c r="AG53" s="14" t="s">
        <v>76</v>
      </c>
      <c r="AH53" s="14" t="s">
        <v>76</v>
      </c>
      <c r="AI53" s="14"/>
      <c r="AJ53" s="14" t="s">
        <v>76</v>
      </c>
      <c r="AK53" s="14" t="s">
        <v>76</v>
      </c>
      <c r="AL53" s="14"/>
      <c r="AM53" s="14">
        <v>2.4227441940844999E-3</v>
      </c>
      <c r="AN53" s="14">
        <v>0</v>
      </c>
    </row>
    <row r="54" spans="2:40" x14ac:dyDescent="0.35">
      <c r="B54" t="s">
        <v>70</v>
      </c>
      <c r="C54" s="14">
        <v>9.3335213663643104E-4</v>
      </c>
      <c r="D54" s="14">
        <v>1.78548397923191E-3</v>
      </c>
      <c r="E54" s="14">
        <v>0</v>
      </c>
      <c r="F54" s="14"/>
      <c r="G54" s="14">
        <v>0</v>
      </c>
      <c r="H54" s="14">
        <v>2.0697262820672298E-3</v>
      </c>
      <c r="I54" s="14" t="s">
        <v>76</v>
      </c>
      <c r="J54" s="14"/>
      <c r="K54" s="14">
        <v>9.3335213663643104E-4</v>
      </c>
      <c r="L54" s="14" t="s">
        <v>76</v>
      </c>
      <c r="M54" s="14" t="s">
        <v>76</v>
      </c>
      <c r="N54" s="14"/>
      <c r="O54" s="14">
        <v>0</v>
      </c>
      <c r="P54" s="14">
        <v>9.5063459643859906E-3</v>
      </c>
      <c r="Q54" s="14"/>
      <c r="R54" s="14">
        <v>5.8595233729098403E-3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14"/>
      <c r="AB54" s="14" t="s">
        <v>76</v>
      </c>
      <c r="AC54" s="14" t="s">
        <v>76</v>
      </c>
      <c r="AD54" s="14" t="s">
        <v>76</v>
      </c>
      <c r="AE54" s="14" t="s">
        <v>76</v>
      </c>
      <c r="AF54" s="14"/>
      <c r="AG54" s="14" t="s">
        <v>76</v>
      </c>
      <c r="AH54" s="14" t="s">
        <v>76</v>
      </c>
      <c r="AI54" s="14"/>
      <c r="AJ54" s="14" t="s">
        <v>76</v>
      </c>
      <c r="AK54" s="14" t="s">
        <v>76</v>
      </c>
      <c r="AL54" s="14"/>
      <c r="AM54" s="14">
        <v>1.4111577740586699E-3</v>
      </c>
      <c r="AN54" s="14">
        <v>0</v>
      </c>
    </row>
    <row r="55" spans="2:40" x14ac:dyDescent="0.35"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</row>
    <row r="56" spans="2:40" x14ac:dyDescent="0.35">
      <c r="B56" s="6" t="s">
        <v>82</v>
      </c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</row>
    <row r="57" spans="2:40" x14ac:dyDescent="0.35">
      <c r="B57" s="24" t="s">
        <v>89</v>
      </c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</row>
    <row r="58" spans="2:40" x14ac:dyDescent="0.35">
      <c r="B58" t="s">
        <v>65</v>
      </c>
      <c r="C58" s="14">
        <v>0.19992586236396301</v>
      </c>
      <c r="D58" s="14">
        <v>0.19642708692542801</v>
      </c>
      <c r="E58" s="14">
        <v>0.20462973467766701</v>
      </c>
      <c r="F58" s="14"/>
      <c r="G58" s="14">
        <v>0.19580843244439999</v>
      </c>
      <c r="H58" s="14">
        <v>0.20493891234001599</v>
      </c>
      <c r="I58" s="14" t="s">
        <v>76</v>
      </c>
      <c r="J58" s="14"/>
      <c r="K58" s="14">
        <v>0.19992586236396301</v>
      </c>
      <c r="L58" s="14" t="s">
        <v>76</v>
      </c>
      <c r="M58" s="14" t="s">
        <v>76</v>
      </c>
      <c r="N58" s="14"/>
      <c r="O58" s="14">
        <v>0.196022850083239</v>
      </c>
      <c r="P58" s="14">
        <v>0.23254193759567501</v>
      </c>
      <c r="Q58" s="14"/>
      <c r="R58" s="14">
        <v>0.238719572923169</v>
      </c>
      <c r="S58" s="14">
        <v>0.16306306322297201</v>
      </c>
      <c r="T58" s="14">
        <v>0.17650403244413801</v>
      </c>
      <c r="U58" s="14">
        <v>0.266524939810795</v>
      </c>
      <c r="V58" s="14">
        <v>0.18016347195830101</v>
      </c>
      <c r="W58" s="14">
        <v>0.215244815161796</v>
      </c>
      <c r="X58" s="14">
        <v>0.17797198840627201</v>
      </c>
      <c r="Y58" s="14">
        <v>0.20981141014089699</v>
      </c>
      <c r="Z58" s="14">
        <v>0.171002860647746</v>
      </c>
      <c r="AA58" s="14"/>
      <c r="AB58" s="14" t="s">
        <v>76</v>
      </c>
      <c r="AC58" s="14" t="s">
        <v>76</v>
      </c>
      <c r="AD58" s="14" t="s">
        <v>76</v>
      </c>
      <c r="AE58" s="14" t="s">
        <v>76</v>
      </c>
      <c r="AF58" s="14"/>
      <c r="AG58" s="14" t="s">
        <v>76</v>
      </c>
      <c r="AH58" s="14" t="s">
        <v>76</v>
      </c>
      <c r="AI58" s="14"/>
      <c r="AJ58" s="14" t="s">
        <v>76</v>
      </c>
      <c r="AK58" s="14" t="s">
        <v>76</v>
      </c>
      <c r="AL58" s="14"/>
      <c r="AM58" s="14">
        <v>0.205042394829513</v>
      </c>
      <c r="AN58" s="14">
        <v>0.18872745329035101</v>
      </c>
    </row>
    <row r="59" spans="2:40" x14ac:dyDescent="0.35">
      <c r="B59" t="s">
        <v>66</v>
      </c>
      <c r="C59" s="14">
        <v>0.30557381293532199</v>
      </c>
      <c r="D59" s="14">
        <v>0.32978067268003602</v>
      </c>
      <c r="E59" s="14">
        <v>0.27857559826434503</v>
      </c>
      <c r="F59" s="14"/>
      <c r="G59" s="14">
        <v>0.26182473215464303</v>
      </c>
      <c r="H59" s="14">
        <v>0.358839158707913</v>
      </c>
      <c r="I59" s="14" t="s">
        <v>76</v>
      </c>
      <c r="J59" s="14"/>
      <c r="K59" s="14">
        <v>0.30557381293532199</v>
      </c>
      <c r="L59" s="14" t="s">
        <v>76</v>
      </c>
      <c r="M59" s="14" t="s">
        <v>76</v>
      </c>
      <c r="N59" s="14"/>
      <c r="O59" s="14">
        <v>0.30394934388611999</v>
      </c>
      <c r="P59" s="14">
        <v>0.32575129404061298</v>
      </c>
      <c r="Q59" s="14"/>
      <c r="R59" s="14">
        <v>0.29647702167824802</v>
      </c>
      <c r="S59" s="14">
        <v>0.25922826899759799</v>
      </c>
      <c r="T59" s="14">
        <v>0.24661020635797601</v>
      </c>
      <c r="U59" s="14">
        <v>0.27001463436228201</v>
      </c>
      <c r="V59" s="14">
        <v>0.38489597224458499</v>
      </c>
      <c r="W59" s="14">
        <v>0.38500915295834498</v>
      </c>
      <c r="X59" s="14">
        <v>0.28285512085956299</v>
      </c>
      <c r="Y59" s="14">
        <v>0.35855695539189097</v>
      </c>
      <c r="Z59" s="14">
        <v>0.33464228206936403</v>
      </c>
      <c r="AA59" s="14"/>
      <c r="AB59" s="14" t="s">
        <v>76</v>
      </c>
      <c r="AC59" s="14" t="s">
        <v>76</v>
      </c>
      <c r="AD59" s="14" t="s">
        <v>76</v>
      </c>
      <c r="AE59" s="14" t="s">
        <v>76</v>
      </c>
      <c r="AF59" s="14"/>
      <c r="AG59" s="14" t="s">
        <v>76</v>
      </c>
      <c r="AH59" s="14" t="s">
        <v>76</v>
      </c>
      <c r="AI59" s="14"/>
      <c r="AJ59" s="14" t="s">
        <v>76</v>
      </c>
      <c r="AK59" s="14" t="s">
        <v>76</v>
      </c>
      <c r="AL59" s="14"/>
      <c r="AM59" s="14">
        <v>0.32462791904756599</v>
      </c>
      <c r="AN59" s="14">
        <v>0.25091491622276801</v>
      </c>
    </row>
    <row r="60" spans="2:40" x14ac:dyDescent="0.35">
      <c r="B60" t="s">
        <v>67</v>
      </c>
      <c r="C60" s="14">
        <v>0.27961903274951799</v>
      </c>
      <c r="D60" s="14">
        <v>0.28139035439791799</v>
      </c>
      <c r="E60" s="14">
        <v>0.278866702685721</v>
      </c>
      <c r="F60" s="14"/>
      <c r="G60" s="14">
        <v>0.287284498503599</v>
      </c>
      <c r="H60" s="14">
        <v>0.27028618102753499</v>
      </c>
      <c r="I60" s="14" t="s">
        <v>76</v>
      </c>
      <c r="J60" s="14"/>
      <c r="K60" s="14">
        <v>0.27961903274951799</v>
      </c>
      <c r="L60" s="14" t="s">
        <v>76</v>
      </c>
      <c r="M60" s="14" t="s">
        <v>76</v>
      </c>
      <c r="N60" s="14"/>
      <c r="O60" s="14">
        <v>0.27270314740323198</v>
      </c>
      <c r="P60" s="14">
        <v>0.30205318557308702</v>
      </c>
      <c r="Q60" s="14"/>
      <c r="R60" s="14">
        <v>0.26207286969115501</v>
      </c>
      <c r="S60" s="14">
        <v>0.29954680092639002</v>
      </c>
      <c r="T60" s="14">
        <v>0.273187765112271</v>
      </c>
      <c r="U60" s="14">
        <v>0.34893765493842699</v>
      </c>
      <c r="V60" s="14">
        <v>0.28712969808056898</v>
      </c>
      <c r="W60" s="14">
        <v>0.21734423834556499</v>
      </c>
      <c r="X60" s="14">
        <v>0.311623367047421</v>
      </c>
      <c r="Y60" s="14">
        <v>0.22153497756930199</v>
      </c>
      <c r="Z60" s="14">
        <v>0.25783677601835298</v>
      </c>
      <c r="AA60" s="14"/>
      <c r="AB60" s="14" t="s">
        <v>76</v>
      </c>
      <c r="AC60" s="14" t="s">
        <v>76</v>
      </c>
      <c r="AD60" s="14" t="s">
        <v>76</v>
      </c>
      <c r="AE60" s="14" t="s">
        <v>76</v>
      </c>
      <c r="AF60" s="14"/>
      <c r="AG60" s="14" t="s">
        <v>76</v>
      </c>
      <c r="AH60" s="14" t="s">
        <v>76</v>
      </c>
      <c r="AI60" s="14"/>
      <c r="AJ60" s="14" t="s">
        <v>76</v>
      </c>
      <c r="AK60" s="14" t="s">
        <v>76</v>
      </c>
      <c r="AL60" s="14"/>
      <c r="AM60" s="14">
        <v>0.267843298439563</v>
      </c>
      <c r="AN60" s="14">
        <v>0.356047090379074</v>
      </c>
    </row>
    <row r="61" spans="2:40" x14ac:dyDescent="0.35">
      <c r="B61" t="s">
        <v>68</v>
      </c>
      <c r="C61" s="14">
        <v>0.11902071397316601</v>
      </c>
      <c r="D61" s="14">
        <v>0.105437881458899</v>
      </c>
      <c r="E61" s="14">
        <v>0.13187109705386699</v>
      </c>
      <c r="F61" s="14"/>
      <c r="G61" s="14">
        <v>9.8348074152484297E-2</v>
      </c>
      <c r="H61" s="14">
        <v>0.14419004984106801</v>
      </c>
      <c r="I61" s="14" t="s">
        <v>76</v>
      </c>
      <c r="J61" s="14"/>
      <c r="K61" s="14">
        <v>0.11902071397316601</v>
      </c>
      <c r="L61" s="14" t="s">
        <v>76</v>
      </c>
      <c r="M61" s="14" t="s">
        <v>76</v>
      </c>
      <c r="N61" s="14"/>
      <c r="O61" s="14">
        <v>0.124170207069127</v>
      </c>
      <c r="P61" s="14">
        <v>9.3060925990618701E-2</v>
      </c>
      <c r="Q61" s="14"/>
      <c r="R61" s="14">
        <v>0.10444112118035501</v>
      </c>
      <c r="S61" s="14">
        <v>0.15049227633422199</v>
      </c>
      <c r="T61" s="14">
        <v>0.12645414821391099</v>
      </c>
      <c r="U61" s="14">
        <v>8.8749151426622694E-2</v>
      </c>
      <c r="V61" s="14">
        <v>0.12913793218372499</v>
      </c>
      <c r="W61" s="14">
        <v>0.104017444063865</v>
      </c>
      <c r="X61" s="14">
        <v>0.13390585711557401</v>
      </c>
      <c r="Y61" s="14">
        <v>0.11797377318111101</v>
      </c>
      <c r="Z61" s="14">
        <v>0.11301455554126</v>
      </c>
      <c r="AA61" s="14"/>
      <c r="AB61" s="14" t="s">
        <v>76</v>
      </c>
      <c r="AC61" s="14" t="s">
        <v>76</v>
      </c>
      <c r="AD61" s="14" t="s">
        <v>76</v>
      </c>
      <c r="AE61" s="14" t="s">
        <v>76</v>
      </c>
      <c r="AF61" s="14"/>
      <c r="AG61" s="14" t="s">
        <v>76</v>
      </c>
      <c r="AH61" s="14" t="s">
        <v>76</v>
      </c>
      <c r="AI61" s="14"/>
      <c r="AJ61" s="14" t="s">
        <v>76</v>
      </c>
      <c r="AK61" s="14" t="s">
        <v>76</v>
      </c>
      <c r="AL61" s="14"/>
      <c r="AM61" s="14">
        <v>0.103980799564012</v>
      </c>
      <c r="AN61" s="14">
        <v>0.17268195188331201</v>
      </c>
    </row>
    <row r="62" spans="2:40" x14ac:dyDescent="0.35">
      <c r="B62" t="s">
        <v>69</v>
      </c>
      <c r="C62" s="14">
        <v>7.9838645392399196E-2</v>
      </c>
      <c r="D62" s="14">
        <v>7.4694221840705802E-2</v>
      </c>
      <c r="E62" s="14">
        <v>8.5839034341480394E-2</v>
      </c>
      <c r="F62" s="14"/>
      <c r="G62" s="14">
        <v>0.135374362276204</v>
      </c>
      <c r="H62" s="14">
        <v>1.2222843877067501E-2</v>
      </c>
      <c r="I62" s="14" t="s">
        <v>76</v>
      </c>
      <c r="J62" s="14"/>
      <c r="K62" s="14">
        <v>7.9838645392399196E-2</v>
      </c>
      <c r="L62" s="14" t="s">
        <v>76</v>
      </c>
      <c r="M62" s="14" t="s">
        <v>76</v>
      </c>
      <c r="N62" s="14"/>
      <c r="O62" s="14">
        <v>8.6104148720530696E-2</v>
      </c>
      <c r="P62" s="14">
        <v>3.7086310835620397E-2</v>
      </c>
      <c r="Q62" s="14"/>
      <c r="R62" s="14">
        <v>9.2429891154164098E-2</v>
      </c>
      <c r="S62" s="14">
        <v>8.46055270731354E-2</v>
      </c>
      <c r="T62" s="14">
        <v>0.16161613059992699</v>
      </c>
      <c r="U62" s="14">
        <v>1.7074560623107801E-2</v>
      </c>
      <c r="V62" s="14">
        <v>1.86729255328194E-2</v>
      </c>
      <c r="W62" s="14">
        <v>7.8384349470428702E-2</v>
      </c>
      <c r="X62" s="14">
        <v>9.3643666571169404E-2</v>
      </c>
      <c r="Y62" s="14">
        <v>3.6710030912286203E-2</v>
      </c>
      <c r="Z62" s="14">
        <v>9.5204804321551997E-2</v>
      </c>
      <c r="AA62" s="14"/>
      <c r="AB62" s="14" t="s">
        <v>76</v>
      </c>
      <c r="AC62" s="14" t="s">
        <v>76</v>
      </c>
      <c r="AD62" s="14" t="s">
        <v>76</v>
      </c>
      <c r="AE62" s="14" t="s">
        <v>76</v>
      </c>
      <c r="AF62" s="14"/>
      <c r="AG62" s="14" t="s">
        <v>76</v>
      </c>
      <c r="AH62" s="14" t="s">
        <v>76</v>
      </c>
      <c r="AI62" s="14"/>
      <c r="AJ62" s="14" t="s">
        <v>76</v>
      </c>
      <c r="AK62" s="14" t="s">
        <v>76</v>
      </c>
      <c r="AL62" s="14"/>
      <c r="AM62" s="14">
        <v>8.7538553803486296E-2</v>
      </c>
      <c r="AN62" s="14">
        <v>1.6957363894592001E-2</v>
      </c>
    </row>
    <row r="63" spans="2:40" x14ac:dyDescent="0.35">
      <c r="B63" t="s">
        <v>70</v>
      </c>
      <c r="C63" s="14">
        <v>1.6021932585632101E-2</v>
      </c>
      <c r="D63" s="14">
        <v>1.2269782697012699E-2</v>
      </c>
      <c r="E63" s="14">
        <v>2.0217832976919099E-2</v>
      </c>
      <c r="F63" s="14"/>
      <c r="G63" s="14">
        <v>2.1359900468669198E-2</v>
      </c>
      <c r="H63" s="14">
        <v>9.5228542064006005E-3</v>
      </c>
      <c r="I63" s="14" t="s">
        <v>76</v>
      </c>
      <c r="J63" s="14"/>
      <c r="K63" s="14">
        <v>1.6021932585632101E-2</v>
      </c>
      <c r="L63" s="14" t="s">
        <v>76</v>
      </c>
      <c r="M63" s="14" t="s">
        <v>76</v>
      </c>
      <c r="N63" s="14"/>
      <c r="O63" s="14">
        <v>1.7050302837751E-2</v>
      </c>
      <c r="P63" s="14">
        <v>9.5063459643859906E-3</v>
      </c>
      <c r="Q63" s="14"/>
      <c r="R63" s="14">
        <v>5.8595233729098403E-3</v>
      </c>
      <c r="S63" s="14">
        <v>4.3064063445683101E-2</v>
      </c>
      <c r="T63" s="14">
        <v>1.5627717271777E-2</v>
      </c>
      <c r="U63" s="14">
        <v>8.6990588387657192E-3</v>
      </c>
      <c r="V63" s="14">
        <v>0</v>
      </c>
      <c r="W63" s="14">
        <v>0</v>
      </c>
      <c r="X63" s="14">
        <v>0</v>
      </c>
      <c r="Y63" s="14">
        <v>5.5412852804512497E-2</v>
      </c>
      <c r="Z63" s="14">
        <v>2.82987214017246E-2</v>
      </c>
      <c r="AA63" s="14"/>
      <c r="AB63" s="14" t="s">
        <v>76</v>
      </c>
      <c r="AC63" s="14" t="s">
        <v>76</v>
      </c>
      <c r="AD63" s="14" t="s">
        <v>76</v>
      </c>
      <c r="AE63" s="14" t="s">
        <v>76</v>
      </c>
      <c r="AF63" s="14"/>
      <c r="AG63" s="14" t="s">
        <v>76</v>
      </c>
      <c r="AH63" s="14" t="s">
        <v>76</v>
      </c>
      <c r="AI63" s="14"/>
      <c r="AJ63" s="14" t="s">
        <v>76</v>
      </c>
      <c r="AK63" s="14" t="s">
        <v>76</v>
      </c>
      <c r="AL63" s="14"/>
      <c r="AM63" s="14">
        <v>1.0967034315859501E-2</v>
      </c>
      <c r="AN63" s="14">
        <v>1.4671224329903001E-2</v>
      </c>
    </row>
    <row r="64" spans="2:40" x14ac:dyDescent="0.35"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</row>
    <row r="65" spans="2:40" x14ac:dyDescent="0.35">
      <c r="B65" s="6" t="s">
        <v>83</v>
      </c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</row>
    <row r="66" spans="2:40" x14ac:dyDescent="0.35">
      <c r="B66" s="24" t="s">
        <v>89</v>
      </c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</row>
    <row r="67" spans="2:40" x14ac:dyDescent="0.35">
      <c r="B67" t="s">
        <v>65</v>
      </c>
      <c r="C67" s="14">
        <v>0.14362258810060299</v>
      </c>
      <c r="D67" s="14">
        <v>0.156121479107803</v>
      </c>
      <c r="E67" s="14">
        <v>0.13048818509593099</v>
      </c>
      <c r="F67" s="14"/>
      <c r="G67" s="14">
        <v>0.14470267356059199</v>
      </c>
      <c r="H67" s="14">
        <v>0.14230756331691299</v>
      </c>
      <c r="I67" s="14" t="s">
        <v>76</v>
      </c>
      <c r="J67" s="14"/>
      <c r="K67" s="14">
        <v>0.14362258810060299</v>
      </c>
      <c r="L67" s="14" t="s">
        <v>76</v>
      </c>
      <c r="M67" s="14" t="s">
        <v>76</v>
      </c>
      <c r="N67" s="14"/>
      <c r="O67" s="14">
        <v>0.136751938281197</v>
      </c>
      <c r="P67" s="14">
        <v>0.202700267605774</v>
      </c>
      <c r="Q67" s="14"/>
      <c r="R67" s="14">
        <v>0.20105569988144101</v>
      </c>
      <c r="S67" s="14">
        <v>0.12977180225441201</v>
      </c>
      <c r="T67" s="14">
        <v>9.2691420607610098E-2</v>
      </c>
      <c r="U67" s="14">
        <v>0.176565753076771</v>
      </c>
      <c r="V67" s="14">
        <v>8.6830404599196206E-2</v>
      </c>
      <c r="W67" s="14">
        <v>0.116084392512332</v>
      </c>
      <c r="X67" s="14">
        <v>0.142600368226864</v>
      </c>
      <c r="Y67" s="14">
        <v>0.16089828378639301</v>
      </c>
      <c r="Z67" s="14">
        <v>0.16149332877612499</v>
      </c>
      <c r="AA67" s="14"/>
      <c r="AB67" s="14" t="s">
        <v>76</v>
      </c>
      <c r="AC67" s="14" t="s">
        <v>76</v>
      </c>
      <c r="AD67" s="14" t="s">
        <v>76</v>
      </c>
      <c r="AE67" s="14" t="s">
        <v>76</v>
      </c>
      <c r="AF67" s="14"/>
      <c r="AG67" s="14" t="s">
        <v>76</v>
      </c>
      <c r="AH67" s="14" t="s">
        <v>76</v>
      </c>
      <c r="AI67" s="14"/>
      <c r="AJ67" s="14" t="s">
        <v>76</v>
      </c>
      <c r="AK67" s="14" t="s">
        <v>76</v>
      </c>
      <c r="AL67" s="14"/>
      <c r="AM67" s="14">
        <v>0.15965169842729199</v>
      </c>
      <c r="AN67" s="14">
        <v>7.8547758346754495E-2</v>
      </c>
    </row>
    <row r="68" spans="2:40" x14ac:dyDescent="0.35">
      <c r="B68" t="s">
        <v>66</v>
      </c>
      <c r="C68" s="14">
        <v>0.32714517131951298</v>
      </c>
      <c r="D68" s="14">
        <v>0.33814005902831901</v>
      </c>
      <c r="E68" s="14">
        <v>0.31477239678084001</v>
      </c>
      <c r="F68" s="14"/>
      <c r="G68" s="14">
        <v>0.30844640013347802</v>
      </c>
      <c r="H68" s="14">
        <v>0.349911284229173</v>
      </c>
      <c r="I68" s="14" t="s">
        <v>76</v>
      </c>
      <c r="J68" s="14"/>
      <c r="K68" s="14">
        <v>0.32714517131951298</v>
      </c>
      <c r="L68" s="14" t="s">
        <v>76</v>
      </c>
      <c r="M68" s="14" t="s">
        <v>76</v>
      </c>
      <c r="N68" s="14"/>
      <c r="O68" s="14">
        <v>0.31820482368727698</v>
      </c>
      <c r="P68" s="14">
        <v>0.416144155195731</v>
      </c>
      <c r="Q68" s="14"/>
      <c r="R68" s="14">
        <v>0.42861528775827001</v>
      </c>
      <c r="S68" s="14">
        <v>0.23780576115350699</v>
      </c>
      <c r="T68" s="14">
        <v>0.29072245438621702</v>
      </c>
      <c r="U68" s="14">
        <v>0.34769366047627598</v>
      </c>
      <c r="V68" s="14">
        <v>0.37042158426192101</v>
      </c>
      <c r="W68" s="14">
        <v>0.36217411182161502</v>
      </c>
      <c r="X68" s="14">
        <v>0.26756762414360502</v>
      </c>
      <c r="Y68" s="14">
        <v>0.36773881035220302</v>
      </c>
      <c r="Z68" s="14">
        <v>0.292590132993368</v>
      </c>
      <c r="AA68" s="14"/>
      <c r="AB68" s="14" t="s">
        <v>76</v>
      </c>
      <c r="AC68" s="14" t="s">
        <v>76</v>
      </c>
      <c r="AD68" s="14" t="s">
        <v>76</v>
      </c>
      <c r="AE68" s="14" t="s">
        <v>76</v>
      </c>
      <c r="AF68" s="14"/>
      <c r="AG68" s="14" t="s">
        <v>76</v>
      </c>
      <c r="AH68" s="14" t="s">
        <v>76</v>
      </c>
      <c r="AI68" s="14"/>
      <c r="AJ68" s="14" t="s">
        <v>76</v>
      </c>
      <c r="AK68" s="14" t="s">
        <v>76</v>
      </c>
      <c r="AL68" s="14"/>
      <c r="AM68" s="14">
        <v>0.37145157286492198</v>
      </c>
      <c r="AN68" s="14">
        <v>0.249291895819376</v>
      </c>
    </row>
    <row r="69" spans="2:40" x14ac:dyDescent="0.35">
      <c r="B69" t="s">
        <v>67</v>
      </c>
      <c r="C69" s="14">
        <v>0.28363418726466499</v>
      </c>
      <c r="D69" s="14">
        <v>0.27701981287944</v>
      </c>
      <c r="E69" s="14">
        <v>0.29212329546099702</v>
      </c>
      <c r="F69" s="14"/>
      <c r="G69" s="14">
        <v>0.243008947916457</v>
      </c>
      <c r="H69" s="14">
        <v>0.33309619611976798</v>
      </c>
      <c r="I69" s="14" t="s">
        <v>76</v>
      </c>
      <c r="J69" s="14"/>
      <c r="K69" s="14">
        <v>0.28363418726466499</v>
      </c>
      <c r="L69" s="14" t="s">
        <v>76</v>
      </c>
      <c r="M69" s="14" t="s">
        <v>76</v>
      </c>
      <c r="N69" s="14"/>
      <c r="O69" s="14">
        <v>0.29230269195368902</v>
      </c>
      <c r="P69" s="14">
        <v>0.22672418523990401</v>
      </c>
      <c r="Q69" s="14"/>
      <c r="R69" s="14">
        <v>0.20936385943008401</v>
      </c>
      <c r="S69" s="14">
        <v>0.34699998915757202</v>
      </c>
      <c r="T69" s="14">
        <v>0.30532476603933001</v>
      </c>
      <c r="U69" s="14">
        <v>0.29896079355829502</v>
      </c>
      <c r="V69" s="14">
        <v>0.30102803540197898</v>
      </c>
      <c r="W69" s="14">
        <v>0.322701240518387</v>
      </c>
      <c r="X69" s="14">
        <v>0.336219007408318</v>
      </c>
      <c r="Y69" s="14">
        <v>0.17158767539575701</v>
      </c>
      <c r="Z69" s="14">
        <v>0.21799249057481301</v>
      </c>
      <c r="AA69" s="14"/>
      <c r="AB69" s="14" t="s">
        <v>76</v>
      </c>
      <c r="AC69" s="14" t="s">
        <v>76</v>
      </c>
      <c r="AD69" s="14" t="s">
        <v>76</v>
      </c>
      <c r="AE69" s="14" t="s">
        <v>76</v>
      </c>
      <c r="AF69" s="14"/>
      <c r="AG69" s="14" t="s">
        <v>76</v>
      </c>
      <c r="AH69" s="14" t="s">
        <v>76</v>
      </c>
      <c r="AI69" s="14"/>
      <c r="AJ69" s="14" t="s">
        <v>76</v>
      </c>
      <c r="AK69" s="14" t="s">
        <v>76</v>
      </c>
      <c r="AL69" s="14"/>
      <c r="AM69" s="14">
        <v>0.26649636348603001</v>
      </c>
      <c r="AN69" s="14">
        <v>0.32771066098847002</v>
      </c>
    </row>
    <row r="70" spans="2:40" x14ac:dyDescent="0.35">
      <c r="B70" t="s">
        <v>68</v>
      </c>
      <c r="C70" s="14">
        <v>0.12242165122137499</v>
      </c>
      <c r="D70" s="14">
        <v>0.108176300628946</v>
      </c>
      <c r="E70" s="14">
        <v>0.13861521354077</v>
      </c>
      <c r="F70" s="14"/>
      <c r="G70" s="14">
        <v>0.10450731074606601</v>
      </c>
      <c r="H70" s="14">
        <v>0.14423270468073601</v>
      </c>
      <c r="I70" s="14" t="s">
        <v>76</v>
      </c>
      <c r="J70" s="14"/>
      <c r="K70" s="14">
        <v>0.12242165122137499</v>
      </c>
      <c r="L70" s="14" t="s">
        <v>76</v>
      </c>
      <c r="M70" s="14" t="s">
        <v>76</v>
      </c>
      <c r="N70" s="14"/>
      <c r="O70" s="14">
        <v>0.12687196197581199</v>
      </c>
      <c r="P70" s="14">
        <v>8.6835754371160298E-2</v>
      </c>
      <c r="Q70" s="14"/>
      <c r="R70" s="14">
        <v>4.8584064423347999E-2</v>
      </c>
      <c r="S70" s="14">
        <v>0.13443268098952799</v>
      </c>
      <c r="T70" s="14">
        <v>8.6451589589772296E-2</v>
      </c>
      <c r="U70" s="14">
        <v>0.13393161280367699</v>
      </c>
      <c r="V70" s="14">
        <v>0.14849461130154401</v>
      </c>
      <c r="W70" s="14">
        <v>0.13233797562948099</v>
      </c>
      <c r="X70" s="14">
        <v>0.13436924068391901</v>
      </c>
      <c r="Y70" s="14">
        <v>0.22825981246370999</v>
      </c>
      <c r="Z70" s="14">
        <v>0.14809693579614999</v>
      </c>
      <c r="AA70" s="14"/>
      <c r="AB70" s="14" t="s">
        <v>76</v>
      </c>
      <c r="AC70" s="14" t="s">
        <v>76</v>
      </c>
      <c r="AD70" s="14" t="s">
        <v>76</v>
      </c>
      <c r="AE70" s="14" t="s">
        <v>76</v>
      </c>
      <c r="AF70" s="14"/>
      <c r="AG70" s="14" t="s">
        <v>76</v>
      </c>
      <c r="AH70" s="14" t="s">
        <v>76</v>
      </c>
      <c r="AI70" s="14"/>
      <c r="AJ70" s="14" t="s">
        <v>76</v>
      </c>
      <c r="AK70" s="14" t="s">
        <v>76</v>
      </c>
      <c r="AL70" s="14"/>
      <c r="AM70" s="14">
        <v>8.9052694088556095E-2</v>
      </c>
      <c r="AN70" s="14">
        <v>0.250346457797541</v>
      </c>
    </row>
    <row r="71" spans="2:40" x14ac:dyDescent="0.35">
      <c r="B71" t="s">
        <v>69</v>
      </c>
      <c r="C71" s="14">
        <v>9.2321489539002197E-2</v>
      </c>
      <c r="D71" s="14">
        <v>9.7380445026258394E-2</v>
      </c>
      <c r="E71" s="14">
        <v>8.7151562862487805E-2</v>
      </c>
      <c r="F71" s="14"/>
      <c r="G71" s="14">
        <v>0.14992781291795301</v>
      </c>
      <c r="H71" s="14">
        <v>2.2184684863035299E-2</v>
      </c>
      <c r="I71" s="14" t="s">
        <v>76</v>
      </c>
      <c r="J71" s="14"/>
      <c r="K71" s="14">
        <v>9.2321489539002197E-2</v>
      </c>
      <c r="L71" s="14" t="s">
        <v>76</v>
      </c>
      <c r="M71" s="14" t="s">
        <v>76</v>
      </c>
      <c r="N71" s="14"/>
      <c r="O71" s="14">
        <v>9.5017755760356801E-2</v>
      </c>
      <c r="P71" s="14">
        <v>4.9210040045164202E-2</v>
      </c>
      <c r="Q71" s="14"/>
      <c r="R71" s="14">
        <v>0.105327832171199</v>
      </c>
      <c r="S71" s="14">
        <v>0.113571908476468</v>
      </c>
      <c r="T71" s="14">
        <v>0.17707142379708399</v>
      </c>
      <c r="U71" s="14">
        <v>1.7074560623107801E-2</v>
      </c>
      <c r="V71" s="14">
        <v>3.8175404737249799E-2</v>
      </c>
      <c r="W71" s="14">
        <v>6.6702279518184596E-2</v>
      </c>
      <c r="X71" s="14">
        <v>7.0856241423958993E-2</v>
      </c>
      <c r="Y71" s="14">
        <v>7.1515418001936795E-2</v>
      </c>
      <c r="Z71" s="14">
        <v>0.133186550034913</v>
      </c>
      <c r="AA71" s="14"/>
      <c r="AB71" s="14" t="s">
        <v>76</v>
      </c>
      <c r="AC71" s="14" t="s">
        <v>76</v>
      </c>
      <c r="AD71" s="14" t="s">
        <v>76</v>
      </c>
      <c r="AE71" s="14" t="s">
        <v>76</v>
      </c>
      <c r="AF71" s="14"/>
      <c r="AG71" s="14" t="s">
        <v>76</v>
      </c>
      <c r="AH71" s="14" t="s">
        <v>76</v>
      </c>
      <c r="AI71" s="14"/>
      <c r="AJ71" s="14" t="s">
        <v>76</v>
      </c>
      <c r="AK71" s="14" t="s">
        <v>76</v>
      </c>
      <c r="AL71" s="14"/>
      <c r="AM71" s="14">
        <v>8.12561866719992E-2</v>
      </c>
      <c r="AN71" s="14">
        <v>7.4643135021353502E-2</v>
      </c>
    </row>
    <row r="72" spans="2:40" x14ac:dyDescent="0.35">
      <c r="B72" t="s">
        <v>70</v>
      </c>
      <c r="C72" s="14">
        <v>3.0854912554841501E-2</v>
      </c>
      <c r="D72" s="14">
        <v>2.3161903329233E-2</v>
      </c>
      <c r="E72" s="14">
        <v>3.6849346258974597E-2</v>
      </c>
      <c r="F72" s="14"/>
      <c r="G72" s="14">
        <v>4.9406854725453302E-2</v>
      </c>
      <c r="H72" s="14">
        <v>8.2675667903752605E-3</v>
      </c>
      <c r="I72" s="14" t="s">
        <v>76</v>
      </c>
      <c r="J72" s="14"/>
      <c r="K72" s="14">
        <v>3.0854912554841501E-2</v>
      </c>
      <c r="L72" s="14" t="s">
        <v>76</v>
      </c>
      <c r="M72" s="14" t="s">
        <v>76</v>
      </c>
      <c r="N72" s="14"/>
      <c r="O72" s="14">
        <v>3.08508283416692E-2</v>
      </c>
      <c r="P72" s="14">
        <v>1.8385597542266902E-2</v>
      </c>
      <c r="Q72" s="14"/>
      <c r="R72" s="14">
        <v>7.0532563356585599E-3</v>
      </c>
      <c r="S72" s="14">
        <v>3.74178579685117E-2</v>
      </c>
      <c r="T72" s="14">
        <v>4.7738345579987303E-2</v>
      </c>
      <c r="U72" s="14">
        <v>2.5773619461873499E-2</v>
      </c>
      <c r="V72" s="14">
        <v>5.5049959698111203E-2</v>
      </c>
      <c r="W72" s="14">
        <v>0</v>
      </c>
      <c r="X72" s="14">
        <v>4.8387518113334499E-2</v>
      </c>
      <c r="Y72" s="14">
        <v>0</v>
      </c>
      <c r="Z72" s="14">
        <v>4.6640561824630798E-2</v>
      </c>
      <c r="AA72" s="14"/>
      <c r="AB72" s="14" t="s">
        <v>76</v>
      </c>
      <c r="AC72" s="14" t="s">
        <v>76</v>
      </c>
      <c r="AD72" s="14" t="s">
        <v>76</v>
      </c>
      <c r="AE72" s="14" t="s">
        <v>76</v>
      </c>
      <c r="AF72" s="14"/>
      <c r="AG72" s="14" t="s">
        <v>76</v>
      </c>
      <c r="AH72" s="14" t="s">
        <v>76</v>
      </c>
      <c r="AI72" s="14"/>
      <c r="AJ72" s="14" t="s">
        <v>76</v>
      </c>
      <c r="AK72" s="14" t="s">
        <v>76</v>
      </c>
      <c r="AL72" s="14"/>
      <c r="AM72" s="14">
        <v>3.2091484461200602E-2</v>
      </c>
      <c r="AN72" s="14">
        <v>1.9460092026505098E-2</v>
      </c>
    </row>
    <row r="73" spans="2:40" x14ac:dyDescent="0.35"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</row>
    <row r="74" spans="2:40" x14ac:dyDescent="0.35">
      <c r="B74" s="6" t="s">
        <v>84</v>
      </c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</row>
    <row r="75" spans="2:40" x14ac:dyDescent="0.35">
      <c r="B75" s="24" t="s">
        <v>89</v>
      </c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</row>
    <row r="76" spans="2:40" x14ac:dyDescent="0.35">
      <c r="B76" t="s">
        <v>65</v>
      </c>
      <c r="C76" s="14">
        <v>0.53255416488331697</v>
      </c>
      <c r="D76" s="14">
        <v>0.43894858717737301</v>
      </c>
      <c r="E76" s="14">
        <v>0.63519850674814304</v>
      </c>
      <c r="F76" s="14"/>
      <c r="G76" s="14">
        <v>0.58058814251345203</v>
      </c>
      <c r="H76" s="14">
        <v>0.474071874932393</v>
      </c>
      <c r="I76" s="14" t="s">
        <v>76</v>
      </c>
      <c r="J76" s="14"/>
      <c r="K76" s="14">
        <v>0.53255416488331697</v>
      </c>
      <c r="L76" s="14" t="s">
        <v>76</v>
      </c>
      <c r="M76" s="14" t="s">
        <v>76</v>
      </c>
      <c r="N76" s="14"/>
      <c r="O76" s="14">
        <v>0.53686924517869095</v>
      </c>
      <c r="P76" s="14">
        <v>0.49059220631818601</v>
      </c>
      <c r="Q76" s="14"/>
      <c r="R76" s="14">
        <v>0.49004293194006798</v>
      </c>
      <c r="S76" s="14">
        <v>0.493915851028147</v>
      </c>
      <c r="T76" s="14">
        <v>0.46065339930648302</v>
      </c>
      <c r="U76" s="14">
        <v>0.55733269788477702</v>
      </c>
      <c r="V76" s="14">
        <v>0.52126640345491404</v>
      </c>
      <c r="W76" s="14">
        <v>0.53944537961293104</v>
      </c>
      <c r="X76" s="14">
        <v>0.61085129674941796</v>
      </c>
      <c r="Y76" s="14">
        <v>0.62232060737949901</v>
      </c>
      <c r="Z76" s="14">
        <v>0.57893838287921295</v>
      </c>
      <c r="AA76" s="14"/>
      <c r="AB76" s="14" t="s">
        <v>76</v>
      </c>
      <c r="AC76" s="14" t="s">
        <v>76</v>
      </c>
      <c r="AD76" s="14" t="s">
        <v>76</v>
      </c>
      <c r="AE76" s="14" t="s">
        <v>76</v>
      </c>
      <c r="AF76" s="14"/>
      <c r="AG76" s="14" t="s">
        <v>76</v>
      </c>
      <c r="AH76" s="14" t="s">
        <v>76</v>
      </c>
      <c r="AI76" s="14"/>
      <c r="AJ76" s="14" t="s">
        <v>76</v>
      </c>
      <c r="AK76" s="14" t="s">
        <v>76</v>
      </c>
      <c r="AL76" s="14"/>
      <c r="AM76" s="14">
        <v>0.52483529134856899</v>
      </c>
      <c r="AN76" s="14">
        <v>0.54516000311952195</v>
      </c>
    </row>
    <row r="77" spans="2:40" x14ac:dyDescent="0.35">
      <c r="B77" t="s">
        <v>66</v>
      </c>
      <c r="C77" s="14">
        <v>0.27938535949223198</v>
      </c>
      <c r="D77" s="14">
        <v>0.33910160408380002</v>
      </c>
      <c r="E77" s="14">
        <v>0.21321480796558101</v>
      </c>
      <c r="F77" s="14"/>
      <c r="G77" s="14">
        <v>0.25120221044284202</v>
      </c>
      <c r="H77" s="14">
        <v>0.31369888453752298</v>
      </c>
      <c r="I77" s="14" t="s">
        <v>76</v>
      </c>
      <c r="J77" s="14"/>
      <c r="K77" s="14">
        <v>0.27938535949223198</v>
      </c>
      <c r="L77" s="14" t="s">
        <v>76</v>
      </c>
      <c r="M77" s="14" t="s">
        <v>76</v>
      </c>
      <c r="N77" s="14"/>
      <c r="O77" s="14">
        <v>0.27362869685781699</v>
      </c>
      <c r="P77" s="14">
        <v>0.32783255054681598</v>
      </c>
      <c r="Q77" s="14"/>
      <c r="R77" s="14">
        <v>0.31782205213081</v>
      </c>
      <c r="S77" s="14">
        <v>0.295374385965055</v>
      </c>
      <c r="T77" s="14">
        <v>0.28851973796952202</v>
      </c>
      <c r="U77" s="14">
        <v>0.248053060928807</v>
      </c>
      <c r="V77" s="14">
        <v>0.30827878670735998</v>
      </c>
      <c r="W77" s="14">
        <v>0.28869800986257399</v>
      </c>
      <c r="X77" s="14">
        <v>0.22023415339270799</v>
      </c>
      <c r="Y77" s="14">
        <v>0.27985124312238902</v>
      </c>
      <c r="Z77" s="14">
        <v>0.25194803064797999</v>
      </c>
      <c r="AA77" s="14"/>
      <c r="AB77" s="14" t="s">
        <v>76</v>
      </c>
      <c r="AC77" s="14" t="s">
        <v>76</v>
      </c>
      <c r="AD77" s="14" t="s">
        <v>76</v>
      </c>
      <c r="AE77" s="14" t="s">
        <v>76</v>
      </c>
      <c r="AF77" s="14"/>
      <c r="AG77" s="14" t="s">
        <v>76</v>
      </c>
      <c r="AH77" s="14" t="s">
        <v>76</v>
      </c>
      <c r="AI77" s="14"/>
      <c r="AJ77" s="14" t="s">
        <v>76</v>
      </c>
      <c r="AK77" s="14" t="s">
        <v>76</v>
      </c>
      <c r="AL77" s="14"/>
      <c r="AM77" s="14">
        <v>0.28484950977520801</v>
      </c>
      <c r="AN77" s="14">
        <v>0.28051703732597499</v>
      </c>
    </row>
    <row r="78" spans="2:40" x14ac:dyDescent="0.35">
      <c r="B78" t="s">
        <v>67</v>
      </c>
      <c r="C78" s="14">
        <v>0.12311254059299399</v>
      </c>
      <c r="D78" s="14">
        <v>0.14541135963572099</v>
      </c>
      <c r="E78" s="14">
        <v>9.9110484610528196E-2</v>
      </c>
      <c r="F78" s="14"/>
      <c r="G78" s="14">
        <v>0.10457465981410601</v>
      </c>
      <c r="H78" s="14">
        <v>0.145682766343077</v>
      </c>
      <c r="I78" s="14" t="s">
        <v>76</v>
      </c>
      <c r="J78" s="14"/>
      <c r="K78" s="14">
        <v>0.12311254059299399</v>
      </c>
      <c r="L78" s="14" t="s">
        <v>76</v>
      </c>
      <c r="M78" s="14" t="s">
        <v>76</v>
      </c>
      <c r="N78" s="14"/>
      <c r="O78" s="14">
        <v>0.12097425087211</v>
      </c>
      <c r="P78" s="14">
        <v>0.15405319767064199</v>
      </c>
      <c r="Q78" s="14"/>
      <c r="R78" s="14">
        <v>8.3018665531034305E-2</v>
      </c>
      <c r="S78" s="14">
        <v>0.15114597882564601</v>
      </c>
      <c r="T78" s="14">
        <v>0.15389122732636901</v>
      </c>
      <c r="U78" s="14">
        <v>0.13456289994576501</v>
      </c>
      <c r="V78" s="14">
        <v>0.132044475935443</v>
      </c>
      <c r="W78" s="14">
        <v>0.130102805047599</v>
      </c>
      <c r="X78" s="14">
        <v>0.14488014228325799</v>
      </c>
      <c r="Y78" s="14">
        <v>7.9125323737880601E-2</v>
      </c>
      <c r="Z78" s="14">
        <v>8.6920093858324804E-2</v>
      </c>
      <c r="AA78" s="14"/>
      <c r="AB78" s="14" t="s">
        <v>76</v>
      </c>
      <c r="AC78" s="14" t="s">
        <v>76</v>
      </c>
      <c r="AD78" s="14" t="s">
        <v>76</v>
      </c>
      <c r="AE78" s="14" t="s">
        <v>76</v>
      </c>
      <c r="AF78" s="14"/>
      <c r="AG78" s="14" t="s">
        <v>76</v>
      </c>
      <c r="AH78" s="14" t="s">
        <v>76</v>
      </c>
      <c r="AI78" s="14"/>
      <c r="AJ78" s="14" t="s">
        <v>76</v>
      </c>
      <c r="AK78" s="14" t="s">
        <v>76</v>
      </c>
      <c r="AL78" s="14"/>
      <c r="AM78" s="14">
        <v>0.113493161829647</v>
      </c>
      <c r="AN78" s="14">
        <v>0.14562877600061699</v>
      </c>
    </row>
    <row r="79" spans="2:40" x14ac:dyDescent="0.35">
      <c r="B79" t="s">
        <v>68</v>
      </c>
      <c r="C79" s="14">
        <v>3.9031314506219203E-2</v>
      </c>
      <c r="D79" s="14">
        <v>5.0732960153447401E-2</v>
      </c>
      <c r="E79" s="14">
        <v>2.6326472226611101E-2</v>
      </c>
      <c r="F79" s="14"/>
      <c r="G79" s="14">
        <v>2.8343622453414201E-2</v>
      </c>
      <c r="H79" s="14">
        <v>5.2043784769481301E-2</v>
      </c>
      <c r="I79" s="14" t="s">
        <v>76</v>
      </c>
      <c r="J79" s="14"/>
      <c r="K79" s="14">
        <v>3.9031314506219203E-2</v>
      </c>
      <c r="L79" s="14" t="s">
        <v>76</v>
      </c>
      <c r="M79" s="14" t="s">
        <v>76</v>
      </c>
      <c r="N79" s="14"/>
      <c r="O79" s="14">
        <v>4.1240458562567202E-2</v>
      </c>
      <c r="P79" s="14">
        <v>9.5063459643859906E-3</v>
      </c>
      <c r="Q79" s="14"/>
      <c r="R79" s="14">
        <v>4.6589002471836199E-2</v>
      </c>
      <c r="S79" s="14">
        <v>5.4413618804860599E-2</v>
      </c>
      <c r="T79" s="14">
        <v>4.1235360632603101E-2</v>
      </c>
      <c r="U79" s="14">
        <v>6.0051341240651097E-2</v>
      </c>
      <c r="V79" s="14">
        <v>3.8410333902282698E-2</v>
      </c>
      <c r="W79" s="14">
        <v>2.7313210959826899E-2</v>
      </c>
      <c r="X79" s="14">
        <v>0</v>
      </c>
      <c r="Y79" s="14">
        <v>0</v>
      </c>
      <c r="Z79" s="14">
        <v>4.7137479913420002E-2</v>
      </c>
      <c r="AA79" s="14"/>
      <c r="AB79" s="14" t="s">
        <v>76</v>
      </c>
      <c r="AC79" s="14" t="s">
        <v>76</v>
      </c>
      <c r="AD79" s="14" t="s">
        <v>76</v>
      </c>
      <c r="AE79" s="14" t="s">
        <v>76</v>
      </c>
      <c r="AF79" s="14"/>
      <c r="AG79" s="14" t="s">
        <v>76</v>
      </c>
      <c r="AH79" s="14" t="s">
        <v>76</v>
      </c>
      <c r="AI79" s="14"/>
      <c r="AJ79" s="14" t="s">
        <v>76</v>
      </c>
      <c r="AK79" s="14" t="s">
        <v>76</v>
      </c>
      <c r="AL79" s="14"/>
      <c r="AM79" s="14">
        <v>3.90492265240431E-2</v>
      </c>
      <c r="AN79" s="14">
        <v>2.8694183553885502E-2</v>
      </c>
    </row>
    <row r="80" spans="2:40" x14ac:dyDescent="0.35">
      <c r="B80" t="s">
        <v>69</v>
      </c>
      <c r="C80" s="14">
        <v>2.1519953274081599E-2</v>
      </c>
      <c r="D80" s="14">
        <v>1.9029750957535299E-2</v>
      </c>
      <c r="E80" s="14">
        <v>2.4351230601064099E-2</v>
      </c>
      <c r="F80" s="14"/>
      <c r="G80" s="14">
        <v>2.89834825136196E-2</v>
      </c>
      <c r="H80" s="14">
        <v>1.2432963135458899E-2</v>
      </c>
      <c r="I80" s="14" t="s">
        <v>76</v>
      </c>
      <c r="J80" s="14"/>
      <c r="K80" s="14">
        <v>2.1519953274081599E-2</v>
      </c>
      <c r="L80" s="14" t="s">
        <v>76</v>
      </c>
      <c r="M80" s="14" t="s">
        <v>76</v>
      </c>
      <c r="N80" s="14"/>
      <c r="O80" s="14">
        <v>2.33737549522205E-2</v>
      </c>
      <c r="P80" s="14">
        <v>8.5093535355831793E-3</v>
      </c>
      <c r="Q80" s="14"/>
      <c r="R80" s="14">
        <v>4.51667152638952E-2</v>
      </c>
      <c r="S80" s="14">
        <v>5.1501653762912897E-3</v>
      </c>
      <c r="T80" s="14">
        <v>5.5700274765022401E-2</v>
      </c>
      <c r="U80" s="14">
        <v>0</v>
      </c>
      <c r="V80" s="14">
        <v>0</v>
      </c>
      <c r="W80" s="14">
        <v>6.74393210380756E-3</v>
      </c>
      <c r="X80" s="14">
        <v>2.4034407574616001E-2</v>
      </c>
      <c r="Y80" s="14">
        <v>1.8702825760231599E-2</v>
      </c>
      <c r="Z80" s="14">
        <v>2.7994346574520899E-2</v>
      </c>
      <c r="AA80" s="14"/>
      <c r="AB80" s="14" t="s">
        <v>76</v>
      </c>
      <c r="AC80" s="14" t="s">
        <v>76</v>
      </c>
      <c r="AD80" s="14" t="s">
        <v>76</v>
      </c>
      <c r="AE80" s="14" t="s">
        <v>76</v>
      </c>
      <c r="AF80" s="14"/>
      <c r="AG80" s="14" t="s">
        <v>76</v>
      </c>
      <c r="AH80" s="14" t="s">
        <v>76</v>
      </c>
      <c r="AI80" s="14"/>
      <c r="AJ80" s="14" t="s">
        <v>76</v>
      </c>
      <c r="AK80" s="14" t="s">
        <v>76</v>
      </c>
      <c r="AL80" s="14"/>
      <c r="AM80" s="14">
        <v>3.1125382474875299E-2</v>
      </c>
      <c r="AN80" s="14">
        <v>0</v>
      </c>
    </row>
    <row r="81" spans="2:40" x14ac:dyDescent="0.35">
      <c r="B81" t="s">
        <v>70</v>
      </c>
      <c r="C81" s="14">
        <v>4.3966672511561297E-3</v>
      </c>
      <c r="D81" s="14">
        <v>6.7757379921229797E-3</v>
      </c>
      <c r="E81" s="14">
        <v>1.7984978480723899E-3</v>
      </c>
      <c r="F81" s="14"/>
      <c r="G81" s="14">
        <v>6.3078822625665101E-3</v>
      </c>
      <c r="H81" s="14">
        <v>2.0697262820672298E-3</v>
      </c>
      <c r="I81" s="14" t="s">
        <v>76</v>
      </c>
      <c r="J81" s="14"/>
      <c r="K81" s="14">
        <v>4.3966672511561297E-3</v>
      </c>
      <c r="L81" s="14" t="s">
        <v>76</v>
      </c>
      <c r="M81" s="14" t="s">
        <v>76</v>
      </c>
      <c r="N81" s="14"/>
      <c r="O81" s="14">
        <v>3.9135935765946504E-3</v>
      </c>
      <c r="P81" s="14">
        <v>9.5063459643859906E-3</v>
      </c>
      <c r="Q81" s="14"/>
      <c r="R81" s="14">
        <v>1.73606326623565E-2</v>
      </c>
      <c r="S81" s="14">
        <v>0</v>
      </c>
      <c r="T81" s="14">
        <v>0</v>
      </c>
      <c r="U81" s="14">
        <v>0</v>
      </c>
      <c r="V81" s="14">
        <v>0</v>
      </c>
      <c r="W81" s="14">
        <v>7.6966624132609402E-3</v>
      </c>
      <c r="X81" s="14">
        <v>0</v>
      </c>
      <c r="Y81" s="14">
        <v>0</v>
      </c>
      <c r="Z81" s="14">
        <v>7.0616661265406003E-3</v>
      </c>
      <c r="AA81" s="14"/>
      <c r="AB81" s="14" t="s">
        <v>76</v>
      </c>
      <c r="AC81" s="14" t="s">
        <v>76</v>
      </c>
      <c r="AD81" s="14" t="s">
        <v>76</v>
      </c>
      <c r="AE81" s="14" t="s">
        <v>76</v>
      </c>
      <c r="AF81" s="14"/>
      <c r="AG81" s="14" t="s">
        <v>76</v>
      </c>
      <c r="AH81" s="14" t="s">
        <v>76</v>
      </c>
      <c r="AI81" s="14"/>
      <c r="AJ81" s="14" t="s">
        <v>76</v>
      </c>
      <c r="AK81" s="14" t="s">
        <v>76</v>
      </c>
      <c r="AL81" s="14"/>
      <c r="AM81" s="14">
        <v>6.64742804765759E-3</v>
      </c>
      <c r="AN81" s="14">
        <v>0</v>
      </c>
    </row>
    <row r="82" spans="2:40" x14ac:dyDescent="0.35"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</row>
    <row r="83" spans="2:40" x14ac:dyDescent="0.35">
      <c r="B83" s="6" t="s">
        <v>85</v>
      </c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</row>
    <row r="84" spans="2:40" x14ac:dyDescent="0.35">
      <c r="B84" s="24" t="s">
        <v>89</v>
      </c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</row>
    <row r="85" spans="2:40" x14ac:dyDescent="0.35">
      <c r="B85" t="s">
        <v>65</v>
      </c>
      <c r="C85" s="14">
        <v>0.117112903377088</v>
      </c>
      <c r="D85" s="14">
        <v>0.10106523651077599</v>
      </c>
      <c r="E85" s="14">
        <v>0.135266303792489</v>
      </c>
      <c r="F85" s="14"/>
      <c r="G85" s="14">
        <v>0.137108550619464</v>
      </c>
      <c r="H85" s="14">
        <v>9.2767818970599603E-2</v>
      </c>
      <c r="I85" s="14" t="s">
        <v>76</v>
      </c>
      <c r="J85" s="14"/>
      <c r="K85" s="14">
        <v>0.117112903377088</v>
      </c>
      <c r="L85" s="14" t="s">
        <v>76</v>
      </c>
      <c r="M85" s="14" t="s">
        <v>76</v>
      </c>
      <c r="N85" s="14"/>
      <c r="O85" s="14">
        <v>0.110897747840993</v>
      </c>
      <c r="P85" s="14">
        <v>0.17574211893414701</v>
      </c>
      <c r="Q85" s="14"/>
      <c r="R85" s="14">
        <v>0.17101340736223</v>
      </c>
      <c r="S85" s="14">
        <v>9.2944528044739405E-2</v>
      </c>
      <c r="T85" s="14">
        <v>7.5093599689161794E-2</v>
      </c>
      <c r="U85" s="14">
        <v>0.15343565577754101</v>
      </c>
      <c r="V85" s="14">
        <v>0.130380871729813</v>
      </c>
      <c r="W85" s="14">
        <v>0.11523693773829601</v>
      </c>
      <c r="X85" s="14">
        <v>5.0383554518066198E-2</v>
      </c>
      <c r="Y85" s="14">
        <v>0.14823301755583601</v>
      </c>
      <c r="Z85" s="14">
        <v>0.118166228599051</v>
      </c>
      <c r="AA85" s="14"/>
      <c r="AB85" s="14" t="s">
        <v>76</v>
      </c>
      <c r="AC85" s="14" t="s">
        <v>76</v>
      </c>
      <c r="AD85" s="14" t="s">
        <v>76</v>
      </c>
      <c r="AE85" s="14" t="s">
        <v>76</v>
      </c>
      <c r="AF85" s="14"/>
      <c r="AG85" s="14" t="s">
        <v>76</v>
      </c>
      <c r="AH85" s="14" t="s">
        <v>76</v>
      </c>
      <c r="AI85" s="14"/>
      <c r="AJ85" s="14" t="s">
        <v>76</v>
      </c>
      <c r="AK85" s="14" t="s">
        <v>76</v>
      </c>
      <c r="AL85" s="14"/>
      <c r="AM85" s="14">
        <v>0.13976697572642</v>
      </c>
      <c r="AN85" s="14">
        <v>7.6749171134644606E-2</v>
      </c>
    </row>
    <row r="86" spans="2:40" x14ac:dyDescent="0.35">
      <c r="B86" t="s">
        <v>66</v>
      </c>
      <c r="C86" s="14">
        <v>0.21484424416814599</v>
      </c>
      <c r="D86" s="14">
        <v>0.20364802384726799</v>
      </c>
      <c r="E86" s="14">
        <v>0.22640129225021499</v>
      </c>
      <c r="F86" s="14"/>
      <c r="G86" s="14">
        <v>0.17510942674654201</v>
      </c>
      <c r="H86" s="14">
        <v>0.26322214723273402</v>
      </c>
      <c r="I86" s="14" t="s">
        <v>76</v>
      </c>
      <c r="J86" s="14"/>
      <c r="K86" s="14">
        <v>0.21484424416814599</v>
      </c>
      <c r="L86" s="14" t="s">
        <v>76</v>
      </c>
      <c r="M86" s="14" t="s">
        <v>76</v>
      </c>
      <c r="N86" s="14"/>
      <c r="O86" s="14">
        <v>0.20017410070303601</v>
      </c>
      <c r="P86" s="14">
        <v>0.35736863393425999</v>
      </c>
      <c r="Q86" s="14"/>
      <c r="R86" s="14">
        <v>0.25304040862604799</v>
      </c>
      <c r="S86" s="14">
        <v>0.177030171559486</v>
      </c>
      <c r="T86" s="14">
        <v>0.25034581850494703</v>
      </c>
      <c r="U86" s="14">
        <v>0.17907780575853099</v>
      </c>
      <c r="V86" s="14">
        <v>0.19911080158303501</v>
      </c>
      <c r="W86" s="14">
        <v>0.29392697139894602</v>
      </c>
      <c r="X86" s="14">
        <v>0.17095431001606201</v>
      </c>
      <c r="Y86" s="14">
        <v>0.17313750196187599</v>
      </c>
      <c r="Z86" s="14">
        <v>0.213514189422846</v>
      </c>
      <c r="AA86" s="14"/>
      <c r="AB86" s="14" t="s">
        <v>76</v>
      </c>
      <c r="AC86" s="14" t="s">
        <v>76</v>
      </c>
      <c r="AD86" s="14" t="s">
        <v>76</v>
      </c>
      <c r="AE86" s="14" t="s">
        <v>76</v>
      </c>
      <c r="AF86" s="14"/>
      <c r="AG86" s="14" t="s">
        <v>76</v>
      </c>
      <c r="AH86" s="14" t="s">
        <v>76</v>
      </c>
      <c r="AI86" s="14"/>
      <c r="AJ86" s="14" t="s">
        <v>76</v>
      </c>
      <c r="AK86" s="14" t="s">
        <v>76</v>
      </c>
      <c r="AL86" s="14"/>
      <c r="AM86" s="14">
        <v>0.22987018843580101</v>
      </c>
      <c r="AN86" s="14">
        <v>0.13618316175103301</v>
      </c>
    </row>
    <row r="87" spans="2:40" x14ac:dyDescent="0.35">
      <c r="B87" t="s">
        <v>67</v>
      </c>
      <c r="C87" s="14">
        <v>0.27224139430757499</v>
      </c>
      <c r="D87" s="14">
        <v>0.26502917628742201</v>
      </c>
      <c r="E87" s="14">
        <v>0.281339395471919</v>
      </c>
      <c r="F87" s="14"/>
      <c r="G87" s="14">
        <v>0.20123909909436699</v>
      </c>
      <c r="H87" s="14">
        <v>0.35868805187596298</v>
      </c>
      <c r="I87" s="14" t="s">
        <v>76</v>
      </c>
      <c r="J87" s="14"/>
      <c r="K87" s="14">
        <v>0.27224139430757499</v>
      </c>
      <c r="L87" s="14" t="s">
        <v>76</v>
      </c>
      <c r="M87" s="14" t="s">
        <v>76</v>
      </c>
      <c r="N87" s="14"/>
      <c r="O87" s="14">
        <v>0.26895568313174301</v>
      </c>
      <c r="P87" s="14">
        <v>0.292117202300819</v>
      </c>
      <c r="Q87" s="14"/>
      <c r="R87" s="14">
        <v>0.28274893695293202</v>
      </c>
      <c r="S87" s="14">
        <v>0.278770732357772</v>
      </c>
      <c r="T87" s="14">
        <v>0.208192960807915</v>
      </c>
      <c r="U87" s="14">
        <v>0.259705421773198</v>
      </c>
      <c r="V87" s="14">
        <v>0.31183626012683402</v>
      </c>
      <c r="W87" s="14">
        <v>0.25367539413802298</v>
      </c>
      <c r="X87" s="14">
        <v>0.35436803143074203</v>
      </c>
      <c r="Y87" s="14">
        <v>0.197616618119032</v>
      </c>
      <c r="Z87" s="14">
        <v>0.26041057374806198</v>
      </c>
      <c r="AA87" s="14"/>
      <c r="AB87" s="14" t="s">
        <v>76</v>
      </c>
      <c r="AC87" s="14" t="s">
        <v>76</v>
      </c>
      <c r="AD87" s="14" t="s">
        <v>76</v>
      </c>
      <c r="AE87" s="14" t="s">
        <v>76</v>
      </c>
      <c r="AF87" s="14"/>
      <c r="AG87" s="14" t="s">
        <v>76</v>
      </c>
      <c r="AH87" s="14" t="s">
        <v>76</v>
      </c>
      <c r="AI87" s="14"/>
      <c r="AJ87" s="14" t="s">
        <v>76</v>
      </c>
      <c r="AK87" s="14" t="s">
        <v>76</v>
      </c>
      <c r="AL87" s="14"/>
      <c r="AM87" s="14">
        <v>0.25817500399343302</v>
      </c>
      <c r="AN87" s="14">
        <v>0.31882500460679902</v>
      </c>
    </row>
    <row r="88" spans="2:40" x14ac:dyDescent="0.35">
      <c r="B88" t="s">
        <v>68</v>
      </c>
      <c r="C88" s="14">
        <v>0.146480726918405</v>
      </c>
      <c r="D88" s="14">
        <v>0.164405201653021</v>
      </c>
      <c r="E88" s="14">
        <v>0.12739040995449799</v>
      </c>
      <c r="F88" s="14"/>
      <c r="G88" s="14">
        <v>0.10901393163754</v>
      </c>
      <c r="H88" s="14">
        <v>0.19209726948374101</v>
      </c>
      <c r="I88" s="14" t="s">
        <v>76</v>
      </c>
      <c r="J88" s="14"/>
      <c r="K88" s="14">
        <v>0.146480726918405</v>
      </c>
      <c r="L88" s="14" t="s">
        <v>76</v>
      </c>
      <c r="M88" s="14" t="s">
        <v>76</v>
      </c>
      <c r="N88" s="14"/>
      <c r="O88" s="14">
        <v>0.14902402206462101</v>
      </c>
      <c r="P88" s="14">
        <v>0.124301997888956</v>
      </c>
      <c r="Q88" s="14"/>
      <c r="R88" s="14">
        <v>0.110055445917185</v>
      </c>
      <c r="S88" s="14">
        <v>0.20094791858026201</v>
      </c>
      <c r="T88" s="14">
        <v>0.16566255274442501</v>
      </c>
      <c r="U88" s="14">
        <v>0.194098950570122</v>
      </c>
      <c r="V88" s="14">
        <v>0.135065342122134</v>
      </c>
      <c r="W88" s="14">
        <v>0.119717797115598</v>
      </c>
      <c r="X88" s="14">
        <v>0.11205718363714599</v>
      </c>
      <c r="Y88" s="14">
        <v>0.19989872091685701</v>
      </c>
      <c r="Z88" s="14">
        <v>0.10602262089610399</v>
      </c>
      <c r="AA88" s="14"/>
      <c r="AB88" s="14" t="s">
        <v>76</v>
      </c>
      <c r="AC88" s="14" t="s">
        <v>76</v>
      </c>
      <c r="AD88" s="14" t="s">
        <v>76</v>
      </c>
      <c r="AE88" s="14" t="s">
        <v>76</v>
      </c>
      <c r="AF88" s="14"/>
      <c r="AG88" s="14" t="s">
        <v>76</v>
      </c>
      <c r="AH88" s="14" t="s">
        <v>76</v>
      </c>
      <c r="AI88" s="14"/>
      <c r="AJ88" s="14" t="s">
        <v>76</v>
      </c>
      <c r="AK88" s="14" t="s">
        <v>76</v>
      </c>
      <c r="AL88" s="14"/>
      <c r="AM88" s="14">
        <v>0.12020630162200401</v>
      </c>
      <c r="AN88" s="14">
        <v>0.24157458582119701</v>
      </c>
    </row>
    <row r="89" spans="2:40" x14ac:dyDescent="0.35">
      <c r="B89" t="s">
        <v>69</v>
      </c>
      <c r="C89" s="14">
        <v>0.23052609096601501</v>
      </c>
      <c r="D89" s="14">
        <v>0.25109100976936499</v>
      </c>
      <c r="E89" s="14">
        <v>0.20629094490997599</v>
      </c>
      <c r="F89" s="14"/>
      <c r="G89" s="14">
        <v>0.348967938951386</v>
      </c>
      <c r="H89" s="14">
        <v>8.6320867123422199E-2</v>
      </c>
      <c r="I89" s="14" t="s">
        <v>76</v>
      </c>
      <c r="J89" s="14"/>
      <c r="K89" s="14">
        <v>0.23052609096601501</v>
      </c>
      <c r="L89" s="14" t="s">
        <v>76</v>
      </c>
      <c r="M89" s="14" t="s">
        <v>76</v>
      </c>
      <c r="N89" s="14"/>
      <c r="O89" s="14">
        <v>0.25097981523122298</v>
      </c>
      <c r="P89" s="14">
        <v>5.0470046941817698E-2</v>
      </c>
      <c r="Q89" s="14"/>
      <c r="R89" s="14">
        <v>0.17608854299525001</v>
      </c>
      <c r="S89" s="14">
        <v>0.227674072370461</v>
      </c>
      <c r="T89" s="14">
        <v>0.25901046903506703</v>
      </c>
      <c r="U89" s="14">
        <v>0.213682166120608</v>
      </c>
      <c r="V89" s="14">
        <v>0.21215522475041501</v>
      </c>
      <c r="W89" s="14">
        <v>0.20489265119105901</v>
      </c>
      <c r="X89" s="14">
        <v>0.27644734442171798</v>
      </c>
      <c r="Y89" s="14">
        <v>0.28111414144639901</v>
      </c>
      <c r="Z89" s="14">
        <v>0.27239250814382399</v>
      </c>
      <c r="AA89" s="14"/>
      <c r="AB89" s="14" t="s">
        <v>76</v>
      </c>
      <c r="AC89" s="14" t="s">
        <v>76</v>
      </c>
      <c r="AD89" s="14" t="s">
        <v>76</v>
      </c>
      <c r="AE89" s="14" t="s">
        <v>76</v>
      </c>
      <c r="AF89" s="14"/>
      <c r="AG89" s="14" t="s">
        <v>76</v>
      </c>
      <c r="AH89" s="14" t="s">
        <v>76</v>
      </c>
      <c r="AI89" s="14"/>
      <c r="AJ89" s="14" t="s">
        <v>76</v>
      </c>
      <c r="AK89" s="14" t="s">
        <v>76</v>
      </c>
      <c r="AL89" s="14"/>
      <c r="AM89" s="14">
        <v>0.22836777213551299</v>
      </c>
      <c r="AN89" s="14">
        <v>0.208132112086445</v>
      </c>
    </row>
    <row r="90" spans="2:40" x14ac:dyDescent="0.35">
      <c r="B90" t="s">
        <v>70</v>
      </c>
      <c r="C90" s="14">
        <v>1.8794640262771001E-2</v>
      </c>
      <c r="D90" s="14">
        <v>1.47613519321466E-2</v>
      </c>
      <c r="E90" s="14">
        <v>2.3311653620904399E-2</v>
      </c>
      <c r="F90" s="14"/>
      <c r="G90" s="14">
        <v>2.8561052950701101E-2</v>
      </c>
      <c r="H90" s="14">
        <v>6.9038453135394102E-3</v>
      </c>
      <c r="I90" s="14" t="s">
        <v>76</v>
      </c>
      <c r="J90" s="14"/>
      <c r="K90" s="14">
        <v>1.8794640262771001E-2</v>
      </c>
      <c r="L90" s="14" t="s">
        <v>76</v>
      </c>
      <c r="M90" s="14" t="s">
        <v>76</v>
      </c>
      <c r="N90" s="14"/>
      <c r="O90" s="14">
        <v>1.99686310283833E-2</v>
      </c>
      <c r="P90" s="14">
        <v>0</v>
      </c>
      <c r="Q90" s="14"/>
      <c r="R90" s="14">
        <v>7.0532581463543598E-3</v>
      </c>
      <c r="S90" s="14">
        <v>2.2632577087279698E-2</v>
      </c>
      <c r="T90" s="14">
        <v>4.1694599218483799E-2</v>
      </c>
      <c r="U90" s="14">
        <v>0</v>
      </c>
      <c r="V90" s="14">
        <v>1.14514996877678E-2</v>
      </c>
      <c r="W90" s="14">
        <v>1.2550248418077699E-2</v>
      </c>
      <c r="X90" s="14">
        <v>3.5789575976266003E-2</v>
      </c>
      <c r="Y90" s="14">
        <v>0</v>
      </c>
      <c r="Z90" s="14">
        <v>2.9493879190111899E-2</v>
      </c>
      <c r="AA90" s="14"/>
      <c r="AB90" s="14" t="s">
        <v>76</v>
      </c>
      <c r="AC90" s="14" t="s">
        <v>76</v>
      </c>
      <c r="AD90" s="14" t="s">
        <v>76</v>
      </c>
      <c r="AE90" s="14" t="s">
        <v>76</v>
      </c>
      <c r="AF90" s="14"/>
      <c r="AG90" s="14" t="s">
        <v>76</v>
      </c>
      <c r="AH90" s="14" t="s">
        <v>76</v>
      </c>
      <c r="AI90" s="14"/>
      <c r="AJ90" s="14" t="s">
        <v>76</v>
      </c>
      <c r="AK90" s="14" t="s">
        <v>76</v>
      </c>
      <c r="AL90" s="14"/>
      <c r="AM90" s="14">
        <v>2.3613758086828598E-2</v>
      </c>
      <c r="AN90" s="14">
        <v>1.8535964599879998E-2</v>
      </c>
    </row>
    <row r="91" spans="2:40" x14ac:dyDescent="0.35"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</row>
    <row r="92" spans="2:40" x14ac:dyDescent="0.35">
      <c r="B92" s="6" t="s">
        <v>77</v>
      </c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</row>
    <row r="93" spans="2:40" x14ac:dyDescent="0.35">
      <c r="B93" s="24" t="s">
        <v>74</v>
      </c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</row>
    <row r="94" spans="2:40" x14ac:dyDescent="0.35">
      <c r="B94" t="s">
        <v>65</v>
      </c>
      <c r="C94" s="14">
        <v>0.22587000269045801</v>
      </c>
      <c r="D94" s="14">
        <v>0.26584651847526802</v>
      </c>
      <c r="E94" s="14">
        <v>0.18687051154492501</v>
      </c>
      <c r="F94" s="14"/>
      <c r="G94" s="14" t="s">
        <v>76</v>
      </c>
      <c r="H94" s="14" t="s">
        <v>76</v>
      </c>
      <c r="I94" s="14">
        <v>0.22587000269045801</v>
      </c>
      <c r="J94" s="14"/>
      <c r="K94" s="14" t="s">
        <v>76</v>
      </c>
      <c r="L94" s="14">
        <v>0.237990539699975</v>
      </c>
      <c r="M94" s="14">
        <v>0.20281994871993</v>
      </c>
      <c r="N94" s="14"/>
      <c r="O94" s="14">
        <v>0.19593698938993201</v>
      </c>
      <c r="P94" s="14">
        <v>0.40404216596098202</v>
      </c>
      <c r="Q94" s="14"/>
      <c r="R94" s="14">
        <v>0.31490544730817499</v>
      </c>
      <c r="S94" s="14">
        <v>0.180211823962279</v>
      </c>
      <c r="T94" s="14">
        <v>0.16762050134213999</v>
      </c>
      <c r="U94" s="14">
        <v>0.15357048376759699</v>
      </c>
      <c r="V94" s="14">
        <v>0.21589545293083001</v>
      </c>
      <c r="W94" s="14">
        <v>0.21673056110452399</v>
      </c>
      <c r="X94" s="14">
        <v>0.22395275143653401</v>
      </c>
      <c r="Y94" s="14">
        <v>0.30547875188643497</v>
      </c>
      <c r="Z94" s="14">
        <v>0.25459512591257799</v>
      </c>
      <c r="AA94" s="14"/>
      <c r="AB94" s="14">
        <v>0.193062294683226</v>
      </c>
      <c r="AC94" s="14">
        <v>0.40301742921632699</v>
      </c>
      <c r="AD94" s="14">
        <v>0.12395887112697999</v>
      </c>
      <c r="AE94" s="14">
        <v>0.30572665140862998</v>
      </c>
      <c r="AF94" s="14"/>
      <c r="AG94" s="14">
        <v>0.44721449154420201</v>
      </c>
      <c r="AH94" s="14">
        <v>0.116465835276511</v>
      </c>
      <c r="AI94" s="14"/>
      <c r="AJ94" s="14">
        <v>0.33161785725201598</v>
      </c>
      <c r="AK94" s="14">
        <v>6.3773954243866796E-2</v>
      </c>
      <c r="AL94" s="14"/>
      <c r="AM94" s="14">
        <v>0.43994805320490799</v>
      </c>
      <c r="AN94" s="14">
        <v>7.4908538749232801E-3</v>
      </c>
    </row>
    <row r="95" spans="2:40" x14ac:dyDescent="0.35">
      <c r="B95" t="s">
        <v>66</v>
      </c>
      <c r="C95" s="14">
        <v>0.27693909097540897</v>
      </c>
      <c r="D95" s="14">
        <v>0.28552801579086301</v>
      </c>
      <c r="E95" s="14">
        <v>0.27138595874086802</v>
      </c>
      <c r="F95" s="14"/>
      <c r="G95" s="14" t="s">
        <v>76</v>
      </c>
      <c r="H95" s="14" t="s">
        <v>76</v>
      </c>
      <c r="I95" s="14">
        <v>0.27693909097540897</v>
      </c>
      <c r="J95" s="14"/>
      <c r="K95" s="14" t="s">
        <v>76</v>
      </c>
      <c r="L95" s="14">
        <v>0.29171456344531699</v>
      </c>
      <c r="M95" s="14">
        <v>0.24884005232687101</v>
      </c>
      <c r="N95" s="14"/>
      <c r="O95" s="14">
        <v>0.28263813230809198</v>
      </c>
      <c r="P95" s="14">
        <v>0.26794402958646801</v>
      </c>
      <c r="Q95" s="14"/>
      <c r="R95" s="14">
        <v>0.23377792536619099</v>
      </c>
      <c r="S95" s="14">
        <v>0.28863927543419299</v>
      </c>
      <c r="T95" s="14">
        <v>0.247022983069836</v>
      </c>
      <c r="U95" s="14">
        <v>0.34171305836186799</v>
      </c>
      <c r="V95" s="14">
        <v>0.2700314563915</v>
      </c>
      <c r="W95" s="14">
        <v>0.26833684253934198</v>
      </c>
      <c r="X95" s="14">
        <v>0.33465217265567998</v>
      </c>
      <c r="Y95" s="14">
        <v>0.19327520232068199</v>
      </c>
      <c r="Z95" s="14">
        <v>0.287345674638119</v>
      </c>
      <c r="AA95" s="14"/>
      <c r="AB95" s="14">
        <v>0.185038254017138</v>
      </c>
      <c r="AC95" s="14">
        <v>0.35581382643187498</v>
      </c>
      <c r="AD95" s="14">
        <v>0.198158006710066</v>
      </c>
      <c r="AE95" s="14">
        <v>0.34426906688643</v>
      </c>
      <c r="AF95" s="14"/>
      <c r="AG95" s="14">
        <v>0.38048265766868899</v>
      </c>
      <c r="AH95" s="14">
        <v>0.109434716354671</v>
      </c>
      <c r="AI95" s="14"/>
      <c r="AJ95" s="14">
        <v>0.28575141944903099</v>
      </c>
      <c r="AK95" s="14">
        <v>0.22449944969295099</v>
      </c>
      <c r="AL95" s="14"/>
      <c r="AM95" s="14">
        <v>0.39838053775399901</v>
      </c>
      <c r="AN95" s="14">
        <v>8.2376514735739606E-2</v>
      </c>
    </row>
    <row r="96" spans="2:40" x14ac:dyDescent="0.35">
      <c r="B96" t="s">
        <v>67</v>
      </c>
      <c r="C96" s="14">
        <v>0.23595958641141601</v>
      </c>
      <c r="D96" s="14">
        <v>0.23348513307003199</v>
      </c>
      <c r="E96" s="14">
        <v>0.23872112138451401</v>
      </c>
      <c r="F96" s="14"/>
      <c r="G96" s="14" t="s">
        <v>76</v>
      </c>
      <c r="H96" s="14" t="s">
        <v>76</v>
      </c>
      <c r="I96" s="14">
        <v>0.23595958641141601</v>
      </c>
      <c r="J96" s="14"/>
      <c r="K96" s="14" t="s">
        <v>76</v>
      </c>
      <c r="L96" s="14">
        <v>0.26327717820408703</v>
      </c>
      <c r="M96" s="14">
        <v>0.184008755794626</v>
      </c>
      <c r="N96" s="14"/>
      <c r="O96" s="14">
        <v>0.245944106304372</v>
      </c>
      <c r="P96" s="14">
        <v>0.18536463842515</v>
      </c>
      <c r="Q96" s="14"/>
      <c r="R96" s="14">
        <v>0.24004163482383001</v>
      </c>
      <c r="S96" s="14">
        <v>0.23010113803941501</v>
      </c>
      <c r="T96" s="14">
        <v>0.26350914496974198</v>
      </c>
      <c r="U96" s="14">
        <v>0.233500672008634</v>
      </c>
      <c r="V96" s="14">
        <v>0.23011038758767499</v>
      </c>
      <c r="W96" s="14">
        <v>0.20676594891556499</v>
      </c>
      <c r="X96" s="14">
        <v>0.223211999977453</v>
      </c>
      <c r="Y96" s="14">
        <v>0.223400006001645</v>
      </c>
      <c r="Z96" s="14">
        <v>0.26029959639377598</v>
      </c>
      <c r="AA96" s="14"/>
      <c r="AB96" s="14">
        <v>0.34865673865848201</v>
      </c>
      <c r="AC96" s="14">
        <v>0.179129853266527</v>
      </c>
      <c r="AD96" s="14">
        <v>0.20841459920539701</v>
      </c>
      <c r="AE96" s="14">
        <v>0.161958321765267</v>
      </c>
      <c r="AF96" s="14"/>
      <c r="AG96" s="14">
        <v>0.101153450043993</v>
      </c>
      <c r="AH96" s="14">
        <v>0.25530547404231801</v>
      </c>
      <c r="AI96" s="14"/>
      <c r="AJ96" s="14">
        <v>0.15502957260974101</v>
      </c>
      <c r="AK96" s="14">
        <v>0.230348370539639</v>
      </c>
      <c r="AL96" s="14"/>
      <c r="AM96" s="14">
        <v>0.123497112776754</v>
      </c>
      <c r="AN96" s="14">
        <v>0.23065318633020199</v>
      </c>
    </row>
    <row r="97" spans="2:40" x14ac:dyDescent="0.35">
      <c r="B97" t="s">
        <v>68</v>
      </c>
      <c r="C97" s="14">
        <v>0.21458534623588499</v>
      </c>
      <c r="D97" s="14">
        <v>0.185117806024795</v>
      </c>
      <c r="E97" s="14">
        <v>0.24209261144158301</v>
      </c>
      <c r="F97" s="14"/>
      <c r="G97" s="14" t="s">
        <v>76</v>
      </c>
      <c r="H97" s="14" t="s">
        <v>76</v>
      </c>
      <c r="I97" s="14">
        <v>0.21458534623588499</v>
      </c>
      <c r="J97" s="14"/>
      <c r="K97" s="14" t="s">
        <v>76</v>
      </c>
      <c r="L97" s="14">
        <v>0.20701771865061999</v>
      </c>
      <c r="M97" s="14">
        <v>0.22897697130433201</v>
      </c>
      <c r="N97" s="14"/>
      <c r="O97" s="14">
        <v>0.22841819834361099</v>
      </c>
      <c r="P97" s="14">
        <v>9.0155642276249601E-2</v>
      </c>
      <c r="Q97" s="14"/>
      <c r="R97" s="14">
        <v>0.173944236234329</v>
      </c>
      <c r="S97" s="14">
        <v>0.24940093262447399</v>
      </c>
      <c r="T97" s="14">
        <v>0.22874398938030299</v>
      </c>
      <c r="U97" s="14">
        <v>0.19292447926244299</v>
      </c>
      <c r="V97" s="14">
        <v>0.22076982346055099</v>
      </c>
      <c r="W97" s="14">
        <v>0.28184189414727201</v>
      </c>
      <c r="X97" s="14">
        <v>0.20759168290743299</v>
      </c>
      <c r="Y97" s="14">
        <v>0.24856442816062299</v>
      </c>
      <c r="Z97" s="14">
        <v>0.16584944453529599</v>
      </c>
      <c r="AA97" s="14"/>
      <c r="AB97" s="14">
        <v>0.27324271264115402</v>
      </c>
      <c r="AC97" s="14">
        <v>6.2038891085271698E-2</v>
      </c>
      <c r="AD97" s="14">
        <v>0.29895036881553999</v>
      </c>
      <c r="AE97" s="14">
        <v>6.7445065609589697E-2</v>
      </c>
      <c r="AF97" s="14"/>
      <c r="AG97" s="14">
        <v>7.1149400743116598E-2</v>
      </c>
      <c r="AH97" s="14">
        <v>0.50081249990258203</v>
      </c>
      <c r="AI97" s="14"/>
      <c r="AJ97" s="14">
        <v>0.221316626523726</v>
      </c>
      <c r="AK97" s="14">
        <v>0.22216873641940599</v>
      </c>
      <c r="AL97" s="14"/>
      <c r="AM97" s="14">
        <v>1.92187466738157E-2</v>
      </c>
      <c r="AN97" s="14">
        <v>0.59824420744962004</v>
      </c>
    </row>
    <row r="98" spans="2:40" x14ac:dyDescent="0.35">
      <c r="B98" t="s">
        <v>69</v>
      </c>
      <c r="C98" s="14">
        <v>4.6645973686831703E-2</v>
      </c>
      <c r="D98" s="14">
        <v>3.00225266390419E-2</v>
      </c>
      <c r="E98" s="14">
        <v>6.09297968881094E-2</v>
      </c>
      <c r="F98" s="14"/>
      <c r="G98" s="14" t="s">
        <v>76</v>
      </c>
      <c r="H98" s="14" t="s">
        <v>76</v>
      </c>
      <c r="I98" s="14">
        <v>4.6645973686831703E-2</v>
      </c>
      <c r="J98" s="14"/>
      <c r="K98" s="14" t="s">
        <v>76</v>
      </c>
      <c r="L98" s="14">
        <v>0</v>
      </c>
      <c r="M98" s="14">
        <v>0.13535427185424001</v>
      </c>
      <c r="N98" s="14"/>
      <c r="O98" s="14">
        <v>4.7062573653994001E-2</v>
      </c>
      <c r="P98" s="14">
        <v>5.2493523751150899E-2</v>
      </c>
      <c r="Q98" s="14"/>
      <c r="R98" s="14">
        <v>3.7330756267474202E-2</v>
      </c>
      <c r="S98" s="14">
        <v>5.16468299396384E-2</v>
      </c>
      <c r="T98" s="14">
        <v>9.3103381237978997E-2</v>
      </c>
      <c r="U98" s="14">
        <v>7.8291306599458099E-2</v>
      </c>
      <c r="V98" s="14">
        <v>6.3192879629445295E-2</v>
      </c>
      <c r="W98" s="14">
        <v>2.6324753293296099E-2</v>
      </c>
      <c r="X98" s="14">
        <v>1.05913930229004E-2</v>
      </c>
      <c r="Y98" s="14">
        <v>2.9281611630615701E-2</v>
      </c>
      <c r="Z98" s="14">
        <v>3.19101585202307E-2</v>
      </c>
      <c r="AA98" s="14"/>
      <c r="AB98" s="14">
        <v>0</v>
      </c>
      <c r="AC98" s="14">
        <v>0</v>
      </c>
      <c r="AD98" s="14">
        <v>0.17051815414201699</v>
      </c>
      <c r="AE98" s="14">
        <v>0.120600894330083</v>
      </c>
      <c r="AF98" s="14"/>
      <c r="AG98" s="14">
        <v>0</v>
      </c>
      <c r="AH98" s="14">
        <v>1.7981474423918599E-2</v>
      </c>
      <c r="AI98" s="14"/>
      <c r="AJ98" s="14">
        <v>6.2845241654850099E-3</v>
      </c>
      <c r="AK98" s="14">
        <v>0.25920948910413699</v>
      </c>
      <c r="AL98" s="14"/>
      <c r="AM98" s="14">
        <v>1.8955549590523101E-2</v>
      </c>
      <c r="AN98" s="14">
        <v>8.1235237609515398E-2</v>
      </c>
    </row>
    <row r="99" spans="2:40" x14ac:dyDescent="0.35">
      <c r="B99" t="s">
        <v>70</v>
      </c>
      <c r="C99" s="14">
        <v>0</v>
      </c>
      <c r="D99" s="14">
        <v>0</v>
      </c>
      <c r="E99" s="14">
        <v>0</v>
      </c>
      <c r="F99" s="14"/>
      <c r="G99" s="14" t="s">
        <v>76</v>
      </c>
      <c r="H99" s="14" t="s">
        <v>76</v>
      </c>
      <c r="I99" s="14">
        <v>0</v>
      </c>
      <c r="J99" s="14"/>
      <c r="K99" s="14" t="s">
        <v>76</v>
      </c>
      <c r="L99" s="14">
        <v>0</v>
      </c>
      <c r="M99" s="14">
        <v>0</v>
      </c>
      <c r="N99" s="14"/>
      <c r="O99" s="14">
        <v>0</v>
      </c>
      <c r="P99" s="14">
        <v>0</v>
      </c>
      <c r="Q99" s="14"/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14"/>
      <c r="AB99" s="14">
        <v>0</v>
      </c>
      <c r="AC99" s="14">
        <v>0</v>
      </c>
      <c r="AD99" s="14">
        <v>0</v>
      </c>
      <c r="AE99" s="14">
        <v>0</v>
      </c>
      <c r="AF99" s="14"/>
      <c r="AG99" s="14">
        <v>0</v>
      </c>
      <c r="AH99" s="14">
        <v>0</v>
      </c>
      <c r="AI99" s="14"/>
      <c r="AJ99" s="14">
        <v>0</v>
      </c>
      <c r="AK99" s="14">
        <v>0</v>
      </c>
      <c r="AL99" s="14"/>
      <c r="AM99" s="14">
        <v>0</v>
      </c>
      <c r="AN99" s="14">
        <v>0</v>
      </c>
    </row>
    <row r="100" spans="2:40" x14ac:dyDescent="0.35"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</row>
    <row r="101" spans="2:40" x14ac:dyDescent="0.35">
      <c r="B101" s="6" t="s">
        <v>78</v>
      </c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</row>
    <row r="102" spans="2:40" x14ac:dyDescent="0.35">
      <c r="B102" s="24" t="s">
        <v>74</v>
      </c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</row>
    <row r="103" spans="2:40" x14ac:dyDescent="0.35">
      <c r="B103" t="s">
        <v>65</v>
      </c>
      <c r="C103" s="14">
        <v>0.26792908623933198</v>
      </c>
      <c r="D103" s="14">
        <v>0.22584731782974601</v>
      </c>
      <c r="E103" s="14">
        <v>0.304505548501184</v>
      </c>
      <c r="F103" s="14"/>
      <c r="G103" s="14" t="s">
        <v>76</v>
      </c>
      <c r="H103" s="14" t="s">
        <v>76</v>
      </c>
      <c r="I103" s="14">
        <v>0.26792908623933198</v>
      </c>
      <c r="J103" s="14"/>
      <c r="K103" s="14" t="s">
        <v>76</v>
      </c>
      <c r="L103" s="14">
        <v>0.264946593516171</v>
      </c>
      <c r="M103" s="14">
        <v>0.273600998150627</v>
      </c>
      <c r="N103" s="14"/>
      <c r="O103" s="14">
        <v>0.23363024000010299</v>
      </c>
      <c r="P103" s="14">
        <v>0.47914773990704301</v>
      </c>
      <c r="Q103" s="14"/>
      <c r="R103" s="14">
        <v>0.36851384259144399</v>
      </c>
      <c r="S103" s="14">
        <v>0.22851461732307701</v>
      </c>
      <c r="T103" s="14">
        <v>0.31779136323752399</v>
      </c>
      <c r="U103" s="14">
        <v>0.249039808288047</v>
      </c>
      <c r="V103" s="14">
        <v>0.18038497357444599</v>
      </c>
      <c r="W103" s="14">
        <v>0.28074053530475701</v>
      </c>
      <c r="X103" s="14">
        <v>0.25019074726260498</v>
      </c>
      <c r="Y103" s="14">
        <v>0.34157921986283302</v>
      </c>
      <c r="Z103" s="14">
        <v>0.209184372436473</v>
      </c>
      <c r="AA103" s="14"/>
      <c r="AB103" s="14">
        <v>0.27983632230970901</v>
      </c>
      <c r="AC103" s="14">
        <v>0.35503047130356502</v>
      </c>
      <c r="AD103" s="14">
        <v>0.251378060853649</v>
      </c>
      <c r="AE103" s="14">
        <v>0.28710596610606598</v>
      </c>
      <c r="AF103" s="14"/>
      <c r="AG103" s="14">
        <v>0.293135144272133</v>
      </c>
      <c r="AH103" s="14">
        <v>0.23143354058023899</v>
      </c>
      <c r="AI103" s="14"/>
      <c r="AJ103" s="14">
        <v>0.27157043771308198</v>
      </c>
      <c r="AK103" s="14">
        <v>0.28574431169883302</v>
      </c>
      <c r="AL103" s="14"/>
      <c r="AM103" s="14">
        <v>0.32387110651331202</v>
      </c>
      <c r="AN103" s="14">
        <v>0.21777908787749101</v>
      </c>
    </row>
    <row r="104" spans="2:40" x14ac:dyDescent="0.35">
      <c r="B104" t="s">
        <v>66</v>
      </c>
      <c r="C104" s="14">
        <v>0.30488333509638699</v>
      </c>
      <c r="D104" s="14">
        <v>0.29601321459017799</v>
      </c>
      <c r="E104" s="14">
        <v>0.31260412049959202</v>
      </c>
      <c r="F104" s="14"/>
      <c r="G104" s="14" t="s">
        <v>76</v>
      </c>
      <c r="H104" s="14" t="s">
        <v>76</v>
      </c>
      <c r="I104" s="14">
        <v>0.30488333509638699</v>
      </c>
      <c r="J104" s="14"/>
      <c r="K104" s="14" t="s">
        <v>76</v>
      </c>
      <c r="L104" s="14">
        <v>0.33727931692991903</v>
      </c>
      <c r="M104" s="14">
        <v>0.24327475050109701</v>
      </c>
      <c r="N104" s="14"/>
      <c r="O104" s="14">
        <v>0.30972708687636502</v>
      </c>
      <c r="P104" s="14">
        <v>0.29210918341464498</v>
      </c>
      <c r="Q104" s="14"/>
      <c r="R104" s="14">
        <v>0.32339121409083998</v>
      </c>
      <c r="S104" s="14">
        <v>0.28065459208381599</v>
      </c>
      <c r="T104" s="14">
        <v>0.234602182810139</v>
      </c>
      <c r="U104" s="14">
        <v>0.282400012968679</v>
      </c>
      <c r="V104" s="14">
        <v>0.22589575949603399</v>
      </c>
      <c r="W104" s="14">
        <v>0.27737307348316598</v>
      </c>
      <c r="X104" s="14">
        <v>0.35708551103778202</v>
      </c>
      <c r="Y104" s="14">
        <v>0.308188776708537</v>
      </c>
      <c r="Z104" s="14">
        <v>0.409293734390972</v>
      </c>
      <c r="AA104" s="14"/>
      <c r="AB104" s="14">
        <v>0.29334265820702998</v>
      </c>
      <c r="AC104" s="14">
        <v>0.34470250714386602</v>
      </c>
      <c r="AD104" s="14">
        <v>0.26427889393922399</v>
      </c>
      <c r="AE104" s="14">
        <v>0.24149237224454001</v>
      </c>
      <c r="AF104" s="14"/>
      <c r="AG104" s="14">
        <v>0.26135873426338901</v>
      </c>
      <c r="AH104" s="14">
        <v>0.25688899109656199</v>
      </c>
      <c r="AI104" s="14"/>
      <c r="AJ104" s="14">
        <v>0.25979655931136902</v>
      </c>
      <c r="AK104" s="14">
        <v>0.22173389684296299</v>
      </c>
      <c r="AL104" s="14"/>
      <c r="AM104" s="14">
        <v>0.33555650183323399</v>
      </c>
      <c r="AN104" s="14">
        <v>0.25519500923592903</v>
      </c>
    </row>
    <row r="105" spans="2:40" x14ac:dyDescent="0.35">
      <c r="B105" t="s">
        <v>67</v>
      </c>
      <c r="C105" s="14">
        <v>0.23623128307459401</v>
      </c>
      <c r="D105" s="14">
        <v>0.26491686060972702</v>
      </c>
      <c r="E105" s="14">
        <v>0.210715816687011</v>
      </c>
      <c r="F105" s="14"/>
      <c r="G105" s="14" t="s">
        <v>76</v>
      </c>
      <c r="H105" s="14" t="s">
        <v>76</v>
      </c>
      <c r="I105" s="14">
        <v>0.23623128307459401</v>
      </c>
      <c r="J105" s="14"/>
      <c r="K105" s="14" t="s">
        <v>76</v>
      </c>
      <c r="L105" s="14">
        <v>0.269084241980794</v>
      </c>
      <c r="M105" s="14">
        <v>0.173753649015568</v>
      </c>
      <c r="N105" s="14"/>
      <c r="O105" s="14">
        <v>0.251243371506153</v>
      </c>
      <c r="P105" s="14">
        <v>0.133870086130985</v>
      </c>
      <c r="Q105" s="14"/>
      <c r="R105" s="14">
        <v>0.20553788868933801</v>
      </c>
      <c r="S105" s="14">
        <v>0.30417877523015802</v>
      </c>
      <c r="T105" s="14">
        <v>0.19396673037756901</v>
      </c>
      <c r="U105" s="14">
        <v>0.24008773109230699</v>
      </c>
      <c r="V105" s="14">
        <v>0.28926936440053302</v>
      </c>
      <c r="W105" s="14">
        <v>0.219691437016101</v>
      </c>
      <c r="X105" s="14">
        <v>0.197568398732581</v>
      </c>
      <c r="Y105" s="14">
        <v>0.19388511503945199</v>
      </c>
      <c r="Z105" s="14">
        <v>0.23543755903793501</v>
      </c>
      <c r="AA105" s="14"/>
      <c r="AB105" s="14">
        <v>0.30638112855312899</v>
      </c>
      <c r="AC105" s="14">
        <v>0.21129224194211799</v>
      </c>
      <c r="AD105" s="14">
        <v>0.20015707830364801</v>
      </c>
      <c r="AE105" s="14">
        <v>9.9708109121589297E-2</v>
      </c>
      <c r="AF105" s="14"/>
      <c r="AG105" s="14">
        <v>0.132258627567374</v>
      </c>
      <c r="AH105" s="14">
        <v>0.26978922889713403</v>
      </c>
      <c r="AI105" s="14"/>
      <c r="AJ105" s="14">
        <v>0.18032556396947799</v>
      </c>
      <c r="AK105" s="14">
        <v>0.15971699668476599</v>
      </c>
      <c r="AL105" s="14"/>
      <c r="AM105" s="14">
        <v>0.20101140672988899</v>
      </c>
      <c r="AN105" s="14">
        <v>0.26170280374376398</v>
      </c>
    </row>
    <row r="106" spans="2:40" x14ac:dyDescent="0.35">
      <c r="B106" t="s">
        <v>68</v>
      </c>
      <c r="C106" s="14">
        <v>0.120144907850779</v>
      </c>
      <c r="D106" s="14">
        <v>0.15123864431276099</v>
      </c>
      <c r="E106" s="14">
        <v>9.2697844122018203E-2</v>
      </c>
      <c r="F106" s="14"/>
      <c r="G106" s="14" t="s">
        <v>76</v>
      </c>
      <c r="H106" s="14" t="s">
        <v>76</v>
      </c>
      <c r="I106" s="14">
        <v>0.120144907850779</v>
      </c>
      <c r="J106" s="14"/>
      <c r="K106" s="14" t="s">
        <v>76</v>
      </c>
      <c r="L106" s="14">
        <v>0.127690645439404</v>
      </c>
      <c r="M106" s="14">
        <v>0.10579491176325399</v>
      </c>
      <c r="N106" s="14"/>
      <c r="O106" s="14">
        <v>0.12872514477059099</v>
      </c>
      <c r="P106" s="14">
        <v>4.5881329507022797E-2</v>
      </c>
      <c r="Q106" s="14"/>
      <c r="R106" s="14">
        <v>6.3150517140059606E-2</v>
      </c>
      <c r="S106" s="14">
        <v>0.119158488820886</v>
      </c>
      <c r="T106" s="14">
        <v>0.134621540411312</v>
      </c>
      <c r="U106" s="14">
        <v>0.12563301536951199</v>
      </c>
      <c r="V106" s="14">
        <v>0.119428733967926</v>
      </c>
      <c r="W106" s="14">
        <v>0.16427680141145101</v>
      </c>
      <c r="X106" s="14">
        <v>0.146933054950867</v>
      </c>
      <c r="Y106" s="14">
        <v>0.15634688838917701</v>
      </c>
      <c r="Z106" s="14">
        <v>0.11023753649844401</v>
      </c>
      <c r="AA106" s="14"/>
      <c r="AB106" s="14">
        <v>0.12043989093013099</v>
      </c>
      <c r="AC106" s="14">
        <v>8.8974779610450194E-2</v>
      </c>
      <c r="AD106" s="14">
        <v>7.5425540849702405E-2</v>
      </c>
      <c r="AE106" s="14">
        <v>0.13204420148708801</v>
      </c>
      <c r="AF106" s="14"/>
      <c r="AG106" s="14">
        <v>0.101719550713064</v>
      </c>
      <c r="AH106" s="14">
        <v>0.14294412701762299</v>
      </c>
      <c r="AI106" s="14"/>
      <c r="AJ106" s="14">
        <v>0.116127537504918</v>
      </c>
      <c r="AK106" s="14">
        <v>9.8995868345366E-2</v>
      </c>
      <c r="AL106" s="14"/>
      <c r="AM106" s="14">
        <v>8.9803421607664094E-2</v>
      </c>
      <c r="AN106" s="14">
        <v>0.16608047311114499</v>
      </c>
    </row>
    <row r="107" spans="2:40" x14ac:dyDescent="0.35">
      <c r="B107" t="s">
        <v>69</v>
      </c>
      <c r="C107" s="14">
        <v>7.0156532006668507E-2</v>
      </c>
      <c r="D107" s="14">
        <v>6.1983962657588501E-2</v>
      </c>
      <c r="E107" s="14">
        <v>7.8217253281604296E-2</v>
      </c>
      <c r="F107" s="14"/>
      <c r="G107" s="14" t="s">
        <v>76</v>
      </c>
      <c r="H107" s="14" t="s">
        <v>76</v>
      </c>
      <c r="I107" s="14">
        <v>7.0156532006668507E-2</v>
      </c>
      <c r="J107" s="14"/>
      <c r="K107" s="14" t="s">
        <v>76</v>
      </c>
      <c r="L107" s="14">
        <v>0</v>
      </c>
      <c r="M107" s="14">
        <v>0.20357569056945299</v>
      </c>
      <c r="N107" s="14"/>
      <c r="O107" s="14">
        <v>7.5887885259283999E-2</v>
      </c>
      <c r="P107" s="14">
        <v>4.8991661040305098E-2</v>
      </c>
      <c r="Q107" s="14"/>
      <c r="R107" s="14">
        <v>3.9406537488318398E-2</v>
      </c>
      <c r="S107" s="14">
        <v>6.3618981335214597E-2</v>
      </c>
      <c r="T107" s="14">
        <v>0.119018183163456</v>
      </c>
      <c r="U107" s="14">
        <v>0.10283943228145601</v>
      </c>
      <c r="V107" s="14">
        <v>0.18502116856106199</v>
      </c>
      <c r="W107" s="14">
        <v>5.7918152784525299E-2</v>
      </c>
      <c r="X107" s="14">
        <v>4.8222288016165203E-2</v>
      </c>
      <c r="Y107" s="14">
        <v>0</v>
      </c>
      <c r="Z107" s="14">
        <v>3.5846797636175598E-2</v>
      </c>
      <c r="AA107" s="14"/>
      <c r="AB107" s="14">
        <v>0</v>
      </c>
      <c r="AC107" s="14">
        <v>0</v>
      </c>
      <c r="AD107" s="14">
        <v>0.20876042605377601</v>
      </c>
      <c r="AE107" s="14">
        <v>0.239649351040717</v>
      </c>
      <c r="AF107" s="14"/>
      <c r="AG107" s="14">
        <v>0.21152794318404</v>
      </c>
      <c r="AH107" s="14">
        <v>9.8944112408442697E-2</v>
      </c>
      <c r="AI107" s="14"/>
      <c r="AJ107" s="14">
        <v>0.172179901501153</v>
      </c>
      <c r="AK107" s="14">
        <v>0.23380892642807299</v>
      </c>
      <c r="AL107" s="14"/>
      <c r="AM107" s="14">
        <v>4.9757563315901497E-2</v>
      </c>
      <c r="AN107" s="14">
        <v>9.9242626031669903E-2</v>
      </c>
    </row>
    <row r="108" spans="2:40" x14ac:dyDescent="0.35">
      <c r="B108" t="s">
        <v>70</v>
      </c>
      <c r="C108" s="14">
        <v>6.5485573223942001E-4</v>
      </c>
      <c r="D108" s="14">
        <v>0</v>
      </c>
      <c r="E108" s="14">
        <v>1.2594169085908501E-3</v>
      </c>
      <c r="F108" s="14"/>
      <c r="G108" s="14" t="s">
        <v>76</v>
      </c>
      <c r="H108" s="14" t="s">
        <v>76</v>
      </c>
      <c r="I108" s="14">
        <v>6.5485573223942001E-4</v>
      </c>
      <c r="J108" s="14"/>
      <c r="K108" s="14" t="s">
        <v>76</v>
      </c>
      <c r="L108" s="14">
        <v>9.9920213371208094E-4</v>
      </c>
      <c r="M108" s="14">
        <v>0</v>
      </c>
      <c r="N108" s="14"/>
      <c r="O108" s="14">
        <v>7.8627158750353005E-4</v>
      </c>
      <c r="P108" s="14">
        <v>0</v>
      </c>
      <c r="Q108" s="14"/>
      <c r="R108" s="14">
        <v>0</v>
      </c>
      <c r="S108" s="14">
        <v>3.8745452068486598E-3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14">
        <v>0</v>
      </c>
      <c r="Z108" s="14">
        <v>0</v>
      </c>
      <c r="AA108" s="14"/>
      <c r="AB108" s="14">
        <v>0</v>
      </c>
      <c r="AC108" s="14">
        <v>0</v>
      </c>
      <c r="AD108" s="14">
        <v>0</v>
      </c>
      <c r="AE108" s="14">
        <v>0</v>
      </c>
      <c r="AF108" s="14"/>
      <c r="AG108" s="14">
        <v>0</v>
      </c>
      <c r="AH108" s="14">
        <v>0</v>
      </c>
      <c r="AI108" s="14"/>
      <c r="AJ108" s="14">
        <v>0</v>
      </c>
      <c r="AK108" s="14">
        <v>0</v>
      </c>
      <c r="AL108" s="14"/>
      <c r="AM108" s="14">
        <v>0</v>
      </c>
      <c r="AN108" s="14">
        <v>0</v>
      </c>
    </row>
    <row r="109" spans="2:40" x14ac:dyDescent="0.35"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</row>
    <row r="110" spans="2:40" x14ac:dyDescent="0.35">
      <c r="B110" s="6" t="s">
        <v>79</v>
      </c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</row>
    <row r="111" spans="2:40" x14ac:dyDescent="0.35">
      <c r="B111" s="24" t="s">
        <v>74</v>
      </c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</row>
    <row r="112" spans="2:40" x14ac:dyDescent="0.35">
      <c r="B112" t="s">
        <v>65</v>
      </c>
      <c r="C112" s="14">
        <v>0.29500142778225402</v>
      </c>
      <c r="D112" s="14">
        <v>0.39655629864082198</v>
      </c>
      <c r="E112" s="14">
        <v>0.20024070955420201</v>
      </c>
      <c r="F112" s="14"/>
      <c r="G112" s="14" t="s">
        <v>76</v>
      </c>
      <c r="H112" s="14" t="s">
        <v>76</v>
      </c>
      <c r="I112" s="14">
        <v>0.29500142778225402</v>
      </c>
      <c r="J112" s="14"/>
      <c r="K112" s="14" t="s">
        <v>76</v>
      </c>
      <c r="L112" s="14">
        <v>0.33972641847025498</v>
      </c>
      <c r="M112" s="14">
        <v>0.20994633093461901</v>
      </c>
      <c r="N112" s="14"/>
      <c r="O112" s="14">
        <v>0.29760211402641801</v>
      </c>
      <c r="P112" s="14">
        <v>0.28180675880397399</v>
      </c>
      <c r="Q112" s="14"/>
      <c r="R112" s="14">
        <v>0.36229995047150299</v>
      </c>
      <c r="S112" s="14">
        <v>0.23303838555374701</v>
      </c>
      <c r="T112" s="14">
        <v>0.25878749340909801</v>
      </c>
      <c r="U112" s="14">
        <v>0.21255773160465</v>
      </c>
      <c r="V112" s="14">
        <v>0.30109472002127502</v>
      </c>
      <c r="W112" s="14">
        <v>0.255826499788186</v>
      </c>
      <c r="X112" s="14">
        <v>0.338928960858355</v>
      </c>
      <c r="Y112" s="14">
        <v>0.43452237485761003</v>
      </c>
      <c r="Z112" s="14">
        <v>0.31863105759358801</v>
      </c>
      <c r="AA112" s="14"/>
      <c r="AB112" s="14">
        <v>0.33052505533952398</v>
      </c>
      <c r="AC112" s="14">
        <v>0.34804174285135397</v>
      </c>
      <c r="AD112" s="14">
        <v>0.18296769566674401</v>
      </c>
      <c r="AE112" s="14">
        <v>0.23473532656103299</v>
      </c>
      <c r="AF112" s="14"/>
      <c r="AG112" s="14">
        <v>0.32953084940480598</v>
      </c>
      <c r="AH112" s="14">
        <v>0.23553319640501699</v>
      </c>
      <c r="AI112" s="14"/>
      <c r="AJ112" s="14">
        <v>0.29667867567036099</v>
      </c>
      <c r="AK112" s="14">
        <v>0.11267365520513201</v>
      </c>
      <c r="AL112" s="14"/>
      <c r="AM112" s="14">
        <v>0.41025163985161001</v>
      </c>
      <c r="AN112" s="14">
        <v>0.16998401577198699</v>
      </c>
    </row>
    <row r="113" spans="2:40" x14ac:dyDescent="0.35">
      <c r="B113" t="s">
        <v>66</v>
      </c>
      <c r="C113" s="14">
        <v>0.27513499488479398</v>
      </c>
      <c r="D113" s="14">
        <v>0.31445080207321402</v>
      </c>
      <c r="E113" s="14">
        <v>0.24145557474479301</v>
      </c>
      <c r="F113" s="14"/>
      <c r="G113" s="14" t="s">
        <v>76</v>
      </c>
      <c r="H113" s="14" t="s">
        <v>76</v>
      </c>
      <c r="I113" s="14">
        <v>0.27513499488479398</v>
      </c>
      <c r="J113" s="14"/>
      <c r="K113" s="14" t="s">
        <v>76</v>
      </c>
      <c r="L113" s="14">
        <v>0.28859402247299798</v>
      </c>
      <c r="M113" s="14">
        <v>0.24953948603437301</v>
      </c>
      <c r="N113" s="14"/>
      <c r="O113" s="14">
        <v>0.26412493178915802</v>
      </c>
      <c r="P113" s="14">
        <v>0.33776326838653797</v>
      </c>
      <c r="Q113" s="14"/>
      <c r="R113" s="14">
        <v>0.20562772842930199</v>
      </c>
      <c r="S113" s="14">
        <v>0.25963843227508199</v>
      </c>
      <c r="T113" s="14">
        <v>0.31291757890253702</v>
      </c>
      <c r="U113" s="14">
        <v>0.26779021080461601</v>
      </c>
      <c r="V113" s="14">
        <v>0.18965436721836901</v>
      </c>
      <c r="W113" s="14">
        <v>0.35085390710117498</v>
      </c>
      <c r="X113" s="14">
        <v>0.34615627618041001</v>
      </c>
      <c r="Y113" s="14">
        <v>0.21164923976099101</v>
      </c>
      <c r="Z113" s="14">
        <v>0.33223815123676198</v>
      </c>
      <c r="AA113" s="14"/>
      <c r="AB113" s="14">
        <v>0.224660737109528</v>
      </c>
      <c r="AC113" s="14">
        <v>0.22966053338714601</v>
      </c>
      <c r="AD113" s="14">
        <v>0.266019736884061</v>
      </c>
      <c r="AE113" s="14">
        <v>0.238310245784153</v>
      </c>
      <c r="AF113" s="14"/>
      <c r="AG113" s="14">
        <v>0.24794779674996001</v>
      </c>
      <c r="AH113" s="14">
        <v>0.235254143536652</v>
      </c>
      <c r="AI113" s="14"/>
      <c r="AJ113" s="14">
        <v>0.243511365760675</v>
      </c>
      <c r="AK113" s="14">
        <v>0.242896907390694</v>
      </c>
      <c r="AL113" s="14"/>
      <c r="AM113" s="14">
        <v>0.30166189234101298</v>
      </c>
      <c r="AN113" s="14">
        <v>0.22032889846665299</v>
      </c>
    </row>
    <row r="114" spans="2:40" x14ac:dyDescent="0.35">
      <c r="B114" t="s">
        <v>67</v>
      </c>
      <c r="C114" s="14">
        <v>0.19348907379088401</v>
      </c>
      <c r="D114" s="14">
        <v>0.138861451024404</v>
      </c>
      <c r="E114" s="14">
        <v>0.24361083366906799</v>
      </c>
      <c r="F114" s="14"/>
      <c r="G114" s="14" t="s">
        <v>76</v>
      </c>
      <c r="H114" s="14" t="s">
        <v>76</v>
      </c>
      <c r="I114" s="14">
        <v>0.19348907379088401</v>
      </c>
      <c r="J114" s="14"/>
      <c r="K114" s="14" t="s">
        <v>76</v>
      </c>
      <c r="L114" s="14">
        <v>0.215393563633729</v>
      </c>
      <c r="M114" s="14">
        <v>0.15183253062963301</v>
      </c>
      <c r="N114" s="14"/>
      <c r="O114" s="14">
        <v>0.20741576729739</v>
      </c>
      <c r="P114" s="14">
        <v>0.11999238257890001</v>
      </c>
      <c r="Q114" s="14"/>
      <c r="R114" s="14">
        <v>0.21474871031332099</v>
      </c>
      <c r="S114" s="14">
        <v>0.240274421703186</v>
      </c>
      <c r="T114" s="14">
        <v>0.17228924767474599</v>
      </c>
      <c r="U114" s="14">
        <v>0.196824644653498</v>
      </c>
      <c r="V114" s="14">
        <v>0.17614870437611099</v>
      </c>
      <c r="W114" s="14">
        <v>0.17631103905200901</v>
      </c>
      <c r="X114" s="14">
        <v>0.14824564956308101</v>
      </c>
      <c r="Y114" s="14">
        <v>0.23700372401335501</v>
      </c>
      <c r="Z114" s="14">
        <v>0.15961218945984601</v>
      </c>
      <c r="AA114" s="14"/>
      <c r="AB114" s="14">
        <v>0.19096822114911399</v>
      </c>
      <c r="AC114" s="14">
        <v>0.18972233530806401</v>
      </c>
      <c r="AD114" s="14">
        <v>0.15494484380707399</v>
      </c>
      <c r="AE114" s="14">
        <v>0.12840626112732201</v>
      </c>
      <c r="AF114" s="14"/>
      <c r="AG114" s="14">
        <v>6.5290079246621904E-2</v>
      </c>
      <c r="AH114" s="14">
        <v>0.167020270198633</v>
      </c>
      <c r="AI114" s="14"/>
      <c r="AJ114" s="14">
        <v>0.10084477450269599</v>
      </c>
      <c r="AK114" s="14">
        <v>0.214494832933808</v>
      </c>
      <c r="AL114" s="14"/>
      <c r="AM114" s="14">
        <v>0.144273118569544</v>
      </c>
      <c r="AN114" s="14">
        <v>0.23784688375151999</v>
      </c>
    </row>
    <row r="115" spans="2:40" x14ac:dyDescent="0.35">
      <c r="B115" t="s">
        <v>68</v>
      </c>
      <c r="C115" s="14">
        <v>7.7541090468402296E-2</v>
      </c>
      <c r="D115" s="14">
        <v>4.4119986877780903E-2</v>
      </c>
      <c r="E115" s="14">
        <v>0.108762532888972</v>
      </c>
      <c r="F115" s="14"/>
      <c r="G115" s="14" t="s">
        <v>76</v>
      </c>
      <c r="H115" s="14" t="s">
        <v>76</v>
      </c>
      <c r="I115" s="14">
        <v>7.7541090468402296E-2</v>
      </c>
      <c r="J115" s="14"/>
      <c r="K115" s="14" t="s">
        <v>76</v>
      </c>
      <c r="L115" s="14">
        <v>7.7785579900801302E-2</v>
      </c>
      <c r="M115" s="14">
        <v>7.7076136266489195E-2</v>
      </c>
      <c r="N115" s="14"/>
      <c r="O115" s="14">
        <v>7.2373967013350499E-2</v>
      </c>
      <c r="P115" s="14">
        <v>8.8620713138826093E-2</v>
      </c>
      <c r="Q115" s="14"/>
      <c r="R115" s="14">
        <v>5.0090331554886E-2</v>
      </c>
      <c r="S115" s="14">
        <v>9.3670196665840796E-2</v>
      </c>
      <c r="T115" s="14">
        <v>7.9076535531709097E-2</v>
      </c>
      <c r="U115" s="14">
        <v>0.13154831825719299</v>
      </c>
      <c r="V115" s="14">
        <v>6.7839698024283496E-2</v>
      </c>
      <c r="W115" s="14">
        <v>7.5747061552092695E-2</v>
      </c>
      <c r="X115" s="14">
        <v>6.9782261498787898E-2</v>
      </c>
      <c r="Y115" s="14">
        <v>6.3444089988649199E-2</v>
      </c>
      <c r="Z115" s="14">
        <v>6.5524605531408001E-2</v>
      </c>
      <c r="AA115" s="14"/>
      <c r="AB115" s="14">
        <v>9.2540355225997406E-2</v>
      </c>
      <c r="AC115" s="14">
        <v>7.9551930526615494E-2</v>
      </c>
      <c r="AD115" s="14">
        <v>6.1023969636059099E-2</v>
      </c>
      <c r="AE115" s="14">
        <v>5.6740844445701398E-2</v>
      </c>
      <c r="AF115" s="14"/>
      <c r="AG115" s="14">
        <v>8.0727692452823893E-2</v>
      </c>
      <c r="AH115" s="14">
        <v>0.135395024356805</v>
      </c>
      <c r="AI115" s="14"/>
      <c r="AJ115" s="14">
        <v>9.9833921470182302E-2</v>
      </c>
      <c r="AK115" s="14">
        <v>5.6084729546494197E-2</v>
      </c>
      <c r="AL115" s="14"/>
      <c r="AM115" s="14">
        <v>5.5632978453174303E-2</v>
      </c>
      <c r="AN115" s="14">
        <v>0.131330297302792</v>
      </c>
    </row>
    <row r="116" spans="2:40" x14ac:dyDescent="0.35">
      <c r="B116" t="s">
        <v>69</v>
      </c>
      <c r="C116" s="14">
        <v>0.158178557341426</v>
      </c>
      <c r="D116" s="14">
        <v>0.106011461383779</v>
      </c>
      <c r="E116" s="14">
        <v>0.20467093223437399</v>
      </c>
      <c r="F116" s="14"/>
      <c r="G116" s="14" t="s">
        <v>76</v>
      </c>
      <c r="H116" s="14" t="s">
        <v>76</v>
      </c>
      <c r="I116" s="14">
        <v>0.158178557341426</v>
      </c>
      <c r="J116" s="14"/>
      <c r="K116" s="14" t="s">
        <v>76</v>
      </c>
      <c r="L116" s="14">
        <v>7.7501213388503895E-2</v>
      </c>
      <c r="M116" s="14">
        <v>0.31160551613488702</v>
      </c>
      <c r="N116" s="14"/>
      <c r="O116" s="14">
        <v>0.157696948286179</v>
      </c>
      <c r="P116" s="14">
        <v>0.17181687709176299</v>
      </c>
      <c r="Q116" s="14"/>
      <c r="R116" s="14">
        <v>0.16723327923098799</v>
      </c>
      <c r="S116" s="14">
        <v>0.16950401859529601</v>
      </c>
      <c r="T116" s="14">
        <v>0.17692914448190999</v>
      </c>
      <c r="U116" s="14">
        <v>0.191279094680043</v>
      </c>
      <c r="V116" s="14">
        <v>0.26526251035996201</v>
      </c>
      <c r="W116" s="14">
        <v>0.141261492506537</v>
      </c>
      <c r="X116" s="14">
        <v>9.6886851899366896E-2</v>
      </c>
      <c r="Y116" s="14">
        <v>5.3380571379394497E-2</v>
      </c>
      <c r="Z116" s="14">
        <v>0.123993996178396</v>
      </c>
      <c r="AA116" s="14"/>
      <c r="AB116" s="14">
        <v>0.16130563117583699</v>
      </c>
      <c r="AC116" s="14">
        <v>0.15302345792682001</v>
      </c>
      <c r="AD116" s="14">
        <v>0.33504375400606201</v>
      </c>
      <c r="AE116" s="14">
        <v>0.34180732208178899</v>
      </c>
      <c r="AF116" s="14"/>
      <c r="AG116" s="14">
        <v>0.27650358214578802</v>
      </c>
      <c r="AH116" s="14">
        <v>0.22679736550289301</v>
      </c>
      <c r="AI116" s="14"/>
      <c r="AJ116" s="14">
        <v>0.25913126259608599</v>
      </c>
      <c r="AK116" s="14">
        <v>0.37384987492387101</v>
      </c>
      <c r="AL116" s="14"/>
      <c r="AM116" s="14">
        <v>8.8180370784659096E-2</v>
      </c>
      <c r="AN116" s="14">
        <v>0.240509904707048</v>
      </c>
    </row>
    <row r="117" spans="2:40" x14ac:dyDescent="0.35">
      <c r="B117" t="s">
        <v>70</v>
      </c>
      <c r="C117" s="14">
        <v>6.5485573223942001E-4</v>
      </c>
      <c r="D117" s="14">
        <v>0</v>
      </c>
      <c r="E117" s="14">
        <v>1.2594169085908501E-3</v>
      </c>
      <c r="F117" s="14"/>
      <c r="G117" s="14" t="s">
        <v>76</v>
      </c>
      <c r="H117" s="14" t="s">
        <v>76</v>
      </c>
      <c r="I117" s="14">
        <v>6.5485573223942001E-4</v>
      </c>
      <c r="J117" s="14"/>
      <c r="K117" s="14" t="s">
        <v>76</v>
      </c>
      <c r="L117" s="14">
        <v>9.9920213371208094E-4</v>
      </c>
      <c r="M117" s="14">
        <v>0</v>
      </c>
      <c r="N117" s="14"/>
      <c r="O117" s="14">
        <v>7.8627158750353005E-4</v>
      </c>
      <c r="P117" s="14">
        <v>0</v>
      </c>
      <c r="Q117" s="14"/>
      <c r="R117" s="14">
        <v>0</v>
      </c>
      <c r="S117" s="14">
        <v>3.8745452068486598E-3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14">
        <v>0</v>
      </c>
      <c r="Z117" s="14">
        <v>0</v>
      </c>
      <c r="AA117" s="14"/>
      <c r="AB117" s="14">
        <v>0</v>
      </c>
      <c r="AC117" s="14">
        <v>0</v>
      </c>
      <c r="AD117" s="14">
        <v>0</v>
      </c>
      <c r="AE117" s="14">
        <v>0</v>
      </c>
      <c r="AF117" s="14"/>
      <c r="AG117" s="14">
        <v>0</v>
      </c>
      <c r="AH117" s="14">
        <v>0</v>
      </c>
      <c r="AI117" s="14"/>
      <c r="AJ117" s="14">
        <v>0</v>
      </c>
      <c r="AK117" s="14">
        <v>0</v>
      </c>
      <c r="AL117" s="14"/>
      <c r="AM117" s="14">
        <v>0</v>
      </c>
      <c r="AN117" s="14">
        <v>0</v>
      </c>
    </row>
    <row r="118" spans="2:40" x14ac:dyDescent="0.35"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</row>
    <row r="119" spans="2:40" x14ac:dyDescent="0.35">
      <c r="B119" s="6" t="s">
        <v>90</v>
      </c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</row>
    <row r="120" spans="2:40" x14ac:dyDescent="0.35">
      <c r="B120" s="24" t="s">
        <v>74</v>
      </c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</row>
    <row r="121" spans="2:40" x14ac:dyDescent="0.35">
      <c r="B121" t="s">
        <v>65</v>
      </c>
      <c r="C121" s="14">
        <v>0.129583600698537</v>
      </c>
      <c r="D121" s="14">
        <v>0.16050751491201501</v>
      </c>
      <c r="E121" s="14">
        <v>9.9438964862503504E-2</v>
      </c>
      <c r="F121" s="14"/>
      <c r="G121" s="14" t="s">
        <v>76</v>
      </c>
      <c r="H121" s="14" t="s">
        <v>76</v>
      </c>
      <c r="I121" s="14">
        <v>0.129583600698537</v>
      </c>
      <c r="J121" s="14"/>
      <c r="K121" s="14" t="s">
        <v>76</v>
      </c>
      <c r="L121" s="14">
        <v>0.14593504827944401</v>
      </c>
      <c r="M121" s="14">
        <v>9.8487474434474906E-2</v>
      </c>
      <c r="N121" s="14"/>
      <c r="O121" s="14">
        <v>0.109056821479766</v>
      </c>
      <c r="P121" s="14">
        <v>0.26322360084760199</v>
      </c>
      <c r="Q121" s="14"/>
      <c r="R121" s="14">
        <v>0.22838817965539701</v>
      </c>
      <c r="S121" s="14">
        <v>0.118360825997539</v>
      </c>
      <c r="T121" s="14">
        <v>0.114306403741761</v>
      </c>
      <c r="U121" s="14">
        <v>6.6911561705496406E-2</v>
      </c>
      <c r="V121" s="14">
        <v>8.2809233637184607E-2</v>
      </c>
      <c r="W121" s="14">
        <v>9.9363005727405806E-2</v>
      </c>
      <c r="X121" s="14">
        <v>0.119395746998707</v>
      </c>
      <c r="Y121" s="14">
        <v>0.166898623778614</v>
      </c>
      <c r="Z121" s="14">
        <v>0.12960699467157699</v>
      </c>
      <c r="AA121" s="14"/>
      <c r="AB121" s="14">
        <v>0.17109049234538401</v>
      </c>
      <c r="AC121" s="14">
        <v>0.21796015067982</v>
      </c>
      <c r="AD121" s="14">
        <v>9.15089114520624E-2</v>
      </c>
      <c r="AE121" s="14">
        <v>0.11098890975145</v>
      </c>
      <c r="AF121" s="14"/>
      <c r="AG121" s="14">
        <v>0.19802808529237301</v>
      </c>
      <c r="AH121" s="14">
        <v>1.12804483848032E-2</v>
      </c>
      <c r="AI121" s="14"/>
      <c r="AJ121" s="14">
        <v>0.13275979809164601</v>
      </c>
      <c r="AK121" s="14">
        <v>6.4000058248710606E-2</v>
      </c>
      <c r="AL121" s="14"/>
      <c r="AM121" s="14">
        <v>0.21976913577384199</v>
      </c>
      <c r="AN121" s="14">
        <v>3.8326439406743198E-2</v>
      </c>
    </row>
    <row r="122" spans="2:40" x14ac:dyDescent="0.35">
      <c r="B122" t="s">
        <v>66</v>
      </c>
      <c r="C122" s="14">
        <v>0.21734215373319399</v>
      </c>
      <c r="D122" s="14">
        <v>0.24731976106664599</v>
      </c>
      <c r="E122" s="14">
        <v>0.19035093807204101</v>
      </c>
      <c r="F122" s="14"/>
      <c r="G122" s="14" t="s">
        <v>76</v>
      </c>
      <c r="H122" s="14" t="s">
        <v>76</v>
      </c>
      <c r="I122" s="14">
        <v>0.21734215373319399</v>
      </c>
      <c r="J122" s="14"/>
      <c r="K122" s="14" t="s">
        <v>76</v>
      </c>
      <c r="L122" s="14">
        <v>0.24246597102065601</v>
      </c>
      <c r="M122" s="14">
        <v>0.169563301693305</v>
      </c>
      <c r="N122" s="14"/>
      <c r="O122" s="14">
        <v>0.208943776218143</v>
      </c>
      <c r="P122" s="14">
        <v>0.26511425231048402</v>
      </c>
      <c r="Q122" s="14"/>
      <c r="R122" s="14">
        <v>0.24276602605606801</v>
      </c>
      <c r="S122" s="14">
        <v>0.194261890684259</v>
      </c>
      <c r="T122" s="14">
        <v>0.212363525075143</v>
      </c>
      <c r="U122" s="14">
        <v>0.18462903250750501</v>
      </c>
      <c r="V122" s="14">
        <v>0.19672490421580299</v>
      </c>
      <c r="W122" s="14">
        <v>0.218451085920219</v>
      </c>
      <c r="X122" s="14">
        <v>0.18889456976609301</v>
      </c>
      <c r="Y122" s="14">
        <v>0.18651330836715099</v>
      </c>
      <c r="Z122" s="14">
        <v>0.288218953249056</v>
      </c>
      <c r="AA122" s="14"/>
      <c r="AB122" s="14">
        <v>0.214410200465044</v>
      </c>
      <c r="AC122" s="14">
        <v>0.319473151756414</v>
      </c>
      <c r="AD122" s="14">
        <v>0.12456607037886</v>
      </c>
      <c r="AE122" s="14">
        <v>0.24108816265548699</v>
      </c>
      <c r="AF122" s="14"/>
      <c r="AG122" s="14">
        <v>0.27388753364725199</v>
      </c>
      <c r="AH122" s="14">
        <v>0.12697859928438099</v>
      </c>
      <c r="AI122" s="14"/>
      <c r="AJ122" s="14">
        <v>0.22254287044760801</v>
      </c>
      <c r="AK122" s="14">
        <v>0.11164388290386699</v>
      </c>
      <c r="AL122" s="14"/>
      <c r="AM122" s="14">
        <v>0.29449520981176203</v>
      </c>
      <c r="AN122" s="14">
        <v>0.110455258285773</v>
      </c>
    </row>
    <row r="123" spans="2:40" x14ac:dyDescent="0.35">
      <c r="B123" t="s">
        <v>67</v>
      </c>
      <c r="C123" s="14">
        <v>0.283196119924081</v>
      </c>
      <c r="D123" s="14">
        <v>0.28539745067890598</v>
      </c>
      <c r="E123" s="14">
        <v>0.282301281874207</v>
      </c>
      <c r="F123" s="14"/>
      <c r="G123" s="14" t="s">
        <v>76</v>
      </c>
      <c r="H123" s="14" t="s">
        <v>76</v>
      </c>
      <c r="I123" s="14">
        <v>0.283196119924081</v>
      </c>
      <c r="J123" s="14"/>
      <c r="K123" s="14" t="s">
        <v>76</v>
      </c>
      <c r="L123" s="14">
        <v>0.316045830158309</v>
      </c>
      <c r="M123" s="14">
        <v>0.22072466397946</v>
      </c>
      <c r="N123" s="14"/>
      <c r="O123" s="14">
        <v>0.29437729062849499</v>
      </c>
      <c r="P123" s="14">
        <v>0.222041555570963</v>
      </c>
      <c r="Q123" s="14"/>
      <c r="R123" s="14">
        <v>0.235145332093882</v>
      </c>
      <c r="S123" s="14">
        <v>0.28804007551016497</v>
      </c>
      <c r="T123" s="14">
        <v>0.27870656154185602</v>
      </c>
      <c r="U123" s="14">
        <v>0.26919369924416497</v>
      </c>
      <c r="V123" s="14">
        <v>0.25587021832444801</v>
      </c>
      <c r="W123" s="14">
        <v>0.28220732855004499</v>
      </c>
      <c r="X123" s="14">
        <v>0.400922551801351</v>
      </c>
      <c r="Y123" s="14">
        <v>0.280177200267125</v>
      </c>
      <c r="Z123" s="14">
        <v>0.28594654916908502</v>
      </c>
      <c r="AA123" s="14"/>
      <c r="AB123" s="14">
        <v>0.28814002234700398</v>
      </c>
      <c r="AC123" s="14">
        <v>0.258597523748687</v>
      </c>
      <c r="AD123" s="14">
        <v>0.208039947701634</v>
      </c>
      <c r="AE123" s="14">
        <v>0.22329692604424201</v>
      </c>
      <c r="AF123" s="14"/>
      <c r="AG123" s="14">
        <v>0.21195105005461401</v>
      </c>
      <c r="AH123" s="14">
        <v>0.30695832859580102</v>
      </c>
      <c r="AI123" s="14"/>
      <c r="AJ123" s="14">
        <v>0.24515608785144999</v>
      </c>
      <c r="AK123" s="14">
        <v>0.20594310823509099</v>
      </c>
      <c r="AL123" s="14"/>
      <c r="AM123" s="14">
        <v>0.27542616401498399</v>
      </c>
      <c r="AN123" s="14">
        <v>0.21766451007013701</v>
      </c>
    </row>
    <row r="124" spans="2:40" x14ac:dyDescent="0.35">
      <c r="B124" t="s">
        <v>68</v>
      </c>
      <c r="C124" s="14">
        <v>0.21374479723943501</v>
      </c>
      <c r="D124" s="14">
        <v>0.182008634503146</v>
      </c>
      <c r="E124" s="14">
        <v>0.24455820495803099</v>
      </c>
      <c r="F124" s="14"/>
      <c r="G124" s="14" t="s">
        <v>76</v>
      </c>
      <c r="H124" s="14" t="s">
        <v>76</v>
      </c>
      <c r="I124" s="14">
        <v>0.21374479723943501</v>
      </c>
      <c r="J124" s="14"/>
      <c r="K124" s="14" t="s">
        <v>76</v>
      </c>
      <c r="L124" s="14">
        <v>0.219218142942285</v>
      </c>
      <c r="M124" s="14">
        <v>0.20333594210776801</v>
      </c>
      <c r="N124" s="14"/>
      <c r="O124" s="14">
        <v>0.226044071119719</v>
      </c>
      <c r="P124" s="14">
        <v>0.120211784833387</v>
      </c>
      <c r="Q124" s="14"/>
      <c r="R124" s="14">
        <v>0.19011637745951199</v>
      </c>
      <c r="S124" s="14">
        <v>0.22306280678000101</v>
      </c>
      <c r="T124" s="14">
        <v>0.192986961185108</v>
      </c>
      <c r="U124" s="14">
        <v>0.307674791973854</v>
      </c>
      <c r="V124" s="14">
        <v>0.16149101073428801</v>
      </c>
      <c r="W124" s="14">
        <v>0.22599160162710499</v>
      </c>
      <c r="X124" s="14">
        <v>0.17274452058526199</v>
      </c>
      <c r="Y124" s="14">
        <v>0.317574139788523</v>
      </c>
      <c r="Z124" s="14">
        <v>0.182176929678626</v>
      </c>
      <c r="AA124" s="14"/>
      <c r="AB124" s="14">
        <v>0.28206446951222902</v>
      </c>
      <c r="AC124" s="14">
        <v>0.16994107464070499</v>
      </c>
      <c r="AD124" s="14">
        <v>0.22998121752789599</v>
      </c>
      <c r="AE124" s="14">
        <v>0.14678578121938801</v>
      </c>
      <c r="AF124" s="14"/>
      <c r="AG124" s="14">
        <v>0.100538315233895</v>
      </c>
      <c r="AH124" s="14">
        <v>0.268362654318618</v>
      </c>
      <c r="AI124" s="14"/>
      <c r="AJ124" s="14">
        <v>0.15919291105121899</v>
      </c>
      <c r="AK124" s="14">
        <v>0.25996724379153702</v>
      </c>
      <c r="AL124" s="14"/>
      <c r="AM124" s="14">
        <v>0.11827899656891901</v>
      </c>
      <c r="AN124" s="14">
        <v>0.36507420404205998</v>
      </c>
    </row>
    <row r="125" spans="2:40" x14ac:dyDescent="0.35">
      <c r="B125" t="s">
        <v>69</v>
      </c>
      <c r="C125" s="14">
        <v>0.15339182807910401</v>
      </c>
      <c r="D125" s="14">
        <v>0.120754457233737</v>
      </c>
      <c r="E125" s="14">
        <v>0.181748810631427</v>
      </c>
      <c r="F125" s="14"/>
      <c r="G125" s="14" t="s">
        <v>76</v>
      </c>
      <c r="H125" s="14" t="s">
        <v>76</v>
      </c>
      <c r="I125" s="14">
        <v>0.15339182807910401</v>
      </c>
      <c r="J125" s="14"/>
      <c r="K125" s="14" t="s">
        <v>76</v>
      </c>
      <c r="L125" s="14">
        <v>7.2151929036957593E-2</v>
      </c>
      <c r="M125" s="14">
        <v>0.30788861778499199</v>
      </c>
      <c r="N125" s="14"/>
      <c r="O125" s="14">
        <v>0.15828637842576501</v>
      </c>
      <c r="P125" s="14">
        <v>0.129408806437564</v>
      </c>
      <c r="Q125" s="14"/>
      <c r="R125" s="14">
        <v>0.103584084735141</v>
      </c>
      <c r="S125" s="14">
        <v>0.16844550381606199</v>
      </c>
      <c r="T125" s="14">
        <v>0.192514685019854</v>
      </c>
      <c r="U125" s="14">
        <v>0.17159091456897901</v>
      </c>
      <c r="V125" s="14">
        <v>0.30310463308827601</v>
      </c>
      <c r="W125" s="14">
        <v>0.16806386906431101</v>
      </c>
      <c r="X125" s="14">
        <v>0.118042610848588</v>
      </c>
      <c r="Y125" s="14">
        <v>4.8836727798587401E-2</v>
      </c>
      <c r="Z125" s="14">
        <v>0.114050573231655</v>
      </c>
      <c r="AA125" s="14"/>
      <c r="AB125" s="14">
        <v>4.4294815330338903E-2</v>
      </c>
      <c r="AC125" s="14">
        <v>3.4028099174374403E-2</v>
      </c>
      <c r="AD125" s="14">
        <v>0.34590385293954701</v>
      </c>
      <c r="AE125" s="14">
        <v>0.27784022032943401</v>
      </c>
      <c r="AF125" s="14"/>
      <c r="AG125" s="14">
        <v>0.21559501577186599</v>
      </c>
      <c r="AH125" s="14">
        <v>0.28641996941639603</v>
      </c>
      <c r="AI125" s="14"/>
      <c r="AJ125" s="14">
        <v>0.240348332558077</v>
      </c>
      <c r="AK125" s="14">
        <v>0.35844570682079402</v>
      </c>
      <c r="AL125" s="14"/>
      <c r="AM125" s="14">
        <v>8.9188326629754705E-2</v>
      </c>
      <c r="AN125" s="14">
        <v>0.26591689558371501</v>
      </c>
    </row>
    <row r="126" spans="2:40" x14ac:dyDescent="0.35">
      <c r="B126" t="s">
        <v>70</v>
      </c>
      <c r="C126" s="14">
        <v>2.7415003256491899E-3</v>
      </c>
      <c r="D126" s="14">
        <v>4.0121816055490797E-3</v>
      </c>
      <c r="E126" s="14">
        <v>1.60179960178978E-3</v>
      </c>
      <c r="F126" s="14"/>
      <c r="G126" s="14" t="s">
        <v>76</v>
      </c>
      <c r="H126" s="14" t="s">
        <v>76</v>
      </c>
      <c r="I126" s="14">
        <v>2.7415003256491899E-3</v>
      </c>
      <c r="J126" s="14"/>
      <c r="K126" s="14" t="s">
        <v>76</v>
      </c>
      <c r="L126" s="14">
        <v>4.1830785623474202E-3</v>
      </c>
      <c r="M126" s="14">
        <v>0</v>
      </c>
      <c r="N126" s="14"/>
      <c r="O126" s="14">
        <v>3.2916621281121302E-3</v>
      </c>
      <c r="P126" s="14">
        <v>0</v>
      </c>
      <c r="Q126" s="14"/>
      <c r="R126" s="14">
        <v>0</v>
      </c>
      <c r="S126" s="14">
        <v>7.8288972119739501E-3</v>
      </c>
      <c r="T126" s="14">
        <v>9.1218634362777197E-3</v>
      </c>
      <c r="U126" s="14">
        <v>0</v>
      </c>
      <c r="V126" s="14">
        <v>0</v>
      </c>
      <c r="W126" s="14">
        <v>5.9231091109142701E-3</v>
      </c>
      <c r="X126" s="14">
        <v>0</v>
      </c>
      <c r="Y126" s="14">
        <v>0</v>
      </c>
      <c r="Z126" s="14">
        <v>0</v>
      </c>
      <c r="AA126" s="14"/>
      <c r="AB126" s="14">
        <v>0</v>
      </c>
      <c r="AC126" s="14">
        <v>0</v>
      </c>
      <c r="AD126" s="14">
        <v>0</v>
      </c>
      <c r="AE126" s="14">
        <v>0</v>
      </c>
      <c r="AF126" s="14"/>
      <c r="AG126" s="14">
        <v>0</v>
      </c>
      <c r="AH126" s="14">
        <v>0</v>
      </c>
      <c r="AI126" s="14"/>
      <c r="AJ126" s="14">
        <v>0</v>
      </c>
      <c r="AK126" s="14">
        <v>0</v>
      </c>
      <c r="AL126" s="14"/>
      <c r="AM126" s="14">
        <v>2.84216720073819E-3</v>
      </c>
      <c r="AN126" s="14">
        <v>2.56269261157207E-3</v>
      </c>
    </row>
    <row r="127" spans="2:40" x14ac:dyDescent="0.35"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</row>
    <row r="128" spans="2:40" x14ac:dyDescent="0.35">
      <c r="B128" s="6" t="s">
        <v>91</v>
      </c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</row>
    <row r="129" spans="2:40" x14ac:dyDescent="0.35">
      <c r="B129" s="24" t="s">
        <v>74</v>
      </c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</row>
    <row r="130" spans="2:40" x14ac:dyDescent="0.35">
      <c r="B130" t="s">
        <v>65</v>
      </c>
      <c r="C130" s="14">
        <v>0.16462144528007</v>
      </c>
      <c r="D130" s="14">
        <v>0.158040744439507</v>
      </c>
      <c r="E130" s="14">
        <v>0.167706309058782</v>
      </c>
      <c r="F130" s="14"/>
      <c r="G130" s="14" t="s">
        <v>76</v>
      </c>
      <c r="H130" s="14" t="s">
        <v>76</v>
      </c>
      <c r="I130" s="14">
        <v>0.16462144528007</v>
      </c>
      <c r="J130" s="14"/>
      <c r="K130" s="14" t="s">
        <v>76</v>
      </c>
      <c r="L130" s="14">
        <v>0.155861925032101</v>
      </c>
      <c r="M130" s="14">
        <v>0.181279734785981</v>
      </c>
      <c r="N130" s="14"/>
      <c r="O130" s="14">
        <v>0.14701578790800701</v>
      </c>
      <c r="P130" s="14">
        <v>0.28789776214364698</v>
      </c>
      <c r="Q130" s="14"/>
      <c r="R130" s="14">
        <v>0.249877838179832</v>
      </c>
      <c r="S130" s="14">
        <v>0.16606299678173</v>
      </c>
      <c r="T130" s="14">
        <v>0.121277458290994</v>
      </c>
      <c r="U130" s="14">
        <v>0.124846383175635</v>
      </c>
      <c r="V130" s="14">
        <v>0.176943872798379</v>
      </c>
      <c r="W130" s="14">
        <v>0.135998830388985</v>
      </c>
      <c r="X130" s="14">
        <v>0.13704016408390801</v>
      </c>
      <c r="Y130" s="14">
        <v>0.16913708339358099</v>
      </c>
      <c r="Z130" s="14">
        <v>0.152434622795622</v>
      </c>
      <c r="AA130" s="14"/>
      <c r="AB130" s="14">
        <v>0.165288114097248</v>
      </c>
      <c r="AC130" s="14">
        <v>0.281385105790039</v>
      </c>
      <c r="AD130" s="14">
        <v>0.13921979363880399</v>
      </c>
      <c r="AE130" s="14">
        <v>0.246589037581978</v>
      </c>
      <c r="AF130" s="14"/>
      <c r="AG130" s="14">
        <v>0.27102861587843602</v>
      </c>
      <c r="AH130" s="14">
        <v>0.117085075532114</v>
      </c>
      <c r="AI130" s="14"/>
      <c r="AJ130" s="14">
        <v>0.21722535833577999</v>
      </c>
      <c r="AK130" s="14">
        <v>0.16270391522045499</v>
      </c>
      <c r="AL130" s="14"/>
      <c r="AM130" s="14">
        <v>0.226171241402779</v>
      </c>
      <c r="AN130" s="14">
        <v>8.6537409699975101E-2</v>
      </c>
    </row>
    <row r="131" spans="2:40" x14ac:dyDescent="0.35">
      <c r="B131" t="s">
        <v>66</v>
      </c>
      <c r="C131" s="14">
        <v>0.25084851859156998</v>
      </c>
      <c r="D131" s="14">
        <v>0.25690296298027898</v>
      </c>
      <c r="E131" s="14">
        <v>0.24615936677222799</v>
      </c>
      <c r="F131" s="14"/>
      <c r="G131" s="14" t="s">
        <v>76</v>
      </c>
      <c r="H131" s="14" t="s">
        <v>76</v>
      </c>
      <c r="I131" s="14">
        <v>0.25084851859156998</v>
      </c>
      <c r="J131" s="14"/>
      <c r="K131" s="14" t="s">
        <v>76</v>
      </c>
      <c r="L131" s="14">
        <v>0.281575715594235</v>
      </c>
      <c r="M131" s="14">
        <v>0.19241352113903501</v>
      </c>
      <c r="N131" s="14"/>
      <c r="O131" s="14">
        <v>0.24887858821637099</v>
      </c>
      <c r="P131" s="14">
        <v>0.26575111117929801</v>
      </c>
      <c r="Q131" s="14"/>
      <c r="R131" s="14">
        <v>0.272806321231091</v>
      </c>
      <c r="S131" s="14">
        <v>0.232692139301064</v>
      </c>
      <c r="T131" s="14">
        <v>0.195340312921019</v>
      </c>
      <c r="U131" s="14">
        <v>0.28092866379201897</v>
      </c>
      <c r="V131" s="14">
        <v>0.16239629973747</v>
      </c>
      <c r="W131" s="14">
        <v>0.263902493428463</v>
      </c>
      <c r="X131" s="14">
        <v>0.31454488602202102</v>
      </c>
      <c r="Y131" s="14">
        <v>0.18659031309368701</v>
      </c>
      <c r="Z131" s="14">
        <v>0.289517957911964</v>
      </c>
      <c r="AA131" s="14"/>
      <c r="AB131" s="14">
        <v>0.25145660928027802</v>
      </c>
      <c r="AC131" s="14">
        <v>0.30675148418616099</v>
      </c>
      <c r="AD131" s="14">
        <v>0.20469283521001699</v>
      </c>
      <c r="AE131" s="14">
        <v>0.18759348745553101</v>
      </c>
      <c r="AF131" s="14"/>
      <c r="AG131" s="14">
        <v>0.191248519524849</v>
      </c>
      <c r="AH131" s="14">
        <v>0.104852440283892</v>
      </c>
      <c r="AI131" s="14"/>
      <c r="AJ131" s="14">
        <v>0.16105309533478801</v>
      </c>
      <c r="AK131" s="14">
        <v>0.19512908640999299</v>
      </c>
      <c r="AL131" s="14"/>
      <c r="AM131" s="14">
        <v>0.31210057085176401</v>
      </c>
      <c r="AN131" s="14">
        <v>0.159107431387185</v>
      </c>
    </row>
    <row r="132" spans="2:40" x14ac:dyDescent="0.35">
      <c r="B132" t="s">
        <v>67</v>
      </c>
      <c r="C132" s="14">
        <v>0.29280203588266501</v>
      </c>
      <c r="D132" s="14">
        <v>0.31921716927363403</v>
      </c>
      <c r="E132" s="14">
        <v>0.27107215090324899</v>
      </c>
      <c r="F132" s="14"/>
      <c r="G132" s="14" t="s">
        <v>76</v>
      </c>
      <c r="H132" s="14" t="s">
        <v>76</v>
      </c>
      <c r="I132" s="14">
        <v>0.29280203588266501</v>
      </c>
      <c r="J132" s="14"/>
      <c r="K132" s="14" t="s">
        <v>76</v>
      </c>
      <c r="L132" s="14">
        <v>0.33327525856226198</v>
      </c>
      <c r="M132" s="14">
        <v>0.21583267665432199</v>
      </c>
      <c r="N132" s="14"/>
      <c r="O132" s="14">
        <v>0.30703940667227297</v>
      </c>
      <c r="P132" s="14">
        <v>0.21471150256197899</v>
      </c>
      <c r="Q132" s="14"/>
      <c r="R132" s="14">
        <v>0.21575909173187699</v>
      </c>
      <c r="S132" s="14">
        <v>0.28347031718931798</v>
      </c>
      <c r="T132" s="14">
        <v>0.382199596919165</v>
      </c>
      <c r="U132" s="14">
        <v>0.30959444685054899</v>
      </c>
      <c r="V132" s="14">
        <v>0.32718281171336999</v>
      </c>
      <c r="W132" s="14">
        <v>0.33410196076371401</v>
      </c>
      <c r="X132" s="14">
        <v>0.28143399280153297</v>
      </c>
      <c r="Y132" s="14">
        <v>0.24569362456451199</v>
      </c>
      <c r="Z132" s="14">
        <v>0.29726501369428798</v>
      </c>
      <c r="AA132" s="14"/>
      <c r="AB132" s="14">
        <v>0.343913020145864</v>
      </c>
      <c r="AC132" s="14">
        <v>0.31530319056241002</v>
      </c>
      <c r="AD132" s="14">
        <v>0.26519134661145499</v>
      </c>
      <c r="AE132" s="14">
        <v>0.13861628463995099</v>
      </c>
      <c r="AF132" s="14"/>
      <c r="AG132" s="14">
        <v>0.14819732770310201</v>
      </c>
      <c r="AH132" s="14">
        <v>0.313159606615243</v>
      </c>
      <c r="AI132" s="14"/>
      <c r="AJ132" s="14">
        <v>0.20585163367246201</v>
      </c>
      <c r="AK132" s="14">
        <v>0.238242324684275</v>
      </c>
      <c r="AL132" s="14"/>
      <c r="AM132" s="14">
        <v>0.244697068590013</v>
      </c>
      <c r="AN132" s="14">
        <v>0.31782287979560497</v>
      </c>
    </row>
    <row r="133" spans="2:40" x14ac:dyDescent="0.35">
      <c r="B133" t="s">
        <v>68</v>
      </c>
      <c r="C133" s="14">
        <v>0.15025981194060301</v>
      </c>
      <c r="D133" s="14">
        <v>0.13123756943120199</v>
      </c>
      <c r="E133" s="14">
        <v>0.16744732835472301</v>
      </c>
      <c r="F133" s="14"/>
      <c r="G133" s="14" t="s">
        <v>76</v>
      </c>
      <c r="H133" s="14" t="s">
        <v>76</v>
      </c>
      <c r="I133" s="14">
        <v>0.15025981194060301</v>
      </c>
      <c r="J133" s="14"/>
      <c r="K133" s="14" t="s">
        <v>76</v>
      </c>
      <c r="L133" s="14">
        <v>0.16739854927122899</v>
      </c>
      <c r="M133" s="14">
        <v>0.117666468910714</v>
      </c>
      <c r="N133" s="14"/>
      <c r="O133" s="14">
        <v>0.15562038628576699</v>
      </c>
      <c r="P133" s="14">
        <v>7.5685582573478599E-2</v>
      </c>
      <c r="Q133" s="14"/>
      <c r="R133" s="14">
        <v>0.138391521571781</v>
      </c>
      <c r="S133" s="14">
        <v>0.16598894341079001</v>
      </c>
      <c r="T133" s="14">
        <v>9.1969562908334399E-2</v>
      </c>
      <c r="U133" s="14">
        <v>0.161778907859218</v>
      </c>
      <c r="V133" s="14">
        <v>0.102874155182964</v>
      </c>
      <c r="W133" s="14">
        <v>0.13619065927583701</v>
      </c>
      <c r="X133" s="14">
        <v>0.18795687820899201</v>
      </c>
      <c r="Y133" s="14">
        <v>0.29190516698631802</v>
      </c>
      <c r="Z133" s="14">
        <v>0.13248742189833801</v>
      </c>
      <c r="AA133" s="14"/>
      <c r="AB133" s="14">
        <v>0.20879938103592</v>
      </c>
      <c r="AC133" s="14">
        <v>7.4444149271832502E-2</v>
      </c>
      <c r="AD133" s="14">
        <v>9.6125662833659004E-2</v>
      </c>
      <c r="AE133" s="14">
        <v>0.12823723735263601</v>
      </c>
      <c r="AF133" s="14"/>
      <c r="AG133" s="14">
        <v>5.2952982726981797E-2</v>
      </c>
      <c r="AH133" s="14">
        <v>0.17028699899771099</v>
      </c>
      <c r="AI133" s="14"/>
      <c r="AJ133" s="14">
        <v>9.3961213937763396E-2</v>
      </c>
      <c r="AK133" s="14">
        <v>0.13521333775798999</v>
      </c>
      <c r="AL133" s="14"/>
      <c r="AM133" s="14">
        <v>0.109047299700678</v>
      </c>
      <c r="AN133" s="14">
        <v>0.21372978712794899</v>
      </c>
    </row>
    <row r="134" spans="2:40" x14ac:dyDescent="0.35">
      <c r="B134" t="s">
        <v>69</v>
      </c>
      <c r="C134" s="14">
        <v>0.13934530637961601</v>
      </c>
      <c r="D134" s="14">
        <v>0.133370925289199</v>
      </c>
      <c r="E134" s="14">
        <v>0.14465799573695701</v>
      </c>
      <c r="F134" s="14"/>
      <c r="G134" s="14" t="s">
        <v>76</v>
      </c>
      <c r="H134" s="14" t="s">
        <v>76</v>
      </c>
      <c r="I134" s="14">
        <v>0.13934530637961601</v>
      </c>
      <c r="J134" s="14"/>
      <c r="K134" s="14" t="s">
        <v>76</v>
      </c>
      <c r="L134" s="14">
        <v>5.8649382903288701E-2</v>
      </c>
      <c r="M134" s="14">
        <v>0.29280759850994897</v>
      </c>
      <c r="N134" s="14"/>
      <c r="O134" s="14">
        <v>0.13996939846119599</v>
      </c>
      <c r="P134" s="14">
        <v>0.155954041541598</v>
      </c>
      <c r="Q134" s="14"/>
      <c r="R134" s="14">
        <v>0.117615737351644</v>
      </c>
      <c r="S134" s="14">
        <v>0.15178560331709801</v>
      </c>
      <c r="T134" s="14">
        <v>0.209213068960487</v>
      </c>
      <c r="U134" s="14">
        <v>0.122851598322579</v>
      </c>
      <c r="V134" s="14">
        <v>0.23060286056781801</v>
      </c>
      <c r="W134" s="14">
        <v>0.12388294703208701</v>
      </c>
      <c r="X134" s="14">
        <v>7.9024078883546303E-2</v>
      </c>
      <c r="Y134" s="14">
        <v>0.106673811961903</v>
      </c>
      <c r="Z134" s="14">
        <v>0.12362715930318199</v>
      </c>
      <c r="AA134" s="14"/>
      <c r="AB134" s="14">
        <v>3.05428754406902E-2</v>
      </c>
      <c r="AC134" s="14">
        <v>2.21160701895576E-2</v>
      </c>
      <c r="AD134" s="14">
        <v>0.29477036170606602</v>
      </c>
      <c r="AE134" s="14">
        <v>0.29896395296990302</v>
      </c>
      <c r="AF134" s="14"/>
      <c r="AG134" s="14">
        <v>0.33657255416663201</v>
      </c>
      <c r="AH134" s="14">
        <v>0.29461587857103999</v>
      </c>
      <c r="AI134" s="14"/>
      <c r="AJ134" s="14">
        <v>0.32190869871920702</v>
      </c>
      <c r="AK134" s="14">
        <v>0.26871133592728702</v>
      </c>
      <c r="AL134" s="14"/>
      <c r="AM134" s="14">
        <v>0.105519664267401</v>
      </c>
      <c r="AN134" s="14">
        <v>0.219543236255755</v>
      </c>
    </row>
    <row r="135" spans="2:40" x14ac:dyDescent="0.35">
      <c r="B135" t="s">
        <v>70</v>
      </c>
      <c r="C135" s="14">
        <v>2.1228819254748201E-3</v>
      </c>
      <c r="D135" s="14">
        <v>1.2306285861786899E-3</v>
      </c>
      <c r="E135" s="14">
        <v>2.9568491740616298E-3</v>
      </c>
      <c r="F135" s="14"/>
      <c r="G135" s="14" t="s">
        <v>76</v>
      </c>
      <c r="H135" s="14" t="s">
        <v>76</v>
      </c>
      <c r="I135" s="14">
        <v>2.1228819254748201E-3</v>
      </c>
      <c r="J135" s="14"/>
      <c r="K135" s="14" t="s">
        <v>76</v>
      </c>
      <c r="L135" s="14">
        <v>3.2391686368834199E-3</v>
      </c>
      <c r="M135" s="14">
        <v>0</v>
      </c>
      <c r="N135" s="14"/>
      <c r="O135" s="14">
        <v>1.4764324563844599E-3</v>
      </c>
      <c r="P135" s="14">
        <v>0</v>
      </c>
      <c r="Q135" s="14"/>
      <c r="R135" s="14">
        <v>5.5494899337761904E-3</v>
      </c>
      <c r="S135" s="14">
        <v>0</v>
      </c>
      <c r="T135" s="14">
        <v>0</v>
      </c>
      <c r="U135" s="14">
        <v>0</v>
      </c>
      <c r="V135" s="14">
        <v>0</v>
      </c>
      <c r="W135" s="14">
        <v>5.9231091109142701E-3</v>
      </c>
      <c r="X135" s="14">
        <v>0</v>
      </c>
      <c r="Y135" s="14">
        <v>0</v>
      </c>
      <c r="Z135" s="14">
        <v>4.6678243966069496E-3</v>
      </c>
      <c r="AA135" s="14"/>
      <c r="AB135" s="14">
        <v>0</v>
      </c>
      <c r="AC135" s="14">
        <v>0</v>
      </c>
      <c r="AD135" s="14">
        <v>0</v>
      </c>
      <c r="AE135" s="14">
        <v>0</v>
      </c>
      <c r="AF135" s="14"/>
      <c r="AG135" s="14">
        <v>0</v>
      </c>
      <c r="AH135" s="14">
        <v>0</v>
      </c>
      <c r="AI135" s="14"/>
      <c r="AJ135" s="14">
        <v>0</v>
      </c>
      <c r="AK135" s="14">
        <v>0</v>
      </c>
      <c r="AL135" s="14"/>
      <c r="AM135" s="14">
        <v>2.4641551873634099E-3</v>
      </c>
      <c r="AN135" s="14">
        <v>3.2592557335306598E-3</v>
      </c>
    </row>
    <row r="136" spans="2:40" x14ac:dyDescent="0.35"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</row>
    <row r="137" spans="2:40" x14ac:dyDescent="0.35">
      <c r="B137" s="6" t="s">
        <v>92</v>
      </c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</row>
    <row r="138" spans="2:40" x14ac:dyDescent="0.35">
      <c r="B138" s="24" t="s">
        <v>74</v>
      </c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</row>
    <row r="139" spans="2:40" x14ac:dyDescent="0.35">
      <c r="B139" t="s">
        <v>65</v>
      </c>
      <c r="C139" s="14">
        <v>0.123870297112088</v>
      </c>
      <c r="D139" s="14">
        <v>0.14278479635359301</v>
      </c>
      <c r="E139" s="14">
        <v>0.103291097054416</v>
      </c>
      <c r="F139" s="14"/>
      <c r="G139" s="14" t="s">
        <v>76</v>
      </c>
      <c r="H139" s="14" t="s">
        <v>76</v>
      </c>
      <c r="I139" s="14">
        <v>0.123870297112088</v>
      </c>
      <c r="J139" s="14"/>
      <c r="K139" s="14" t="s">
        <v>76</v>
      </c>
      <c r="L139" s="14">
        <v>0.12770954234701601</v>
      </c>
      <c r="M139" s="14">
        <v>0.116569068643276</v>
      </c>
      <c r="N139" s="14"/>
      <c r="O139" s="14">
        <v>0.101101773027268</v>
      </c>
      <c r="P139" s="14">
        <v>0.26124120224025899</v>
      </c>
      <c r="Q139" s="14"/>
      <c r="R139" s="14">
        <v>0.194452893394084</v>
      </c>
      <c r="S139" s="14">
        <v>0.107293666133604</v>
      </c>
      <c r="T139" s="14">
        <v>6.3617976087804604E-2</v>
      </c>
      <c r="U139" s="14">
        <v>0.102752788401964</v>
      </c>
      <c r="V139" s="14">
        <v>8.1235707887991004E-2</v>
      </c>
      <c r="W139" s="14">
        <v>0.137656737889891</v>
      </c>
      <c r="X139" s="14">
        <v>9.23598076131011E-2</v>
      </c>
      <c r="Y139" s="14">
        <v>0.17711539842419299</v>
      </c>
      <c r="Z139" s="14">
        <v>0.135232636323006</v>
      </c>
      <c r="AA139" s="14"/>
      <c r="AB139" s="14">
        <v>0.12148966609857</v>
      </c>
      <c r="AC139" s="14">
        <v>0.21153301583167</v>
      </c>
      <c r="AD139" s="14">
        <v>8.4098873312498795E-2</v>
      </c>
      <c r="AE139" s="14">
        <v>0.17725945976577701</v>
      </c>
      <c r="AF139" s="14"/>
      <c r="AG139" s="14">
        <v>0.19813894527989101</v>
      </c>
      <c r="AH139" s="14">
        <v>6.7692520120737995E-2</v>
      </c>
      <c r="AI139" s="14"/>
      <c r="AJ139" s="14">
        <v>0.152547927998051</v>
      </c>
      <c r="AK139" s="14">
        <v>7.9821369488145305E-2</v>
      </c>
      <c r="AL139" s="14"/>
      <c r="AM139" s="14">
        <v>0.19795983347961699</v>
      </c>
      <c r="AN139" s="14">
        <v>3.7982016777707697E-2</v>
      </c>
    </row>
    <row r="140" spans="2:40" x14ac:dyDescent="0.35">
      <c r="B140" t="s">
        <v>66</v>
      </c>
      <c r="C140" s="14">
        <v>0.25365551965636202</v>
      </c>
      <c r="D140" s="14">
        <v>0.294820072676168</v>
      </c>
      <c r="E140" s="14">
        <v>0.21810597659560599</v>
      </c>
      <c r="F140" s="14"/>
      <c r="G140" s="14" t="s">
        <v>76</v>
      </c>
      <c r="H140" s="14" t="s">
        <v>76</v>
      </c>
      <c r="I140" s="14">
        <v>0.25365551965636202</v>
      </c>
      <c r="J140" s="14"/>
      <c r="K140" s="14" t="s">
        <v>76</v>
      </c>
      <c r="L140" s="14">
        <v>0.289581698518044</v>
      </c>
      <c r="M140" s="14">
        <v>0.18533343449904499</v>
      </c>
      <c r="N140" s="14"/>
      <c r="O140" s="14">
        <v>0.24970989220814199</v>
      </c>
      <c r="P140" s="14">
        <v>0.312566681141277</v>
      </c>
      <c r="Q140" s="14"/>
      <c r="R140" s="14">
        <v>0.27807357657022402</v>
      </c>
      <c r="S140" s="14">
        <v>0.25505772989368902</v>
      </c>
      <c r="T140" s="14">
        <v>0.230022529268262</v>
      </c>
      <c r="U140" s="14">
        <v>0.234223487649171</v>
      </c>
      <c r="V140" s="14">
        <v>0.209032950419025</v>
      </c>
      <c r="W140" s="14">
        <v>0.247007931543476</v>
      </c>
      <c r="X140" s="14">
        <v>0.24187591466584199</v>
      </c>
      <c r="Y140" s="14">
        <v>0.22049789066882999</v>
      </c>
      <c r="Z140" s="14">
        <v>0.30808351861991401</v>
      </c>
      <c r="AA140" s="14"/>
      <c r="AB140" s="14">
        <v>0.23327207818912599</v>
      </c>
      <c r="AC140" s="14">
        <v>0.34462884504236502</v>
      </c>
      <c r="AD140" s="14">
        <v>0.15041096910770399</v>
      </c>
      <c r="AE140" s="14">
        <v>0.20942320698748801</v>
      </c>
      <c r="AF140" s="14"/>
      <c r="AG140" s="14">
        <v>0.27087584553272198</v>
      </c>
      <c r="AH140" s="14">
        <v>9.9595042517062304E-2</v>
      </c>
      <c r="AI140" s="14"/>
      <c r="AJ140" s="14">
        <v>0.21101321579176199</v>
      </c>
      <c r="AK140" s="14">
        <v>0.14814272792242</v>
      </c>
      <c r="AL140" s="14"/>
      <c r="AM140" s="14">
        <v>0.34311441759451</v>
      </c>
      <c r="AN140" s="14">
        <v>0.12572239460832699</v>
      </c>
    </row>
    <row r="141" spans="2:40" x14ac:dyDescent="0.35">
      <c r="B141" t="s">
        <v>67</v>
      </c>
      <c r="C141" s="14">
        <v>0.299477130251115</v>
      </c>
      <c r="D141" s="14">
        <v>0.309756183750583</v>
      </c>
      <c r="E141" s="14">
        <v>0.29132767020114902</v>
      </c>
      <c r="F141" s="14"/>
      <c r="G141" s="14" t="s">
        <v>76</v>
      </c>
      <c r="H141" s="14" t="s">
        <v>76</v>
      </c>
      <c r="I141" s="14">
        <v>0.299477130251115</v>
      </c>
      <c r="J141" s="14"/>
      <c r="K141" s="14" t="s">
        <v>76</v>
      </c>
      <c r="L141" s="14">
        <v>0.336620441949049</v>
      </c>
      <c r="M141" s="14">
        <v>0.228840380525479</v>
      </c>
      <c r="N141" s="14"/>
      <c r="O141" s="14">
        <v>0.312124857176171</v>
      </c>
      <c r="P141" s="14">
        <v>0.195044359655167</v>
      </c>
      <c r="Q141" s="14"/>
      <c r="R141" s="14">
        <v>0.25978053250587402</v>
      </c>
      <c r="S141" s="14">
        <v>0.28572221064105402</v>
      </c>
      <c r="T141" s="14">
        <v>0.32021146250316701</v>
      </c>
      <c r="U141" s="14">
        <v>0.27756591052929303</v>
      </c>
      <c r="V141" s="14">
        <v>0.360106711117476</v>
      </c>
      <c r="W141" s="14">
        <v>0.30552209064118702</v>
      </c>
      <c r="X141" s="14">
        <v>0.35979494558043901</v>
      </c>
      <c r="Y141" s="14">
        <v>0.19687273710922601</v>
      </c>
      <c r="Z141" s="14">
        <v>0.32293468099895001</v>
      </c>
      <c r="AA141" s="14"/>
      <c r="AB141" s="14">
        <v>0.34138966366262602</v>
      </c>
      <c r="AC141" s="14">
        <v>0.275414654342656</v>
      </c>
      <c r="AD141" s="14">
        <v>0.277971488317654</v>
      </c>
      <c r="AE141" s="14">
        <v>0.17251218322481501</v>
      </c>
      <c r="AF141" s="14"/>
      <c r="AG141" s="14">
        <v>0.223277735092097</v>
      </c>
      <c r="AH141" s="14">
        <v>0.21333157039203501</v>
      </c>
      <c r="AI141" s="14"/>
      <c r="AJ141" s="14">
        <v>0.21980155116313699</v>
      </c>
      <c r="AK141" s="14">
        <v>0.24816706677043401</v>
      </c>
      <c r="AL141" s="14"/>
      <c r="AM141" s="14">
        <v>0.26973116547850801</v>
      </c>
      <c r="AN141" s="14">
        <v>0.28391211694277901</v>
      </c>
    </row>
    <row r="142" spans="2:40" x14ac:dyDescent="0.35">
      <c r="B142" t="s">
        <v>68</v>
      </c>
      <c r="C142" s="14">
        <v>0.18047875926104201</v>
      </c>
      <c r="D142" s="14">
        <v>0.12512872915173401</v>
      </c>
      <c r="E142" s="14">
        <v>0.23115316116184001</v>
      </c>
      <c r="F142" s="14"/>
      <c r="G142" s="14" t="s">
        <v>76</v>
      </c>
      <c r="H142" s="14" t="s">
        <v>76</v>
      </c>
      <c r="I142" s="14">
        <v>0.18047875926104201</v>
      </c>
      <c r="J142" s="14"/>
      <c r="K142" s="14" t="s">
        <v>76</v>
      </c>
      <c r="L142" s="14">
        <v>0.18282508375192499</v>
      </c>
      <c r="M142" s="14">
        <v>0.17601667098023599</v>
      </c>
      <c r="N142" s="14"/>
      <c r="O142" s="14">
        <v>0.194437314966623</v>
      </c>
      <c r="P142" s="14">
        <v>7.4721218143599596E-2</v>
      </c>
      <c r="Q142" s="14"/>
      <c r="R142" s="14">
        <v>0.13340657171289899</v>
      </c>
      <c r="S142" s="14">
        <v>0.21400402016623299</v>
      </c>
      <c r="T142" s="14">
        <v>0.178720657568472</v>
      </c>
      <c r="U142" s="14">
        <v>0.23898754114989401</v>
      </c>
      <c r="V142" s="14">
        <v>0.119922624378692</v>
      </c>
      <c r="W142" s="14">
        <v>0.19045142610802401</v>
      </c>
      <c r="X142" s="14">
        <v>0.18744594379967799</v>
      </c>
      <c r="Y142" s="14">
        <v>0.28876954132698102</v>
      </c>
      <c r="Z142" s="14">
        <v>0.13368535095169201</v>
      </c>
      <c r="AA142" s="14"/>
      <c r="AB142" s="14">
        <v>0.26912787835449797</v>
      </c>
      <c r="AC142" s="14">
        <v>0.13304974611248899</v>
      </c>
      <c r="AD142" s="14">
        <v>0.16616988542228101</v>
      </c>
      <c r="AE142" s="14">
        <v>0.15379769528270801</v>
      </c>
      <c r="AF142" s="14"/>
      <c r="AG142" s="14">
        <v>7.8940809745460402E-2</v>
      </c>
      <c r="AH142" s="14">
        <v>0.27768601257498798</v>
      </c>
      <c r="AI142" s="14"/>
      <c r="AJ142" s="14">
        <v>0.148402245471497</v>
      </c>
      <c r="AK142" s="14">
        <v>0.21366915381076201</v>
      </c>
      <c r="AL142" s="14"/>
      <c r="AM142" s="14">
        <v>9.4660337230478606E-2</v>
      </c>
      <c r="AN142" s="14">
        <v>0.32849766367048699</v>
      </c>
    </row>
    <row r="143" spans="2:40" x14ac:dyDescent="0.35">
      <c r="B143" t="s">
        <v>69</v>
      </c>
      <c r="C143" s="14">
        <v>0.14046954506534801</v>
      </c>
      <c r="D143" s="14">
        <v>0.124619590136592</v>
      </c>
      <c r="E143" s="14">
        <v>0.15482651160053501</v>
      </c>
      <c r="F143" s="14"/>
      <c r="G143" s="14" t="s">
        <v>76</v>
      </c>
      <c r="H143" s="14" t="s">
        <v>76</v>
      </c>
      <c r="I143" s="14">
        <v>0.14046954506534801</v>
      </c>
      <c r="J143" s="14"/>
      <c r="K143" s="14" t="s">
        <v>76</v>
      </c>
      <c r="L143" s="14">
        <v>6.01371799755036E-2</v>
      </c>
      <c r="M143" s="14">
        <v>0.29324044535196397</v>
      </c>
      <c r="N143" s="14"/>
      <c r="O143" s="14">
        <v>0.14016627294334499</v>
      </c>
      <c r="P143" s="14">
        <v>0.15642653881969801</v>
      </c>
      <c r="Q143" s="14"/>
      <c r="R143" s="14">
        <v>0.13428642581691999</v>
      </c>
      <c r="S143" s="14">
        <v>0.13792237316542</v>
      </c>
      <c r="T143" s="14">
        <v>0.19877878401069801</v>
      </c>
      <c r="U143" s="14">
        <v>0.14647027226967901</v>
      </c>
      <c r="V143" s="14">
        <v>0.22970200619681599</v>
      </c>
      <c r="W143" s="14">
        <v>0.11343870470650801</v>
      </c>
      <c r="X143" s="14">
        <v>0.11852338834094001</v>
      </c>
      <c r="Y143" s="14">
        <v>0.104458147547641</v>
      </c>
      <c r="Z143" s="14">
        <v>0.100063813106438</v>
      </c>
      <c r="AA143" s="14"/>
      <c r="AB143" s="14">
        <v>3.4720713695180802E-2</v>
      </c>
      <c r="AC143" s="14">
        <v>3.5373738670819201E-2</v>
      </c>
      <c r="AD143" s="14">
        <v>0.32134878383986099</v>
      </c>
      <c r="AE143" s="14">
        <v>0.28700745473921302</v>
      </c>
      <c r="AF143" s="14"/>
      <c r="AG143" s="14">
        <v>0.22876666434982901</v>
      </c>
      <c r="AH143" s="14">
        <v>0.341694854395176</v>
      </c>
      <c r="AI143" s="14"/>
      <c r="AJ143" s="14">
        <v>0.26823505957555399</v>
      </c>
      <c r="AK143" s="14">
        <v>0.310199682008239</v>
      </c>
      <c r="AL143" s="14"/>
      <c r="AM143" s="14">
        <v>9.3361115060013197E-2</v>
      </c>
      <c r="AN143" s="14">
        <v>0.22142768995828699</v>
      </c>
    </row>
    <row r="144" spans="2:40" x14ac:dyDescent="0.35">
      <c r="B144" t="s">
        <v>70</v>
      </c>
      <c r="C144" s="14">
        <v>2.0487486540441001E-3</v>
      </c>
      <c r="D144" s="14">
        <v>2.8906279313300402E-3</v>
      </c>
      <c r="E144" s="14">
        <v>1.2955833864543901E-3</v>
      </c>
      <c r="F144" s="14"/>
      <c r="G144" s="14" t="s">
        <v>76</v>
      </c>
      <c r="H144" s="14" t="s">
        <v>76</v>
      </c>
      <c r="I144" s="14">
        <v>2.0487486540441001E-3</v>
      </c>
      <c r="J144" s="14"/>
      <c r="K144" s="14" t="s">
        <v>76</v>
      </c>
      <c r="L144" s="14">
        <v>3.1260534584618702E-3</v>
      </c>
      <c r="M144" s="14">
        <v>0</v>
      </c>
      <c r="N144" s="14"/>
      <c r="O144" s="14">
        <v>2.4598896784521502E-3</v>
      </c>
      <c r="P144" s="14">
        <v>0</v>
      </c>
      <c r="Q144" s="14"/>
      <c r="R144" s="14">
        <v>0</v>
      </c>
      <c r="S144" s="14">
        <v>0</v>
      </c>
      <c r="T144" s="14">
        <v>8.6485905615956704E-3</v>
      </c>
      <c r="U144" s="14">
        <v>0</v>
      </c>
      <c r="V144" s="14">
        <v>0</v>
      </c>
      <c r="W144" s="14">
        <v>5.9231091109142701E-3</v>
      </c>
      <c r="X144" s="14">
        <v>0</v>
      </c>
      <c r="Y144" s="14">
        <v>1.22862849231282E-2</v>
      </c>
      <c r="Z144" s="14">
        <v>0</v>
      </c>
      <c r="AA144" s="14"/>
      <c r="AB144" s="14">
        <v>0</v>
      </c>
      <c r="AC144" s="14">
        <v>0</v>
      </c>
      <c r="AD144" s="14">
        <v>0</v>
      </c>
      <c r="AE144" s="14">
        <v>0</v>
      </c>
      <c r="AF144" s="14"/>
      <c r="AG144" s="14">
        <v>0</v>
      </c>
      <c r="AH144" s="14">
        <v>0</v>
      </c>
      <c r="AI144" s="14"/>
      <c r="AJ144" s="14">
        <v>0</v>
      </c>
      <c r="AK144" s="14">
        <v>0</v>
      </c>
      <c r="AL144" s="14"/>
      <c r="AM144" s="14">
        <v>1.1731311568731501E-3</v>
      </c>
      <c r="AN144" s="14">
        <v>2.4581180424125999E-3</v>
      </c>
    </row>
    <row r="145" spans="2:40" x14ac:dyDescent="0.35"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</row>
    <row r="146" spans="2:40" x14ac:dyDescent="0.35">
      <c r="B146" s="6" t="s">
        <v>81</v>
      </c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</row>
    <row r="147" spans="2:40" x14ac:dyDescent="0.35">
      <c r="B147" s="24" t="s">
        <v>74</v>
      </c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</row>
    <row r="148" spans="2:40" x14ac:dyDescent="0.35">
      <c r="B148" t="s">
        <v>65</v>
      </c>
      <c r="C148" s="14">
        <v>0.35577356826905598</v>
      </c>
      <c r="D148" s="14">
        <v>0.46878088164570197</v>
      </c>
      <c r="E148" s="14">
        <v>0.253972517411089</v>
      </c>
      <c r="F148" s="14"/>
      <c r="G148" s="14" t="s">
        <v>76</v>
      </c>
      <c r="H148" s="14" t="s">
        <v>76</v>
      </c>
      <c r="I148" s="14">
        <v>0.35577356826905598</v>
      </c>
      <c r="J148" s="14"/>
      <c r="K148" s="14" t="s">
        <v>76</v>
      </c>
      <c r="L148" s="14">
        <v>0.41051794727277702</v>
      </c>
      <c r="M148" s="14">
        <v>0.25166424624577799</v>
      </c>
      <c r="N148" s="14"/>
      <c r="O148" s="14">
        <v>0.356419109349841</v>
      </c>
      <c r="P148" s="14">
        <v>0.382895798326573</v>
      </c>
      <c r="Q148" s="14"/>
      <c r="R148" s="14">
        <v>0.40299160228027198</v>
      </c>
      <c r="S148" s="14">
        <v>0.29985804694633</v>
      </c>
      <c r="T148" s="14">
        <v>0.38235624679562102</v>
      </c>
      <c r="U148" s="14">
        <v>0.35144677908932298</v>
      </c>
      <c r="V148" s="14">
        <v>0.27309084032508402</v>
      </c>
      <c r="W148" s="14">
        <v>0.35108182310188901</v>
      </c>
      <c r="X148" s="14">
        <v>0.30914660057266702</v>
      </c>
      <c r="Y148" s="14">
        <v>0.44561645459652399</v>
      </c>
      <c r="Z148" s="14">
        <v>0.40639265855552897</v>
      </c>
      <c r="AA148" s="14"/>
      <c r="AB148" s="14">
        <v>0.33107942043961103</v>
      </c>
      <c r="AC148" s="14">
        <v>0.46952225038815598</v>
      </c>
      <c r="AD148" s="14">
        <v>0.26412567554522898</v>
      </c>
      <c r="AE148" s="14">
        <v>0.22190278996993901</v>
      </c>
      <c r="AF148" s="14"/>
      <c r="AG148" s="14">
        <v>0.30835068703482899</v>
      </c>
      <c r="AH148" s="14">
        <v>0.27552343013549702</v>
      </c>
      <c r="AI148" s="14"/>
      <c r="AJ148" s="14">
        <v>0.29687756284007399</v>
      </c>
      <c r="AK148" s="14">
        <v>0.22953547174824401</v>
      </c>
      <c r="AL148" s="14"/>
      <c r="AM148" s="14">
        <v>0.43677219521993699</v>
      </c>
      <c r="AN148" s="14">
        <v>0.26603262713424403</v>
      </c>
    </row>
    <row r="149" spans="2:40" x14ac:dyDescent="0.35">
      <c r="B149" t="s">
        <v>66</v>
      </c>
      <c r="C149" s="14">
        <v>0.21589970657411001</v>
      </c>
      <c r="D149" s="14">
        <v>0.21577830979614801</v>
      </c>
      <c r="E149" s="14">
        <v>0.21780746990827099</v>
      </c>
      <c r="F149" s="14"/>
      <c r="G149" s="14" t="s">
        <v>76</v>
      </c>
      <c r="H149" s="14" t="s">
        <v>76</v>
      </c>
      <c r="I149" s="14">
        <v>0.21589970657411001</v>
      </c>
      <c r="J149" s="14"/>
      <c r="K149" s="14" t="s">
        <v>76</v>
      </c>
      <c r="L149" s="14">
        <v>0.249450511814407</v>
      </c>
      <c r="M149" s="14">
        <v>0.15209495345662599</v>
      </c>
      <c r="N149" s="14"/>
      <c r="O149" s="14">
        <v>0.206475693975854</v>
      </c>
      <c r="P149" s="14">
        <v>0.26140770384201101</v>
      </c>
      <c r="Q149" s="14"/>
      <c r="R149" s="14">
        <v>0.27075597246526201</v>
      </c>
      <c r="S149" s="14">
        <v>0.22198659058558601</v>
      </c>
      <c r="T149" s="14">
        <v>0.172935064563079</v>
      </c>
      <c r="U149" s="14">
        <v>0.163699494384831</v>
      </c>
      <c r="V149" s="14">
        <v>0.24110464884322899</v>
      </c>
      <c r="W149" s="14">
        <v>0.18383642808532999</v>
      </c>
      <c r="X149" s="14">
        <v>0.284893467603615</v>
      </c>
      <c r="Y149" s="14">
        <v>0.14216010596884501</v>
      </c>
      <c r="Z149" s="14">
        <v>0.202436644867767</v>
      </c>
      <c r="AA149" s="14"/>
      <c r="AB149" s="14">
        <v>0.28458921475221099</v>
      </c>
      <c r="AC149" s="14">
        <v>0.233727239017363</v>
      </c>
      <c r="AD149" s="14">
        <v>0.15260752688653001</v>
      </c>
      <c r="AE149" s="14">
        <v>0.15820015851319499</v>
      </c>
      <c r="AF149" s="14"/>
      <c r="AG149" s="14">
        <v>0.163364082129135</v>
      </c>
      <c r="AH149" s="14">
        <v>0.14588380778804999</v>
      </c>
      <c r="AI149" s="14"/>
      <c r="AJ149" s="14">
        <v>0.15725472736066701</v>
      </c>
      <c r="AK149" s="14">
        <v>0.129112839277957</v>
      </c>
      <c r="AL149" s="14"/>
      <c r="AM149" s="14">
        <v>0.21402461501970199</v>
      </c>
      <c r="AN149" s="14">
        <v>0.17967897823742399</v>
      </c>
    </row>
    <row r="150" spans="2:40" x14ac:dyDescent="0.35">
      <c r="B150" t="s">
        <v>67</v>
      </c>
      <c r="C150" s="14">
        <v>0.16762720299657499</v>
      </c>
      <c r="D150" s="14">
        <v>0.14415527317125401</v>
      </c>
      <c r="E150" s="14">
        <v>0.18925844869116501</v>
      </c>
      <c r="F150" s="14"/>
      <c r="G150" s="14" t="s">
        <v>76</v>
      </c>
      <c r="H150" s="14" t="s">
        <v>76</v>
      </c>
      <c r="I150" s="14">
        <v>0.16762720299657499</v>
      </c>
      <c r="J150" s="14"/>
      <c r="K150" s="14" t="s">
        <v>76</v>
      </c>
      <c r="L150" s="14">
        <v>0.173032058998488</v>
      </c>
      <c r="M150" s="14">
        <v>0.157348597151866</v>
      </c>
      <c r="N150" s="14"/>
      <c r="O150" s="14">
        <v>0.166861403345617</v>
      </c>
      <c r="P150" s="14">
        <v>0.154021591049881</v>
      </c>
      <c r="Q150" s="14"/>
      <c r="R150" s="14">
        <v>0.15661177535274501</v>
      </c>
      <c r="S150" s="14">
        <v>0.15575217402211999</v>
      </c>
      <c r="T150" s="14">
        <v>0.120733796203445</v>
      </c>
      <c r="U150" s="14">
        <v>0.207923437030654</v>
      </c>
      <c r="V150" s="14">
        <v>0.15477599378967999</v>
      </c>
      <c r="W150" s="14">
        <v>0.13836822067256299</v>
      </c>
      <c r="X150" s="14">
        <v>0.24253897014141201</v>
      </c>
      <c r="Y150" s="14">
        <v>0.15678096365289201</v>
      </c>
      <c r="Z150" s="14">
        <v>0.17736217815324101</v>
      </c>
      <c r="AA150" s="14"/>
      <c r="AB150" s="14">
        <v>0.17554823433852099</v>
      </c>
      <c r="AC150" s="14">
        <v>0.138155772357062</v>
      </c>
      <c r="AD150" s="14">
        <v>0.127543423982903</v>
      </c>
      <c r="AE150" s="14">
        <v>0.20420683132464601</v>
      </c>
      <c r="AF150" s="14"/>
      <c r="AG150" s="14">
        <v>0.17470992239601901</v>
      </c>
      <c r="AH150" s="14">
        <v>0.204329170759248</v>
      </c>
      <c r="AI150" s="14"/>
      <c r="AJ150" s="14">
        <v>0.18506184781180199</v>
      </c>
      <c r="AK150" s="14">
        <v>0.13308452974096999</v>
      </c>
      <c r="AL150" s="14"/>
      <c r="AM150" s="14">
        <v>0.16246398809836299</v>
      </c>
      <c r="AN150" s="14">
        <v>0.16012450945533399</v>
      </c>
    </row>
    <row r="151" spans="2:40" x14ac:dyDescent="0.35">
      <c r="B151" t="s">
        <v>68</v>
      </c>
      <c r="C151" s="14">
        <v>0.14877405793359799</v>
      </c>
      <c r="D151" s="14">
        <v>9.5421979384799599E-2</v>
      </c>
      <c r="E151" s="14">
        <v>0.19589117140679299</v>
      </c>
      <c r="F151" s="14"/>
      <c r="G151" s="14" t="s">
        <v>76</v>
      </c>
      <c r="H151" s="14" t="s">
        <v>76</v>
      </c>
      <c r="I151" s="14">
        <v>0.14877405793359799</v>
      </c>
      <c r="J151" s="14"/>
      <c r="K151" s="14" t="s">
        <v>76</v>
      </c>
      <c r="L151" s="14">
        <v>0.15029537613168101</v>
      </c>
      <c r="M151" s="14">
        <v>0.145880913302745</v>
      </c>
      <c r="N151" s="14"/>
      <c r="O151" s="14">
        <v>0.15477494654686</v>
      </c>
      <c r="P151" s="14">
        <v>0.10710790525153401</v>
      </c>
      <c r="Q151" s="14"/>
      <c r="R151" s="14">
        <v>6.4897681899968696E-2</v>
      </c>
      <c r="S151" s="14">
        <v>0.21844695541798001</v>
      </c>
      <c r="T151" s="14">
        <v>0.16608704067519001</v>
      </c>
      <c r="U151" s="14">
        <v>0.22728729318368501</v>
      </c>
      <c r="V151" s="14">
        <v>0.11799872861583401</v>
      </c>
      <c r="W151" s="14">
        <v>0.18728384077811699</v>
      </c>
      <c r="X151" s="14">
        <v>7.7636434030148499E-2</v>
      </c>
      <c r="Y151" s="14">
        <v>0.22616086415112399</v>
      </c>
      <c r="Z151" s="14">
        <v>9.8938923465208398E-2</v>
      </c>
      <c r="AA151" s="14"/>
      <c r="AB151" s="14">
        <v>0.174694118268515</v>
      </c>
      <c r="AC151" s="14">
        <v>0.13682690865003699</v>
      </c>
      <c r="AD151" s="14">
        <v>0.13713463607100901</v>
      </c>
      <c r="AE151" s="14">
        <v>0.138218954829915</v>
      </c>
      <c r="AF151" s="14"/>
      <c r="AG151" s="14">
        <v>0.106002843026634</v>
      </c>
      <c r="AH151" s="14">
        <v>0.11699838216922499</v>
      </c>
      <c r="AI151" s="14"/>
      <c r="AJ151" s="14">
        <v>0.109845783256398</v>
      </c>
      <c r="AK151" s="14">
        <v>0.18760600323253901</v>
      </c>
      <c r="AL151" s="14"/>
      <c r="AM151" s="14">
        <v>0.115564418725877</v>
      </c>
      <c r="AN151" s="14">
        <v>0.20239445937485601</v>
      </c>
    </row>
    <row r="152" spans="2:40" x14ac:dyDescent="0.35">
      <c r="B152" t="s">
        <v>69</v>
      </c>
      <c r="C152" s="14">
        <v>0.111925464226661</v>
      </c>
      <c r="D152" s="14">
        <v>7.5863556002096405E-2</v>
      </c>
      <c r="E152" s="14">
        <v>0.143070392582683</v>
      </c>
      <c r="F152" s="14"/>
      <c r="G152" s="14" t="s">
        <v>76</v>
      </c>
      <c r="H152" s="14" t="s">
        <v>76</v>
      </c>
      <c r="I152" s="14">
        <v>0.111925464226661</v>
      </c>
      <c r="J152" s="14"/>
      <c r="K152" s="14" t="s">
        <v>76</v>
      </c>
      <c r="L152" s="14">
        <v>1.6704105782647201E-2</v>
      </c>
      <c r="M152" s="14">
        <v>0.29301128984298502</v>
      </c>
      <c r="N152" s="14"/>
      <c r="O152" s="14">
        <v>0.11546884678182801</v>
      </c>
      <c r="P152" s="14">
        <v>9.4567001530001804E-2</v>
      </c>
      <c r="Q152" s="14"/>
      <c r="R152" s="14">
        <v>0.10474296800175199</v>
      </c>
      <c r="S152" s="14">
        <v>0.103956233027985</v>
      </c>
      <c r="T152" s="14">
        <v>0.15788785176266401</v>
      </c>
      <c r="U152" s="14">
        <v>4.9642996311506898E-2</v>
      </c>
      <c r="V152" s="14">
        <v>0.21302978842617301</v>
      </c>
      <c r="W152" s="14">
        <v>0.13942968736210201</v>
      </c>
      <c r="X152" s="14">
        <v>8.5784527652157994E-2</v>
      </c>
      <c r="Y152" s="14">
        <v>2.9281611630615701E-2</v>
      </c>
      <c r="Z152" s="14">
        <v>0.11486959495825499</v>
      </c>
      <c r="AA152" s="14"/>
      <c r="AB152" s="14">
        <v>3.4089012201141702E-2</v>
      </c>
      <c r="AC152" s="14">
        <v>2.17678295873815E-2</v>
      </c>
      <c r="AD152" s="14">
        <v>0.31858873751432898</v>
      </c>
      <c r="AE152" s="14">
        <v>0.27747126536230599</v>
      </c>
      <c r="AF152" s="14"/>
      <c r="AG152" s="14">
        <v>0.24757246541338199</v>
      </c>
      <c r="AH152" s="14">
        <v>0.25726520914798001</v>
      </c>
      <c r="AI152" s="14"/>
      <c r="AJ152" s="14">
        <v>0.25096007873105902</v>
      </c>
      <c r="AK152" s="14">
        <v>0.32066115600028899</v>
      </c>
      <c r="AL152" s="14"/>
      <c r="AM152" s="14">
        <v>7.1174782936121506E-2</v>
      </c>
      <c r="AN152" s="14">
        <v>0.19176942579814199</v>
      </c>
    </row>
    <row r="153" spans="2:40" x14ac:dyDescent="0.35">
      <c r="B153" t="s">
        <v>70</v>
      </c>
      <c r="C153" s="14">
        <v>0</v>
      </c>
      <c r="D153" s="14">
        <v>0</v>
      </c>
      <c r="E153" s="14">
        <v>0</v>
      </c>
      <c r="F153" s="14"/>
      <c r="G153" s="14" t="s">
        <v>76</v>
      </c>
      <c r="H153" s="14" t="s">
        <v>76</v>
      </c>
      <c r="I153" s="14">
        <v>0</v>
      </c>
      <c r="J153" s="14"/>
      <c r="K153" s="14" t="s">
        <v>76</v>
      </c>
      <c r="L153" s="14">
        <v>0</v>
      </c>
      <c r="M153" s="14">
        <v>0</v>
      </c>
      <c r="N153" s="14"/>
      <c r="O153" s="14">
        <v>0</v>
      </c>
      <c r="P153" s="14">
        <v>0</v>
      </c>
      <c r="Q153" s="14"/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14">
        <v>0</v>
      </c>
      <c r="Z153" s="14">
        <v>0</v>
      </c>
      <c r="AA153" s="14"/>
      <c r="AB153" s="14">
        <v>0</v>
      </c>
      <c r="AC153" s="14">
        <v>0</v>
      </c>
      <c r="AD153" s="14">
        <v>0</v>
      </c>
      <c r="AE153" s="14">
        <v>0</v>
      </c>
      <c r="AF153" s="14"/>
      <c r="AG153" s="14">
        <v>0</v>
      </c>
      <c r="AH153" s="14">
        <v>0</v>
      </c>
      <c r="AI153" s="14"/>
      <c r="AJ153" s="14">
        <v>0</v>
      </c>
      <c r="AK153" s="14">
        <v>0</v>
      </c>
      <c r="AL153" s="14"/>
      <c r="AM153" s="14">
        <v>0</v>
      </c>
      <c r="AN153" s="14">
        <v>0</v>
      </c>
    </row>
    <row r="154" spans="2:40" x14ac:dyDescent="0.35"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</row>
    <row r="155" spans="2:40" x14ac:dyDescent="0.35">
      <c r="B155" s="6" t="s">
        <v>82</v>
      </c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</row>
    <row r="156" spans="2:40" x14ac:dyDescent="0.35">
      <c r="B156" s="24" t="s">
        <v>74</v>
      </c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</row>
    <row r="157" spans="2:40" x14ac:dyDescent="0.35">
      <c r="B157" t="s">
        <v>65</v>
      </c>
      <c r="C157" s="14">
        <v>0.21565610339583799</v>
      </c>
      <c r="D157" s="14">
        <v>0.235311273386483</v>
      </c>
      <c r="E157" s="14">
        <v>0.19809460241641999</v>
      </c>
      <c r="F157" s="14"/>
      <c r="G157" s="14" t="s">
        <v>76</v>
      </c>
      <c r="H157" s="14" t="s">
        <v>76</v>
      </c>
      <c r="I157" s="14">
        <v>0.21565610339583799</v>
      </c>
      <c r="J157" s="14"/>
      <c r="K157" s="14" t="s">
        <v>76</v>
      </c>
      <c r="L157" s="14">
        <v>0.22959504608789</v>
      </c>
      <c r="M157" s="14">
        <v>0.18914792301640099</v>
      </c>
      <c r="N157" s="14"/>
      <c r="O157" s="14">
        <v>0.19565159112316299</v>
      </c>
      <c r="P157" s="14">
        <v>0.34669345204420898</v>
      </c>
      <c r="Q157" s="14"/>
      <c r="R157" s="14">
        <v>0.27214532389301499</v>
      </c>
      <c r="S157" s="14">
        <v>0.20864445032568499</v>
      </c>
      <c r="T157" s="14">
        <v>0.199050932564003</v>
      </c>
      <c r="U157" s="14">
        <v>0.14962273460324699</v>
      </c>
      <c r="V157" s="14">
        <v>0.208205822274668</v>
      </c>
      <c r="W157" s="14">
        <v>0.21148127896681701</v>
      </c>
      <c r="X157" s="14">
        <v>0.171178151865225</v>
      </c>
      <c r="Y157" s="14">
        <v>0.24744082179450799</v>
      </c>
      <c r="Z157" s="14">
        <v>0.24548965484448601</v>
      </c>
      <c r="AA157" s="14"/>
      <c r="AB157" s="14">
        <v>0.23258333405732501</v>
      </c>
      <c r="AC157" s="14">
        <v>0.25477412715707298</v>
      </c>
      <c r="AD157" s="14">
        <v>0.19127967121681599</v>
      </c>
      <c r="AE157" s="14">
        <v>0.23310621776906101</v>
      </c>
      <c r="AF157" s="14"/>
      <c r="AG157" s="14">
        <v>0.24227402494841499</v>
      </c>
      <c r="AH157" s="14">
        <v>0.131985551440474</v>
      </c>
      <c r="AI157" s="14"/>
      <c r="AJ157" s="14">
        <v>0.20372821048432699</v>
      </c>
      <c r="AK157" s="14">
        <v>0.19752923835133801</v>
      </c>
      <c r="AL157" s="14"/>
      <c r="AM157" s="14">
        <v>0.23054230225406699</v>
      </c>
      <c r="AN157" s="14">
        <v>0.195251488383447</v>
      </c>
    </row>
    <row r="158" spans="2:40" x14ac:dyDescent="0.35">
      <c r="B158" t="s">
        <v>66</v>
      </c>
      <c r="C158" s="14">
        <v>0.25002811167054001</v>
      </c>
      <c r="D158" s="14">
        <v>0.23215433984331099</v>
      </c>
      <c r="E158" s="14">
        <v>0.26722347319928003</v>
      </c>
      <c r="F158" s="14"/>
      <c r="G158" s="14" t="s">
        <v>76</v>
      </c>
      <c r="H158" s="14" t="s">
        <v>76</v>
      </c>
      <c r="I158" s="14">
        <v>0.25002811167054001</v>
      </c>
      <c r="J158" s="14"/>
      <c r="K158" s="14" t="s">
        <v>76</v>
      </c>
      <c r="L158" s="14">
        <v>0.285414616053559</v>
      </c>
      <c r="M158" s="14">
        <v>0.18273234455918999</v>
      </c>
      <c r="N158" s="14"/>
      <c r="O158" s="14">
        <v>0.254909570539047</v>
      </c>
      <c r="P158" s="14">
        <v>0.23803882797867501</v>
      </c>
      <c r="Q158" s="14"/>
      <c r="R158" s="14">
        <v>0.26204937595106698</v>
      </c>
      <c r="S158" s="14">
        <v>0.23912881622174001</v>
      </c>
      <c r="T158" s="14">
        <v>0.18542725697972801</v>
      </c>
      <c r="U158" s="14">
        <v>0.30814936603126097</v>
      </c>
      <c r="V158" s="14">
        <v>0.179468398822347</v>
      </c>
      <c r="W158" s="14">
        <v>0.27088546125184199</v>
      </c>
      <c r="X158" s="14">
        <v>0.197953866454916</v>
      </c>
      <c r="Y158" s="14">
        <v>0.37202755499578399</v>
      </c>
      <c r="Z158" s="14">
        <v>0.263869963293208</v>
      </c>
      <c r="AA158" s="14"/>
      <c r="AB158" s="14">
        <v>0.28605822142503501</v>
      </c>
      <c r="AC158" s="14">
        <v>0.23032186015761499</v>
      </c>
      <c r="AD158" s="14">
        <v>0.19778218828792499</v>
      </c>
      <c r="AE158" s="14">
        <v>0.17575773254542401</v>
      </c>
      <c r="AF158" s="14"/>
      <c r="AG158" s="14">
        <v>0.15390813867929201</v>
      </c>
      <c r="AH158" s="14">
        <v>7.7744244453346198E-2</v>
      </c>
      <c r="AI158" s="14"/>
      <c r="AJ158" s="14">
        <v>0.12728886250004201</v>
      </c>
      <c r="AK158" s="14">
        <v>0.22880444852265</v>
      </c>
      <c r="AL158" s="14"/>
      <c r="AM158" s="14">
        <v>0.280187381783638</v>
      </c>
      <c r="AN158" s="14">
        <v>0.19727122053048499</v>
      </c>
    </row>
    <row r="159" spans="2:40" x14ac:dyDescent="0.35">
      <c r="B159" t="s">
        <v>67</v>
      </c>
      <c r="C159" s="14">
        <v>0.24479620790437201</v>
      </c>
      <c r="D159" s="14">
        <v>0.27498225570226897</v>
      </c>
      <c r="E159" s="14">
        <v>0.21481949919981799</v>
      </c>
      <c r="F159" s="14"/>
      <c r="G159" s="14" t="s">
        <v>76</v>
      </c>
      <c r="H159" s="14" t="s">
        <v>76</v>
      </c>
      <c r="I159" s="14">
        <v>0.24479620790437201</v>
      </c>
      <c r="J159" s="14"/>
      <c r="K159" s="14" t="s">
        <v>76</v>
      </c>
      <c r="L159" s="14">
        <v>0.26753110260443203</v>
      </c>
      <c r="M159" s="14">
        <v>0.20156045445226101</v>
      </c>
      <c r="N159" s="14"/>
      <c r="O159" s="14">
        <v>0.26301573581272603</v>
      </c>
      <c r="P159" s="14">
        <v>0.12582388865691199</v>
      </c>
      <c r="Q159" s="14"/>
      <c r="R159" s="14">
        <v>0.19398781525412701</v>
      </c>
      <c r="S159" s="14">
        <v>0.23968108468082799</v>
      </c>
      <c r="T159" s="14">
        <v>0.27548860286508497</v>
      </c>
      <c r="U159" s="14">
        <v>0.32068831042892598</v>
      </c>
      <c r="V159" s="14">
        <v>0.17009859330332999</v>
      </c>
      <c r="W159" s="14">
        <v>0.21382057017613701</v>
      </c>
      <c r="X159" s="14">
        <v>0.31460061403541101</v>
      </c>
      <c r="Y159" s="14">
        <v>0.26315738147928303</v>
      </c>
      <c r="Z159" s="14">
        <v>0.24598358727608099</v>
      </c>
      <c r="AA159" s="14"/>
      <c r="AB159" s="14">
        <v>0.23940635314045799</v>
      </c>
      <c r="AC159" s="14">
        <v>0.210506426345688</v>
      </c>
      <c r="AD159" s="14">
        <v>0.20990884935132101</v>
      </c>
      <c r="AE159" s="14">
        <v>0.15484758187136799</v>
      </c>
      <c r="AF159" s="14"/>
      <c r="AG159" s="14">
        <v>0.147244223089112</v>
      </c>
      <c r="AH159" s="14">
        <v>0.32810352721428399</v>
      </c>
      <c r="AI159" s="14"/>
      <c r="AJ159" s="14">
        <v>0.21045453835756101</v>
      </c>
      <c r="AK159" s="14">
        <v>0.190842896127735</v>
      </c>
      <c r="AL159" s="14"/>
      <c r="AM159" s="14">
        <v>0.22563550190528101</v>
      </c>
      <c r="AN159" s="14">
        <v>0.25952150307124</v>
      </c>
    </row>
    <row r="160" spans="2:40" x14ac:dyDescent="0.35">
      <c r="B160" t="s">
        <v>68</v>
      </c>
      <c r="C160" s="14">
        <v>0.155139997030356</v>
      </c>
      <c r="D160" s="14">
        <v>0.146161827247903</v>
      </c>
      <c r="E160" s="14">
        <v>0.16464496818517699</v>
      </c>
      <c r="F160" s="14"/>
      <c r="G160" s="14" t="s">
        <v>76</v>
      </c>
      <c r="H160" s="14" t="s">
        <v>76</v>
      </c>
      <c r="I160" s="14">
        <v>0.155139997030356</v>
      </c>
      <c r="J160" s="14"/>
      <c r="K160" s="14" t="s">
        <v>76</v>
      </c>
      <c r="L160" s="14">
        <v>0.15665768660997001</v>
      </c>
      <c r="M160" s="14">
        <v>0.1522537530716</v>
      </c>
      <c r="N160" s="14"/>
      <c r="O160" s="14">
        <v>0.146959602417952</v>
      </c>
      <c r="P160" s="14">
        <v>0.171943070208468</v>
      </c>
      <c r="Q160" s="14"/>
      <c r="R160" s="14">
        <v>0.149306338443605</v>
      </c>
      <c r="S160" s="14">
        <v>0.17126396247384201</v>
      </c>
      <c r="T160" s="14">
        <v>0.14378576441742699</v>
      </c>
      <c r="U160" s="14">
        <v>0.12608304989775801</v>
      </c>
      <c r="V160" s="14">
        <v>0.21263245193779601</v>
      </c>
      <c r="W160" s="14">
        <v>0.129924253712563</v>
      </c>
      <c r="X160" s="14">
        <v>0.176569096642408</v>
      </c>
      <c r="Y160" s="14">
        <v>9.3291122983790498E-2</v>
      </c>
      <c r="Z160" s="14">
        <v>0.16390389580186901</v>
      </c>
      <c r="AA160" s="14"/>
      <c r="AB160" s="14">
        <v>0.137846657268233</v>
      </c>
      <c r="AC160" s="14">
        <v>0.13302935674722199</v>
      </c>
      <c r="AD160" s="14">
        <v>0.10821683383077001</v>
      </c>
      <c r="AE160" s="14">
        <v>0.15965898353396599</v>
      </c>
      <c r="AF160" s="14"/>
      <c r="AG160" s="14">
        <v>0.15542816964818601</v>
      </c>
      <c r="AH160" s="14">
        <v>0.19903782288067001</v>
      </c>
      <c r="AI160" s="14"/>
      <c r="AJ160" s="14">
        <v>0.170669740674387</v>
      </c>
      <c r="AK160" s="14">
        <v>0.13182216197899799</v>
      </c>
      <c r="AL160" s="14"/>
      <c r="AM160" s="14">
        <v>0.15371977108899501</v>
      </c>
      <c r="AN160" s="14">
        <v>0.17061405756106801</v>
      </c>
    </row>
    <row r="161" spans="2:40" x14ac:dyDescent="0.35">
      <c r="B161" t="s">
        <v>69</v>
      </c>
      <c r="C161" s="14">
        <v>0.13383035199205701</v>
      </c>
      <c r="D161" s="14">
        <v>0.111390303820034</v>
      </c>
      <c r="E161" s="14">
        <v>0.15416118306838</v>
      </c>
      <c r="F161" s="14"/>
      <c r="G161" s="14" t="s">
        <v>76</v>
      </c>
      <c r="H161" s="14" t="s">
        <v>76</v>
      </c>
      <c r="I161" s="14">
        <v>0.13383035199205701</v>
      </c>
      <c r="J161" s="14"/>
      <c r="K161" s="14" t="s">
        <v>76</v>
      </c>
      <c r="L161" s="14">
        <v>6.08015486441481E-2</v>
      </c>
      <c r="M161" s="14">
        <v>0.27271181056527999</v>
      </c>
      <c r="N161" s="14"/>
      <c r="O161" s="14">
        <v>0.138804053521282</v>
      </c>
      <c r="P161" s="14">
        <v>0.117500761111736</v>
      </c>
      <c r="Q161" s="14"/>
      <c r="R161" s="14">
        <v>0.12251114645818501</v>
      </c>
      <c r="S161" s="14">
        <v>0.141281686297905</v>
      </c>
      <c r="T161" s="14">
        <v>0.196247443173757</v>
      </c>
      <c r="U161" s="14">
        <v>9.5456539038808103E-2</v>
      </c>
      <c r="V161" s="14">
        <v>0.22959473366185801</v>
      </c>
      <c r="W161" s="14">
        <v>0.16833147603663401</v>
      </c>
      <c r="X161" s="14">
        <v>0.13969827100203899</v>
      </c>
      <c r="Y161" s="14">
        <v>2.4083118746634501E-2</v>
      </c>
      <c r="Z161" s="14">
        <v>8.0752898784356E-2</v>
      </c>
      <c r="AA161" s="14"/>
      <c r="AB161" s="14">
        <v>0.104105434108949</v>
      </c>
      <c r="AC161" s="14">
        <v>0.171368229592402</v>
      </c>
      <c r="AD161" s="14">
        <v>0.28986006843562301</v>
      </c>
      <c r="AE161" s="14">
        <v>0.27662948428018103</v>
      </c>
      <c r="AF161" s="14"/>
      <c r="AG161" s="14">
        <v>0.30114544363499501</v>
      </c>
      <c r="AH161" s="14">
        <v>0.26312885401122599</v>
      </c>
      <c r="AI161" s="14"/>
      <c r="AJ161" s="14">
        <v>0.28785864798368299</v>
      </c>
      <c r="AK161" s="14">
        <v>0.247626696704287</v>
      </c>
      <c r="AL161" s="14"/>
      <c r="AM161" s="14">
        <v>0.109915042968019</v>
      </c>
      <c r="AN161" s="14">
        <v>0.17734173045376</v>
      </c>
    </row>
    <row r="162" spans="2:40" x14ac:dyDescent="0.35">
      <c r="B162" t="s">
        <v>70</v>
      </c>
      <c r="C162" s="14">
        <v>5.4922800683649005E-4</v>
      </c>
      <c r="D162" s="14">
        <v>0</v>
      </c>
      <c r="E162" s="14">
        <v>1.05627393092535E-3</v>
      </c>
      <c r="F162" s="14"/>
      <c r="G162" s="14" t="s">
        <v>76</v>
      </c>
      <c r="H162" s="14" t="s">
        <v>76</v>
      </c>
      <c r="I162" s="14">
        <v>5.4922800683649005E-4</v>
      </c>
      <c r="J162" s="14"/>
      <c r="K162" s="14" t="s">
        <v>76</v>
      </c>
      <c r="L162" s="14">
        <v>0</v>
      </c>
      <c r="M162" s="14">
        <v>1.59371433526952E-3</v>
      </c>
      <c r="N162" s="14"/>
      <c r="O162" s="14">
        <v>6.5944658583036095E-4</v>
      </c>
      <c r="P162" s="14">
        <v>0</v>
      </c>
      <c r="Q162" s="14"/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5.5569598560061802E-3</v>
      </c>
      <c r="X162" s="14">
        <v>0</v>
      </c>
      <c r="Y162" s="14">
        <v>0</v>
      </c>
      <c r="Z162" s="14">
        <v>0</v>
      </c>
      <c r="AA162" s="14"/>
      <c r="AB162" s="14">
        <v>0</v>
      </c>
      <c r="AC162" s="14">
        <v>0</v>
      </c>
      <c r="AD162" s="14">
        <v>2.9523888775452598E-3</v>
      </c>
      <c r="AE162" s="14">
        <v>0</v>
      </c>
      <c r="AF162" s="14"/>
      <c r="AG162" s="14">
        <v>0</v>
      </c>
      <c r="AH162" s="14">
        <v>0</v>
      </c>
      <c r="AI162" s="14"/>
      <c r="AJ162" s="14">
        <v>0</v>
      </c>
      <c r="AK162" s="14">
        <v>3.37455831499202E-3</v>
      </c>
      <c r="AL162" s="14"/>
      <c r="AM162" s="14">
        <v>0</v>
      </c>
      <c r="AN162" s="14">
        <v>0</v>
      </c>
    </row>
    <row r="163" spans="2:40" x14ac:dyDescent="0.35"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</row>
    <row r="164" spans="2:40" x14ac:dyDescent="0.35">
      <c r="B164" s="6" t="s">
        <v>83</v>
      </c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</row>
    <row r="165" spans="2:40" x14ac:dyDescent="0.35">
      <c r="B165" s="24" t="s">
        <v>74</v>
      </c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</row>
    <row r="166" spans="2:40" x14ac:dyDescent="0.35">
      <c r="B166" t="s">
        <v>65</v>
      </c>
      <c r="C166" s="14">
        <v>0.14348014944267901</v>
      </c>
      <c r="D166" s="14">
        <v>0.17115699202613599</v>
      </c>
      <c r="E166" s="14">
        <v>0.117979173475175</v>
      </c>
      <c r="F166" s="14"/>
      <c r="G166" s="14" t="s">
        <v>76</v>
      </c>
      <c r="H166" s="14" t="s">
        <v>76</v>
      </c>
      <c r="I166" s="14">
        <v>0.14348014944267901</v>
      </c>
      <c r="J166" s="14"/>
      <c r="K166" s="14" t="s">
        <v>76</v>
      </c>
      <c r="L166" s="14">
        <v>0.15816131816850301</v>
      </c>
      <c r="M166" s="14">
        <v>0.115560451560073</v>
      </c>
      <c r="N166" s="14"/>
      <c r="O166" s="14">
        <v>0.13512690869545699</v>
      </c>
      <c r="P166" s="14">
        <v>0.203936449983809</v>
      </c>
      <c r="Q166" s="14"/>
      <c r="R166" s="14">
        <v>0.180477950917423</v>
      </c>
      <c r="S166" s="14">
        <v>0.15704710533536401</v>
      </c>
      <c r="T166" s="14">
        <v>0.16267220237513799</v>
      </c>
      <c r="U166" s="14">
        <v>0.14201486627899501</v>
      </c>
      <c r="V166" s="14">
        <v>0.17160350338382299</v>
      </c>
      <c r="W166" s="14">
        <v>0.10553459408961</v>
      </c>
      <c r="X166" s="14">
        <v>0.12400380973120501</v>
      </c>
      <c r="Y166" s="14">
        <v>0.13520129668170699</v>
      </c>
      <c r="Z166" s="14">
        <v>9.8180797944718096E-2</v>
      </c>
      <c r="AA166" s="14"/>
      <c r="AB166" s="14">
        <v>0.14313502932316399</v>
      </c>
      <c r="AC166" s="14">
        <v>0.25792899949026898</v>
      </c>
      <c r="AD166" s="14">
        <v>0.108766975252542</v>
      </c>
      <c r="AE166" s="14">
        <v>0.10994700263526599</v>
      </c>
      <c r="AF166" s="14"/>
      <c r="AG166" s="14">
        <v>0.120864268342189</v>
      </c>
      <c r="AH166" s="14">
        <v>0.111315249785864</v>
      </c>
      <c r="AI166" s="14"/>
      <c r="AJ166" s="14">
        <v>0.117526886965161</v>
      </c>
      <c r="AK166" s="14">
        <v>0.111781786646184</v>
      </c>
      <c r="AL166" s="14"/>
      <c r="AM166" s="14">
        <v>0.19571270650799699</v>
      </c>
      <c r="AN166" s="14">
        <v>6.9454801898738594E-2</v>
      </c>
    </row>
    <row r="167" spans="2:40" x14ac:dyDescent="0.35">
      <c r="B167" t="s">
        <v>66</v>
      </c>
      <c r="C167" s="14">
        <v>0.25383739142744799</v>
      </c>
      <c r="D167" s="14">
        <v>0.26825503284212798</v>
      </c>
      <c r="E167" s="14">
        <v>0.24129353908628901</v>
      </c>
      <c r="F167" s="14"/>
      <c r="G167" s="14" t="s">
        <v>76</v>
      </c>
      <c r="H167" s="14" t="s">
        <v>76</v>
      </c>
      <c r="I167" s="14">
        <v>0.25383739142744799</v>
      </c>
      <c r="J167" s="14"/>
      <c r="K167" s="14" t="s">
        <v>76</v>
      </c>
      <c r="L167" s="14">
        <v>0.28543499568372799</v>
      </c>
      <c r="M167" s="14">
        <v>0.193747109711813</v>
      </c>
      <c r="N167" s="14"/>
      <c r="O167" s="14">
        <v>0.25471147344321399</v>
      </c>
      <c r="P167" s="14">
        <v>0.26229655185051798</v>
      </c>
      <c r="Q167" s="14"/>
      <c r="R167" s="14">
        <v>0.310015944049637</v>
      </c>
      <c r="S167" s="14">
        <v>0.22699168640060499</v>
      </c>
      <c r="T167" s="14">
        <v>0.18175461804357301</v>
      </c>
      <c r="U167" s="14">
        <v>0.28072564433688801</v>
      </c>
      <c r="V167" s="14">
        <v>0.15041726508716</v>
      </c>
      <c r="W167" s="14">
        <v>0.23055331977110799</v>
      </c>
      <c r="X167" s="14">
        <v>0.27124411282862299</v>
      </c>
      <c r="Y167" s="14">
        <v>0.31740850296842499</v>
      </c>
      <c r="Z167" s="14">
        <v>0.29285333132302899</v>
      </c>
      <c r="AA167" s="14"/>
      <c r="AB167" s="14">
        <v>0.27910964754826201</v>
      </c>
      <c r="AC167" s="14">
        <v>0.23451687138699701</v>
      </c>
      <c r="AD167" s="14">
        <v>0.20317565208560701</v>
      </c>
      <c r="AE167" s="14">
        <v>0.191439978960873</v>
      </c>
      <c r="AF167" s="14"/>
      <c r="AG167" s="14">
        <v>0.18141841987129101</v>
      </c>
      <c r="AH167" s="14">
        <v>0.19084690064693499</v>
      </c>
      <c r="AI167" s="14"/>
      <c r="AJ167" s="14">
        <v>0.184713673301651</v>
      </c>
      <c r="AK167" s="14">
        <v>0.21979033361133901</v>
      </c>
      <c r="AL167" s="14"/>
      <c r="AM167" s="14">
        <v>0.29062323321000599</v>
      </c>
      <c r="AN167" s="14">
        <v>0.19159744045512</v>
      </c>
    </row>
    <row r="168" spans="2:40" x14ac:dyDescent="0.35">
      <c r="B168" t="s">
        <v>67</v>
      </c>
      <c r="C168" s="14">
        <v>0.26561358724527001</v>
      </c>
      <c r="D168" s="14">
        <v>0.28558144756391901</v>
      </c>
      <c r="E168" s="14">
        <v>0.24538677829022701</v>
      </c>
      <c r="F168" s="14"/>
      <c r="G168" s="14" t="s">
        <v>76</v>
      </c>
      <c r="H168" s="14" t="s">
        <v>76</v>
      </c>
      <c r="I168" s="14">
        <v>0.26561358724527001</v>
      </c>
      <c r="J168" s="14"/>
      <c r="K168" s="14" t="s">
        <v>76</v>
      </c>
      <c r="L168" s="14">
        <v>0.29478616786268103</v>
      </c>
      <c r="M168" s="14">
        <v>0.210135058763987</v>
      </c>
      <c r="N168" s="14"/>
      <c r="O168" s="14">
        <v>0.26568447556267</v>
      </c>
      <c r="P168" s="14">
        <v>0.27163061668108901</v>
      </c>
      <c r="Q168" s="14"/>
      <c r="R168" s="14">
        <v>0.242911787025509</v>
      </c>
      <c r="S168" s="14">
        <v>0.28917157437783803</v>
      </c>
      <c r="T168" s="14">
        <v>0.26161073813758001</v>
      </c>
      <c r="U168" s="14">
        <v>0.24348728074911599</v>
      </c>
      <c r="V168" s="14">
        <v>0.200188481394553</v>
      </c>
      <c r="W168" s="14">
        <v>0.31183921960206101</v>
      </c>
      <c r="X168" s="14">
        <v>0.287965327131742</v>
      </c>
      <c r="Y168" s="14">
        <v>0.27376796769058598</v>
      </c>
      <c r="Z168" s="14">
        <v>0.27251262278423599</v>
      </c>
      <c r="AA168" s="14"/>
      <c r="AB168" s="14">
        <v>0.24316866380572599</v>
      </c>
      <c r="AC168" s="14">
        <v>0.20363243732852601</v>
      </c>
      <c r="AD168" s="14">
        <v>0.178197563007923</v>
      </c>
      <c r="AE168" s="14">
        <v>0.233985387448158</v>
      </c>
      <c r="AF168" s="14"/>
      <c r="AG168" s="14">
        <v>0.26892442063540101</v>
      </c>
      <c r="AH168" s="14">
        <v>0.19602506081457199</v>
      </c>
      <c r="AI168" s="14"/>
      <c r="AJ168" s="14">
        <v>0.243446099022743</v>
      </c>
      <c r="AK168" s="14">
        <v>0.16364720926918899</v>
      </c>
      <c r="AL168" s="14"/>
      <c r="AM168" s="14">
        <v>0.26849186925346902</v>
      </c>
      <c r="AN168" s="14">
        <v>0.232025173012924</v>
      </c>
    </row>
    <row r="169" spans="2:40" x14ac:dyDescent="0.35">
      <c r="B169" t="s">
        <v>68</v>
      </c>
      <c r="C169" s="14">
        <v>0.16370786581444599</v>
      </c>
      <c r="D169" s="14">
        <v>0.13003208981383901</v>
      </c>
      <c r="E169" s="14">
        <v>0.19587937493496499</v>
      </c>
      <c r="F169" s="14"/>
      <c r="G169" s="14" t="s">
        <v>76</v>
      </c>
      <c r="H169" s="14" t="s">
        <v>76</v>
      </c>
      <c r="I169" s="14">
        <v>0.16370786581444599</v>
      </c>
      <c r="J169" s="14"/>
      <c r="K169" s="14" t="s">
        <v>76</v>
      </c>
      <c r="L169" s="14">
        <v>0.184084400838782</v>
      </c>
      <c r="M169" s="14">
        <v>0.124957088379872</v>
      </c>
      <c r="N169" s="14"/>
      <c r="O169" s="14">
        <v>0.17342297676634799</v>
      </c>
      <c r="P169" s="14">
        <v>6.0033742881717499E-2</v>
      </c>
      <c r="Q169" s="14"/>
      <c r="R169" s="14">
        <v>0.13398932367284999</v>
      </c>
      <c r="S169" s="14">
        <v>0.16140333410557101</v>
      </c>
      <c r="T169" s="14">
        <v>0.18107127296922099</v>
      </c>
      <c r="U169" s="14">
        <v>0.18151157692164799</v>
      </c>
      <c r="V169" s="14">
        <v>0.16327669501344599</v>
      </c>
      <c r="W169" s="14">
        <v>0.18512260690450999</v>
      </c>
      <c r="X169" s="14">
        <v>0.15417049701403801</v>
      </c>
      <c r="Y169" s="14">
        <v>0.16480478911104801</v>
      </c>
      <c r="Z169" s="14">
        <v>0.16700466412081599</v>
      </c>
      <c r="AA169" s="14"/>
      <c r="AB169" s="14">
        <v>0.158483226451993</v>
      </c>
      <c r="AC169" s="14">
        <v>0.111513348714467</v>
      </c>
      <c r="AD169" s="14">
        <v>0.13016915162777901</v>
      </c>
      <c r="AE169" s="14">
        <v>8.6348687060478005E-2</v>
      </c>
      <c r="AF169" s="14"/>
      <c r="AG169" s="14">
        <v>8.8337726673882094E-2</v>
      </c>
      <c r="AH169" s="14">
        <v>0.22498106659950301</v>
      </c>
      <c r="AI169" s="14"/>
      <c r="AJ169" s="14">
        <v>0.136094565271771</v>
      </c>
      <c r="AK169" s="14">
        <v>0.117074768269149</v>
      </c>
      <c r="AL169" s="14"/>
      <c r="AM169" s="14">
        <v>0.122243593513544</v>
      </c>
      <c r="AN169" s="14">
        <v>0.252032436903806</v>
      </c>
    </row>
    <row r="170" spans="2:40" x14ac:dyDescent="0.35">
      <c r="B170" t="s">
        <v>69</v>
      </c>
      <c r="C170" s="14">
        <v>0.17111370500933201</v>
      </c>
      <c r="D170" s="14">
        <v>0.144974437753977</v>
      </c>
      <c r="E170" s="14">
        <v>0.195139130426316</v>
      </c>
      <c r="F170" s="14"/>
      <c r="G170" s="14" t="s">
        <v>76</v>
      </c>
      <c r="H170" s="14" t="s">
        <v>76</v>
      </c>
      <c r="I170" s="14">
        <v>0.17111370500933201</v>
      </c>
      <c r="J170" s="14"/>
      <c r="K170" s="14" t="s">
        <v>76</v>
      </c>
      <c r="L170" s="14">
        <v>7.4104105673912499E-2</v>
      </c>
      <c r="M170" s="14">
        <v>0.35560029158425499</v>
      </c>
      <c r="N170" s="14"/>
      <c r="O170" s="14">
        <v>0.16931392675380699</v>
      </c>
      <c r="P170" s="14">
        <v>0.20210263860286601</v>
      </c>
      <c r="Q170" s="14"/>
      <c r="R170" s="14">
        <v>0.12766868496697401</v>
      </c>
      <c r="S170" s="14">
        <v>0.16151175457377401</v>
      </c>
      <c r="T170" s="14">
        <v>0.212891168474488</v>
      </c>
      <c r="U170" s="14">
        <v>0.14474392168444999</v>
      </c>
      <c r="V170" s="14">
        <v>0.31451405512101799</v>
      </c>
      <c r="W170" s="14">
        <v>0.16695025963271101</v>
      </c>
      <c r="X170" s="14">
        <v>0.162616253294392</v>
      </c>
      <c r="Y170" s="14">
        <v>0.108817443548234</v>
      </c>
      <c r="Z170" s="14">
        <v>0.16944858382719999</v>
      </c>
      <c r="AA170" s="14"/>
      <c r="AB170" s="14">
        <v>0.176103432870855</v>
      </c>
      <c r="AC170" s="14">
        <v>0.184670630714065</v>
      </c>
      <c r="AD170" s="14">
        <v>0.37969065802614999</v>
      </c>
      <c r="AE170" s="14">
        <v>0.37827894389522498</v>
      </c>
      <c r="AF170" s="14"/>
      <c r="AG170" s="14">
        <v>0.340455164477237</v>
      </c>
      <c r="AH170" s="14">
        <v>0.27683172215312501</v>
      </c>
      <c r="AI170" s="14"/>
      <c r="AJ170" s="14">
        <v>0.318218775438674</v>
      </c>
      <c r="AK170" s="14">
        <v>0.38770590220413997</v>
      </c>
      <c r="AL170" s="14"/>
      <c r="AM170" s="14">
        <v>0.121336433110773</v>
      </c>
      <c r="AN170" s="14">
        <v>0.251978613817324</v>
      </c>
    </row>
    <row r="171" spans="2:40" x14ac:dyDescent="0.35">
      <c r="B171" t="s">
        <v>70</v>
      </c>
      <c r="C171" s="14">
        <v>2.2473010608238101E-3</v>
      </c>
      <c r="D171" s="14">
        <v>0</v>
      </c>
      <c r="E171" s="14">
        <v>4.3220037870278496E-3</v>
      </c>
      <c r="F171" s="14"/>
      <c r="G171" s="14" t="s">
        <v>76</v>
      </c>
      <c r="H171" s="14" t="s">
        <v>76</v>
      </c>
      <c r="I171" s="14">
        <v>2.2473010608238101E-3</v>
      </c>
      <c r="J171" s="14"/>
      <c r="K171" s="14" t="s">
        <v>76</v>
      </c>
      <c r="L171" s="14">
        <v>3.4290117723938598E-3</v>
      </c>
      <c r="M171" s="14">
        <v>0</v>
      </c>
      <c r="N171" s="14"/>
      <c r="O171" s="14">
        <v>1.74023877850335E-3</v>
      </c>
      <c r="P171" s="14">
        <v>0</v>
      </c>
      <c r="Q171" s="14"/>
      <c r="R171" s="14">
        <v>4.9363093676079604E-3</v>
      </c>
      <c r="S171" s="14">
        <v>3.8745452068486598E-3</v>
      </c>
      <c r="T171" s="14">
        <v>0</v>
      </c>
      <c r="U171" s="14">
        <v>7.5167100289032403E-3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/>
      <c r="AB171" s="14">
        <v>0</v>
      </c>
      <c r="AC171" s="14">
        <v>7.7377123656767197E-3</v>
      </c>
      <c r="AD171" s="14">
        <v>0</v>
      </c>
      <c r="AE171" s="14">
        <v>0</v>
      </c>
      <c r="AF171" s="14"/>
      <c r="AG171" s="14">
        <v>0</v>
      </c>
      <c r="AH171" s="14">
        <v>0</v>
      </c>
      <c r="AI171" s="14"/>
      <c r="AJ171" s="14">
        <v>0</v>
      </c>
      <c r="AK171" s="14">
        <v>0</v>
      </c>
      <c r="AL171" s="14"/>
      <c r="AM171" s="14">
        <v>1.5921644042106999E-3</v>
      </c>
      <c r="AN171" s="14">
        <v>2.9115339120887999E-3</v>
      </c>
    </row>
    <row r="172" spans="2:40" x14ac:dyDescent="0.35"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</row>
    <row r="173" spans="2:40" x14ac:dyDescent="0.35">
      <c r="B173" s="6" t="s">
        <v>84</v>
      </c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</row>
    <row r="174" spans="2:40" x14ac:dyDescent="0.35">
      <c r="B174" s="24" t="s">
        <v>74</v>
      </c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</row>
    <row r="175" spans="2:40" x14ac:dyDescent="0.35">
      <c r="B175" t="s">
        <v>65</v>
      </c>
      <c r="C175" s="14">
        <v>0.26785184039580001</v>
      </c>
      <c r="D175" s="14">
        <v>0.19210998813871699</v>
      </c>
      <c r="E175" s="14">
        <v>0.336763484234753</v>
      </c>
      <c r="F175" s="14"/>
      <c r="G175" s="14" t="s">
        <v>76</v>
      </c>
      <c r="H175" s="14" t="s">
        <v>76</v>
      </c>
      <c r="I175" s="14">
        <v>0.26785184039580001</v>
      </c>
      <c r="J175" s="14"/>
      <c r="K175" s="14" t="s">
        <v>76</v>
      </c>
      <c r="L175" s="14">
        <v>0.30761329396769999</v>
      </c>
      <c r="M175" s="14">
        <v>0.19223607765695999</v>
      </c>
      <c r="N175" s="14"/>
      <c r="O175" s="14">
        <v>0.266996646952533</v>
      </c>
      <c r="P175" s="14">
        <v>0.24342246604260201</v>
      </c>
      <c r="Q175" s="14"/>
      <c r="R175" s="14">
        <v>0.28291871377399402</v>
      </c>
      <c r="S175" s="14">
        <v>0.237174921384667</v>
      </c>
      <c r="T175" s="14">
        <v>0.29337336803366998</v>
      </c>
      <c r="U175" s="14">
        <v>0.19512334625348099</v>
      </c>
      <c r="V175" s="14">
        <v>0.27884322858918797</v>
      </c>
      <c r="W175" s="14">
        <v>0.32742752529126401</v>
      </c>
      <c r="X175" s="14">
        <v>0.25568052361044502</v>
      </c>
      <c r="Y175" s="14">
        <v>0.33812912677082002</v>
      </c>
      <c r="Z175" s="14">
        <v>0.25769324005609201</v>
      </c>
      <c r="AA175" s="14"/>
      <c r="AB175" s="14">
        <v>0.29829551496473999</v>
      </c>
      <c r="AC175" s="14">
        <v>0.193465377155837</v>
      </c>
      <c r="AD175" s="14">
        <v>0.19902966262046301</v>
      </c>
      <c r="AE175" s="14">
        <v>0.126258181604082</v>
      </c>
      <c r="AF175" s="14"/>
      <c r="AG175" s="14">
        <v>0.22760739199299701</v>
      </c>
      <c r="AH175" s="14">
        <v>0.188733760710941</v>
      </c>
      <c r="AI175" s="14"/>
      <c r="AJ175" s="14">
        <v>0.21402106033672</v>
      </c>
      <c r="AK175" s="14">
        <v>0.15672282332147799</v>
      </c>
      <c r="AL175" s="14"/>
      <c r="AM175" s="14">
        <v>0.25797558683197302</v>
      </c>
      <c r="AN175" s="14">
        <v>0.27560133747318899</v>
      </c>
    </row>
    <row r="176" spans="2:40" x14ac:dyDescent="0.35">
      <c r="B176" t="s">
        <v>66</v>
      </c>
      <c r="C176" s="14">
        <v>0.22663626601564599</v>
      </c>
      <c r="D176" s="14">
        <v>0.23551877784905101</v>
      </c>
      <c r="E176" s="14">
        <v>0.21746443563703699</v>
      </c>
      <c r="F176" s="14"/>
      <c r="G176" s="14" t="s">
        <v>76</v>
      </c>
      <c r="H176" s="14" t="s">
        <v>76</v>
      </c>
      <c r="I176" s="14">
        <v>0.22663626601564599</v>
      </c>
      <c r="J176" s="14"/>
      <c r="K176" s="14" t="s">
        <v>76</v>
      </c>
      <c r="L176" s="14">
        <v>0.26123265769541398</v>
      </c>
      <c r="M176" s="14">
        <v>0.160843084180709</v>
      </c>
      <c r="N176" s="14"/>
      <c r="O176" s="14">
        <v>0.22334133326886499</v>
      </c>
      <c r="P176" s="14">
        <v>0.26809623725191201</v>
      </c>
      <c r="Q176" s="14"/>
      <c r="R176" s="14">
        <v>0.234601854728586</v>
      </c>
      <c r="S176" s="14">
        <v>0.23193528163594099</v>
      </c>
      <c r="T176" s="14">
        <v>0.238125430000273</v>
      </c>
      <c r="U176" s="14">
        <v>0.230805572246496</v>
      </c>
      <c r="V176" s="14">
        <v>0.22135860365200699</v>
      </c>
      <c r="W176" s="14">
        <v>0.232929754790455</v>
      </c>
      <c r="X176" s="14">
        <v>0.17197829241814999</v>
      </c>
      <c r="Y176" s="14">
        <v>0.26757555878338601</v>
      </c>
      <c r="Z176" s="14">
        <v>0.219835961266313</v>
      </c>
      <c r="AA176" s="14"/>
      <c r="AB176" s="14">
        <v>0.225133450101445</v>
      </c>
      <c r="AC176" s="14">
        <v>0.24984461889237899</v>
      </c>
      <c r="AD176" s="14">
        <v>0.15180546519749399</v>
      </c>
      <c r="AE176" s="14">
        <v>0.184883878153939</v>
      </c>
      <c r="AF176" s="14"/>
      <c r="AG176" s="14">
        <v>0.14013015061679401</v>
      </c>
      <c r="AH176" s="14">
        <v>0.12825333812424899</v>
      </c>
      <c r="AI176" s="14"/>
      <c r="AJ176" s="14">
        <v>0.13597920540737099</v>
      </c>
      <c r="AK176" s="14">
        <v>0.184899083876647</v>
      </c>
      <c r="AL176" s="14"/>
      <c r="AM176" s="14">
        <v>0.25471975918237899</v>
      </c>
      <c r="AN176" s="14">
        <v>0.17392102821013899</v>
      </c>
    </row>
    <row r="177" spans="2:40" x14ac:dyDescent="0.35">
      <c r="B177" t="s">
        <v>67</v>
      </c>
      <c r="C177" s="14">
        <v>0.22051729399875</v>
      </c>
      <c r="D177" s="14">
        <v>0.23310200627310301</v>
      </c>
      <c r="E177" s="14">
        <v>0.20937305653802399</v>
      </c>
      <c r="F177" s="14"/>
      <c r="G177" s="14" t="s">
        <v>76</v>
      </c>
      <c r="H177" s="14" t="s">
        <v>76</v>
      </c>
      <c r="I177" s="14">
        <v>0.22051729399875</v>
      </c>
      <c r="J177" s="14"/>
      <c r="K177" s="14" t="s">
        <v>76</v>
      </c>
      <c r="L177" s="14">
        <v>0.226533400875051</v>
      </c>
      <c r="M177" s="14">
        <v>0.20907625074445099</v>
      </c>
      <c r="N177" s="14"/>
      <c r="O177" s="14">
        <v>0.21793288406944999</v>
      </c>
      <c r="P177" s="14">
        <v>0.230703221408183</v>
      </c>
      <c r="Q177" s="14"/>
      <c r="R177" s="14">
        <v>0.21979328280990901</v>
      </c>
      <c r="S177" s="14">
        <v>0.23478012868930501</v>
      </c>
      <c r="T177" s="14">
        <v>0.17105684870086499</v>
      </c>
      <c r="U177" s="14">
        <v>0.22613340067441701</v>
      </c>
      <c r="V177" s="14">
        <v>0.11784105208062499</v>
      </c>
      <c r="W177" s="14">
        <v>0.19000263842485199</v>
      </c>
      <c r="X177" s="14">
        <v>0.30583580089193702</v>
      </c>
      <c r="Y177" s="14">
        <v>0.22713594458398501</v>
      </c>
      <c r="Z177" s="14">
        <v>0.25801798252223301</v>
      </c>
      <c r="AA177" s="14"/>
      <c r="AB177" s="14">
        <v>0.18974107417685501</v>
      </c>
      <c r="AC177" s="14">
        <v>0.193129606441198</v>
      </c>
      <c r="AD177" s="14">
        <v>0.23153929838661799</v>
      </c>
      <c r="AE177" s="14">
        <v>0.193479266977472</v>
      </c>
      <c r="AF177" s="14"/>
      <c r="AG177" s="14">
        <v>0.16129302069196699</v>
      </c>
      <c r="AH177" s="14">
        <v>0.28264758950039498</v>
      </c>
      <c r="AI177" s="14"/>
      <c r="AJ177" s="14">
        <v>0.203706434758508</v>
      </c>
      <c r="AK177" s="14">
        <v>0.23408369379038599</v>
      </c>
      <c r="AL177" s="14"/>
      <c r="AM177" s="14">
        <v>0.224128020590983</v>
      </c>
      <c r="AN177" s="14">
        <v>0.21965876569978901</v>
      </c>
    </row>
    <row r="178" spans="2:40" x14ac:dyDescent="0.35">
      <c r="B178" t="s">
        <v>68</v>
      </c>
      <c r="C178" s="14">
        <v>0.10672613735967799</v>
      </c>
      <c r="D178" s="14">
        <v>0.165295956977803</v>
      </c>
      <c r="E178" s="14">
        <v>5.40302061399347E-2</v>
      </c>
      <c r="F178" s="14"/>
      <c r="G178" s="14" t="s">
        <v>76</v>
      </c>
      <c r="H178" s="14" t="s">
        <v>76</v>
      </c>
      <c r="I178" s="14">
        <v>0.10672613735967799</v>
      </c>
      <c r="J178" s="14"/>
      <c r="K178" s="14" t="s">
        <v>76</v>
      </c>
      <c r="L178" s="14">
        <v>0.108201760847656</v>
      </c>
      <c r="M178" s="14">
        <v>0.10391989197539001</v>
      </c>
      <c r="N178" s="14"/>
      <c r="O178" s="14">
        <v>0.11321991253272</v>
      </c>
      <c r="P178" s="14">
        <v>5.8367700398104301E-2</v>
      </c>
      <c r="Q178" s="14"/>
      <c r="R178" s="14">
        <v>8.9501643727939798E-2</v>
      </c>
      <c r="S178" s="14">
        <v>0.112256915319482</v>
      </c>
      <c r="T178" s="14">
        <v>0.100152483623601</v>
      </c>
      <c r="U178" s="14">
        <v>0.17912617476474901</v>
      </c>
      <c r="V178" s="14">
        <v>0.11484551109010201</v>
      </c>
      <c r="W178" s="14">
        <v>9.1587150586090793E-2</v>
      </c>
      <c r="X178" s="14">
        <v>6.5824343700019897E-2</v>
      </c>
      <c r="Y178" s="14">
        <v>8.9783550980369803E-2</v>
      </c>
      <c r="Z178" s="14">
        <v>0.109029837574237</v>
      </c>
      <c r="AA178" s="14"/>
      <c r="AB178" s="14">
        <v>9.9434893521836307E-2</v>
      </c>
      <c r="AC178" s="14">
        <v>0.110332034154015</v>
      </c>
      <c r="AD178" s="14">
        <v>6.7508787887306104E-2</v>
      </c>
      <c r="AE178" s="14">
        <v>0.128353832731842</v>
      </c>
      <c r="AF178" s="14"/>
      <c r="AG178" s="14">
        <v>0.118666829899038</v>
      </c>
      <c r="AH178" s="14">
        <v>0.11381599690786599</v>
      </c>
      <c r="AI178" s="14"/>
      <c r="AJ178" s="14">
        <v>0.11697146407769</v>
      </c>
      <c r="AK178" s="14">
        <v>8.7422560262507804E-2</v>
      </c>
      <c r="AL178" s="14"/>
      <c r="AM178" s="14">
        <v>0.11711011759041</v>
      </c>
      <c r="AN178" s="14">
        <v>0.10562389808766701</v>
      </c>
    </row>
    <row r="179" spans="2:40" x14ac:dyDescent="0.35">
      <c r="B179" t="s">
        <v>69</v>
      </c>
      <c r="C179" s="14">
        <v>0.17665385192618799</v>
      </c>
      <c r="D179" s="14">
        <v>0.17057913218273599</v>
      </c>
      <c r="E179" s="14">
        <v>0.18236881745025099</v>
      </c>
      <c r="F179" s="14"/>
      <c r="G179" s="14" t="s">
        <v>76</v>
      </c>
      <c r="H179" s="14" t="s">
        <v>76</v>
      </c>
      <c r="I179" s="14">
        <v>0.17665385192618799</v>
      </c>
      <c r="J179" s="14"/>
      <c r="K179" s="14" t="s">
        <v>76</v>
      </c>
      <c r="L179" s="14">
        <v>9.64188866141788E-2</v>
      </c>
      <c r="M179" s="14">
        <v>0.329239523609972</v>
      </c>
      <c r="N179" s="14"/>
      <c r="O179" s="14">
        <v>0.17657059433899999</v>
      </c>
      <c r="P179" s="14">
        <v>0.19941037489919899</v>
      </c>
      <c r="Q179" s="14"/>
      <c r="R179" s="14">
        <v>0.173184504959571</v>
      </c>
      <c r="S179" s="14">
        <v>0.18385275297060399</v>
      </c>
      <c r="T179" s="14">
        <v>0.19729186964159201</v>
      </c>
      <c r="U179" s="14">
        <v>0.16881150606085699</v>
      </c>
      <c r="V179" s="14">
        <v>0.24852367760736499</v>
      </c>
      <c r="W179" s="14">
        <v>0.15805293090733799</v>
      </c>
      <c r="X179" s="14">
        <v>0.20068103937944901</v>
      </c>
      <c r="Y179" s="14">
        <v>7.7375818881439601E-2</v>
      </c>
      <c r="Z179" s="14">
        <v>0.155422978581125</v>
      </c>
      <c r="AA179" s="14"/>
      <c r="AB179" s="14">
        <v>0.187395067235124</v>
      </c>
      <c r="AC179" s="14">
        <v>0.25322836335657101</v>
      </c>
      <c r="AD179" s="14">
        <v>0.35011678590812001</v>
      </c>
      <c r="AE179" s="14">
        <v>0.35397783734982902</v>
      </c>
      <c r="AF179" s="14"/>
      <c r="AG179" s="14">
        <v>0.33663837027621102</v>
      </c>
      <c r="AH179" s="14">
        <v>0.28654931475654899</v>
      </c>
      <c r="AI179" s="14"/>
      <c r="AJ179" s="14">
        <v>0.319132248563471</v>
      </c>
      <c r="AK179" s="14">
        <v>0.33687183874898102</v>
      </c>
      <c r="AL179" s="14"/>
      <c r="AM179" s="14">
        <v>0.14283095816972</v>
      </c>
      <c r="AN179" s="14">
        <v>0.225194970529216</v>
      </c>
    </row>
    <row r="180" spans="2:40" x14ac:dyDescent="0.35">
      <c r="B180" t="s">
        <v>70</v>
      </c>
      <c r="C180" s="14">
        <v>1.6146103039384001E-3</v>
      </c>
      <c r="D180" s="14">
        <v>3.3941385785894499E-3</v>
      </c>
      <c r="E180" s="14">
        <v>0</v>
      </c>
      <c r="F180" s="14"/>
      <c r="G180" s="14" t="s">
        <v>76</v>
      </c>
      <c r="H180" s="14" t="s">
        <v>76</v>
      </c>
      <c r="I180" s="14">
        <v>1.6146103039384001E-3</v>
      </c>
      <c r="J180" s="14"/>
      <c r="K180" s="14" t="s">
        <v>76</v>
      </c>
      <c r="L180" s="14">
        <v>0</v>
      </c>
      <c r="M180" s="14">
        <v>4.6851718325183296E-3</v>
      </c>
      <c r="N180" s="14"/>
      <c r="O180" s="14">
        <v>1.93862883743233E-3</v>
      </c>
      <c r="P180" s="14">
        <v>0</v>
      </c>
      <c r="Q180" s="14"/>
      <c r="R180" s="14">
        <v>0</v>
      </c>
      <c r="S180" s="14">
        <v>0</v>
      </c>
      <c r="T180" s="14">
        <v>0</v>
      </c>
      <c r="U180" s="14">
        <v>0</v>
      </c>
      <c r="V180" s="14">
        <v>1.8587926980714101E-2</v>
      </c>
      <c r="W180" s="14">
        <v>0</v>
      </c>
      <c r="X180" s="14">
        <v>0</v>
      </c>
      <c r="Y180" s="14">
        <v>0</v>
      </c>
      <c r="Z180" s="14">
        <v>0</v>
      </c>
      <c r="AA180" s="14"/>
      <c r="AB180" s="14">
        <v>0</v>
      </c>
      <c r="AC180" s="14">
        <v>0</v>
      </c>
      <c r="AD180" s="14">
        <v>0</v>
      </c>
      <c r="AE180" s="14">
        <v>1.30470031828364E-2</v>
      </c>
      <c r="AF180" s="14"/>
      <c r="AG180" s="14">
        <v>1.5664236522992599E-2</v>
      </c>
      <c r="AH180" s="14">
        <v>0</v>
      </c>
      <c r="AI180" s="14"/>
      <c r="AJ180" s="14">
        <v>1.01895868562403E-2</v>
      </c>
      <c r="AK180" s="14">
        <v>0</v>
      </c>
      <c r="AL180" s="14"/>
      <c r="AM180" s="14">
        <v>3.2355576345357699E-3</v>
      </c>
      <c r="AN180" s="14">
        <v>0</v>
      </c>
    </row>
    <row r="181" spans="2:40" x14ac:dyDescent="0.35"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</row>
    <row r="182" spans="2:40" x14ac:dyDescent="0.35">
      <c r="B182" s="6" t="s">
        <v>85</v>
      </c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</row>
    <row r="183" spans="2:40" x14ac:dyDescent="0.35">
      <c r="B183" s="24" t="s">
        <v>74</v>
      </c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</row>
    <row r="184" spans="2:40" x14ac:dyDescent="0.35">
      <c r="B184" t="s">
        <v>65</v>
      </c>
      <c r="C184" s="14">
        <v>0.13058230098813101</v>
      </c>
      <c r="D184" s="14">
        <v>0.113626371576263</v>
      </c>
      <c r="E184" s="14">
        <v>0.145807423345205</v>
      </c>
      <c r="F184" s="14"/>
      <c r="G184" s="14" t="s">
        <v>76</v>
      </c>
      <c r="H184" s="14" t="s">
        <v>76</v>
      </c>
      <c r="I184" s="14">
        <v>0.13058230098813101</v>
      </c>
      <c r="J184" s="14"/>
      <c r="K184" s="14" t="s">
        <v>76</v>
      </c>
      <c r="L184" s="14">
        <v>0.15098639508484801</v>
      </c>
      <c r="M184" s="14">
        <v>9.1779113490762704E-2</v>
      </c>
      <c r="N184" s="14"/>
      <c r="O184" s="14">
        <v>0.116793284662253</v>
      </c>
      <c r="P184" s="14">
        <v>0.22113543787693299</v>
      </c>
      <c r="Q184" s="14"/>
      <c r="R184" s="14">
        <v>0.16793347734035399</v>
      </c>
      <c r="S184" s="14">
        <v>0.138513435024015</v>
      </c>
      <c r="T184" s="14">
        <v>0.13598478794508201</v>
      </c>
      <c r="U184" s="14">
        <v>9.7453890686049399E-2</v>
      </c>
      <c r="V184" s="14">
        <v>0.121949880107405</v>
      </c>
      <c r="W184" s="14">
        <v>7.6530176533070704E-2</v>
      </c>
      <c r="X184" s="14">
        <v>0.14344566575162099</v>
      </c>
      <c r="Y184" s="14">
        <v>0.106508203361919</v>
      </c>
      <c r="Z184" s="14">
        <v>0.144158412084364</v>
      </c>
      <c r="AA184" s="14"/>
      <c r="AB184" s="14">
        <v>0.13157207013365099</v>
      </c>
      <c r="AC184" s="14">
        <v>0.179022344718438</v>
      </c>
      <c r="AD184" s="14">
        <v>5.6164651053593202E-2</v>
      </c>
      <c r="AE184" s="14">
        <v>0.13331530704900901</v>
      </c>
      <c r="AF184" s="14"/>
      <c r="AG184" s="14">
        <v>0.13758779282019901</v>
      </c>
      <c r="AH184" s="14">
        <v>5.7436565138813601E-2</v>
      </c>
      <c r="AI184" s="14"/>
      <c r="AJ184" s="14">
        <v>0.109574943852323</v>
      </c>
      <c r="AK184" s="14">
        <v>5.7976139165423803E-2</v>
      </c>
      <c r="AL184" s="14"/>
      <c r="AM184" s="14">
        <v>0.181321106241604</v>
      </c>
      <c r="AN184" s="14">
        <v>7.5458759459388805E-2</v>
      </c>
    </row>
    <row r="185" spans="2:40" x14ac:dyDescent="0.35">
      <c r="B185" t="s">
        <v>66</v>
      </c>
      <c r="C185" s="14">
        <v>0.221269795110874</v>
      </c>
      <c r="D185" s="14">
        <v>0.215341831077832</v>
      </c>
      <c r="E185" s="14">
        <v>0.22853453449011199</v>
      </c>
      <c r="F185" s="14"/>
      <c r="G185" s="14" t="s">
        <v>76</v>
      </c>
      <c r="H185" s="14" t="s">
        <v>76</v>
      </c>
      <c r="I185" s="14">
        <v>0.221269795110874</v>
      </c>
      <c r="J185" s="14"/>
      <c r="K185" s="14" t="s">
        <v>76</v>
      </c>
      <c r="L185" s="14">
        <v>0.26169210897761502</v>
      </c>
      <c r="M185" s="14">
        <v>0.14439725097273401</v>
      </c>
      <c r="N185" s="14"/>
      <c r="O185" s="14">
        <v>0.21493179575212901</v>
      </c>
      <c r="P185" s="14">
        <v>0.25790390468511998</v>
      </c>
      <c r="Q185" s="14"/>
      <c r="R185" s="14">
        <v>0.30999066105590001</v>
      </c>
      <c r="S185" s="14">
        <v>0.19956405300881699</v>
      </c>
      <c r="T185" s="14">
        <v>0.23087776164444401</v>
      </c>
      <c r="U185" s="14">
        <v>0.25193567167209102</v>
      </c>
      <c r="V185" s="14">
        <v>0.19954534570294799</v>
      </c>
      <c r="W185" s="14">
        <v>0.203439578455341</v>
      </c>
      <c r="X185" s="14">
        <v>0.16618231442416401</v>
      </c>
      <c r="Y185" s="14">
        <v>0.16558879754160899</v>
      </c>
      <c r="Z185" s="14">
        <v>0.20053185304314</v>
      </c>
      <c r="AA185" s="14"/>
      <c r="AB185" s="14">
        <v>0.237179900762264</v>
      </c>
      <c r="AC185" s="14">
        <v>0.26001637413590301</v>
      </c>
      <c r="AD185" s="14">
        <v>0.148383235611529</v>
      </c>
      <c r="AE185" s="14">
        <v>0.14142470187053199</v>
      </c>
      <c r="AF185" s="14"/>
      <c r="AG185" s="14">
        <v>0.19363255935399301</v>
      </c>
      <c r="AH185" s="14">
        <v>0.102209532398782</v>
      </c>
      <c r="AI185" s="14"/>
      <c r="AJ185" s="14">
        <v>0.16168021725808801</v>
      </c>
      <c r="AK185" s="14">
        <v>0.141885887616125</v>
      </c>
      <c r="AL185" s="14"/>
      <c r="AM185" s="14">
        <v>0.24497420249598201</v>
      </c>
      <c r="AN185" s="14">
        <v>0.17447159442353799</v>
      </c>
    </row>
    <row r="186" spans="2:40" x14ac:dyDescent="0.35">
      <c r="B186" t="s">
        <v>67</v>
      </c>
      <c r="C186" s="14">
        <v>0.23035145213927799</v>
      </c>
      <c r="D186" s="14">
        <v>0.21449242788699999</v>
      </c>
      <c r="E186" s="14">
        <v>0.245539822696207</v>
      </c>
      <c r="F186" s="14"/>
      <c r="G186" s="14" t="s">
        <v>76</v>
      </c>
      <c r="H186" s="14" t="s">
        <v>76</v>
      </c>
      <c r="I186" s="14">
        <v>0.23035145213927799</v>
      </c>
      <c r="J186" s="14"/>
      <c r="K186" s="14" t="s">
        <v>76</v>
      </c>
      <c r="L186" s="14">
        <v>0.25966921954455702</v>
      </c>
      <c r="M186" s="14">
        <v>0.17459681680781899</v>
      </c>
      <c r="N186" s="14"/>
      <c r="O186" s="14">
        <v>0.231115319314975</v>
      </c>
      <c r="P186" s="14">
        <v>0.22872666815097001</v>
      </c>
      <c r="Q186" s="14"/>
      <c r="R186" s="14">
        <v>0.25442240443721598</v>
      </c>
      <c r="S186" s="14">
        <v>0.19943018936988999</v>
      </c>
      <c r="T186" s="14">
        <v>0.18925958535429599</v>
      </c>
      <c r="U186" s="14">
        <v>0.18526437124154599</v>
      </c>
      <c r="V186" s="14">
        <v>0.20555080993201599</v>
      </c>
      <c r="W186" s="14">
        <v>0.25154773410681802</v>
      </c>
      <c r="X186" s="14">
        <v>0.25651509597782002</v>
      </c>
      <c r="Y186" s="14">
        <v>0.32534382035501203</v>
      </c>
      <c r="Z186" s="14">
        <v>0.246876592351675</v>
      </c>
      <c r="AA186" s="14"/>
      <c r="AB186" s="14">
        <v>0.235117116755613</v>
      </c>
      <c r="AC186" s="14">
        <v>0.29269968673241997</v>
      </c>
      <c r="AD186" s="14">
        <v>0.161964823549061</v>
      </c>
      <c r="AE186" s="14">
        <v>0.18847299517877</v>
      </c>
      <c r="AF186" s="14"/>
      <c r="AG186" s="14">
        <v>0.14818253829736</v>
      </c>
      <c r="AH186" s="14">
        <v>0.176575827597347</v>
      </c>
      <c r="AI186" s="14"/>
      <c r="AJ186" s="14">
        <v>0.15810599109865101</v>
      </c>
      <c r="AK186" s="14">
        <v>0.19060443467948199</v>
      </c>
      <c r="AL186" s="14"/>
      <c r="AM186" s="14">
        <v>0.23939384313692399</v>
      </c>
      <c r="AN186" s="14">
        <v>0.17466365709815199</v>
      </c>
    </row>
    <row r="187" spans="2:40" x14ac:dyDescent="0.35">
      <c r="B187" t="s">
        <v>68</v>
      </c>
      <c r="C187" s="14">
        <v>0.25601262428068799</v>
      </c>
      <c r="D187" s="14">
        <v>0.296494577999658</v>
      </c>
      <c r="E187" s="14">
        <v>0.21817570389575699</v>
      </c>
      <c r="F187" s="14"/>
      <c r="G187" s="14" t="s">
        <v>76</v>
      </c>
      <c r="H187" s="14" t="s">
        <v>76</v>
      </c>
      <c r="I187" s="14">
        <v>0.25601262428068799</v>
      </c>
      <c r="J187" s="14"/>
      <c r="K187" s="14" t="s">
        <v>76</v>
      </c>
      <c r="L187" s="14">
        <v>0.26652355434043401</v>
      </c>
      <c r="M187" s="14">
        <v>0.23602361678313699</v>
      </c>
      <c r="N187" s="14"/>
      <c r="O187" s="14">
        <v>0.270128336513967</v>
      </c>
      <c r="P187" s="14">
        <v>0.14822691920080899</v>
      </c>
      <c r="Q187" s="14"/>
      <c r="R187" s="14">
        <v>0.16580706470876699</v>
      </c>
      <c r="S187" s="14">
        <v>0.28296925551292201</v>
      </c>
      <c r="T187" s="14">
        <v>0.21259375641734801</v>
      </c>
      <c r="U187" s="14">
        <v>0.31517758989515299</v>
      </c>
      <c r="V187" s="14">
        <v>0.1826999535928</v>
      </c>
      <c r="W187" s="14">
        <v>0.243078162487185</v>
      </c>
      <c r="X187" s="14">
        <v>0.34807239619423702</v>
      </c>
      <c r="Y187" s="14">
        <v>0.35510636650298999</v>
      </c>
      <c r="Z187" s="14">
        <v>0.26473892612883598</v>
      </c>
      <c r="AA187" s="14"/>
      <c r="AB187" s="14">
        <v>0.27125200448266801</v>
      </c>
      <c r="AC187" s="14">
        <v>0.19084693521174101</v>
      </c>
      <c r="AD187" s="14">
        <v>0.245667630830951</v>
      </c>
      <c r="AE187" s="14">
        <v>0.20613832886543601</v>
      </c>
      <c r="AF187" s="14"/>
      <c r="AG187" s="14">
        <v>0.17335539215895701</v>
      </c>
      <c r="AH187" s="14">
        <v>0.32822501503323398</v>
      </c>
      <c r="AI187" s="14"/>
      <c r="AJ187" s="14">
        <v>0.22748231548612899</v>
      </c>
      <c r="AK187" s="14">
        <v>0.247237745593231</v>
      </c>
      <c r="AL187" s="14"/>
      <c r="AM187" s="14">
        <v>0.22944804422002599</v>
      </c>
      <c r="AN187" s="14">
        <v>0.310793952820754</v>
      </c>
    </row>
    <row r="188" spans="2:40" x14ac:dyDescent="0.35">
      <c r="B188" t="s">
        <v>69</v>
      </c>
      <c r="C188" s="14">
        <v>0.15974035590587701</v>
      </c>
      <c r="D188" s="14">
        <v>0.155749126003284</v>
      </c>
      <c r="E188" s="14">
        <v>0.16194251557271999</v>
      </c>
      <c r="F188" s="14"/>
      <c r="G188" s="14" t="s">
        <v>76</v>
      </c>
      <c r="H188" s="14" t="s">
        <v>76</v>
      </c>
      <c r="I188" s="14">
        <v>0.15974035590587701</v>
      </c>
      <c r="J188" s="14"/>
      <c r="K188" s="14" t="s">
        <v>76</v>
      </c>
      <c r="L188" s="14">
        <v>5.9974391723447797E-2</v>
      </c>
      <c r="M188" s="14">
        <v>0.34946881901120103</v>
      </c>
      <c r="N188" s="14"/>
      <c r="O188" s="14">
        <v>0.16612292188095201</v>
      </c>
      <c r="P188" s="14">
        <v>0.134938292851735</v>
      </c>
      <c r="Q188" s="14"/>
      <c r="R188" s="14">
        <v>0.101846392457763</v>
      </c>
      <c r="S188" s="14">
        <v>0.179523067084357</v>
      </c>
      <c r="T188" s="14">
        <v>0.23128410863883</v>
      </c>
      <c r="U188" s="14">
        <v>0.14304175838605401</v>
      </c>
      <c r="V188" s="14">
        <v>0.29025401066483197</v>
      </c>
      <c r="W188" s="14">
        <v>0.225404348417586</v>
      </c>
      <c r="X188" s="14">
        <v>8.5784527652157994E-2</v>
      </c>
      <c r="Y188" s="14">
        <v>4.7452812238469401E-2</v>
      </c>
      <c r="Z188" s="14">
        <v>0.13436977873139699</v>
      </c>
      <c r="AA188" s="14"/>
      <c r="AB188" s="14">
        <v>0.12487890786580499</v>
      </c>
      <c r="AC188" s="14">
        <v>7.7414659201497996E-2</v>
      </c>
      <c r="AD188" s="14">
        <v>0.38781965895486598</v>
      </c>
      <c r="AE188" s="14">
        <v>0.32024936733667803</v>
      </c>
      <c r="AF188" s="14"/>
      <c r="AG188" s="14">
        <v>0.33475631456205501</v>
      </c>
      <c r="AH188" s="14">
        <v>0.33555305983182299</v>
      </c>
      <c r="AI188" s="14"/>
      <c r="AJ188" s="14">
        <v>0.33503477698307499</v>
      </c>
      <c r="AK188" s="14">
        <v>0.36229579294573799</v>
      </c>
      <c r="AL188" s="14"/>
      <c r="AM188" s="14">
        <v>0.10228385661272101</v>
      </c>
      <c r="AN188" s="14">
        <v>0.26461203619816698</v>
      </c>
    </row>
    <row r="189" spans="2:40" x14ac:dyDescent="0.35">
      <c r="B189" t="s">
        <v>70</v>
      </c>
      <c r="C189" s="14">
        <v>2.0434715751507801E-3</v>
      </c>
      <c r="D189" s="14">
        <v>4.2956654559630804E-3</v>
      </c>
      <c r="E189" s="14">
        <v>0</v>
      </c>
      <c r="F189" s="14"/>
      <c r="G189" s="14" t="s">
        <v>76</v>
      </c>
      <c r="H189" s="14" t="s">
        <v>76</v>
      </c>
      <c r="I189" s="14">
        <v>2.0434715751507801E-3</v>
      </c>
      <c r="J189" s="14"/>
      <c r="K189" s="14" t="s">
        <v>76</v>
      </c>
      <c r="L189" s="14">
        <v>1.1543303290972801E-3</v>
      </c>
      <c r="M189" s="14">
        <v>3.73438293434751E-3</v>
      </c>
      <c r="N189" s="14"/>
      <c r="O189" s="14">
        <v>9.0834187572333305E-4</v>
      </c>
      <c r="P189" s="14">
        <v>9.0687772344334797E-3</v>
      </c>
      <c r="Q189" s="14"/>
      <c r="R189" s="14">
        <v>0</v>
      </c>
      <c r="S189" s="14">
        <v>0</v>
      </c>
      <c r="T189" s="14">
        <v>0</v>
      </c>
      <c r="U189" s="14">
        <v>7.1267181191059202E-3</v>
      </c>
      <c r="V189" s="14">
        <v>0</v>
      </c>
      <c r="W189" s="14">
        <v>0</v>
      </c>
      <c r="X189" s="14">
        <v>0</v>
      </c>
      <c r="Y189" s="14">
        <v>0</v>
      </c>
      <c r="Z189" s="14">
        <v>9.3244376605887795E-3</v>
      </c>
      <c r="AA189" s="14"/>
      <c r="AB189" s="14">
        <v>0</v>
      </c>
      <c r="AC189" s="14">
        <v>0</v>
      </c>
      <c r="AD189" s="14">
        <v>0</v>
      </c>
      <c r="AE189" s="14">
        <v>1.03992996995743E-2</v>
      </c>
      <c r="AF189" s="14"/>
      <c r="AG189" s="14">
        <v>1.24854028074364E-2</v>
      </c>
      <c r="AH189" s="14">
        <v>0</v>
      </c>
      <c r="AI189" s="14"/>
      <c r="AJ189" s="14">
        <v>8.1217553217343297E-3</v>
      </c>
      <c r="AK189" s="14">
        <v>0</v>
      </c>
      <c r="AL189" s="14"/>
      <c r="AM189" s="14">
        <v>2.5789472927428502E-3</v>
      </c>
      <c r="AN189" s="14">
        <v>0</v>
      </c>
    </row>
    <row r="190" spans="2:40" x14ac:dyDescent="0.35"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</row>
    <row r="191" spans="2:40" x14ac:dyDescent="0.35">
      <c r="B191" s="6" t="s">
        <v>102</v>
      </c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</row>
    <row r="192" spans="2:40" x14ac:dyDescent="0.35">
      <c r="B192" s="24" t="s">
        <v>89</v>
      </c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</row>
    <row r="193" spans="2:40" x14ac:dyDescent="0.35">
      <c r="B193" t="s">
        <v>93</v>
      </c>
      <c r="C193" s="14">
        <v>0.66516949682737903</v>
      </c>
      <c r="D193" s="14">
        <v>0.66665197156404798</v>
      </c>
      <c r="E193" s="14">
        <v>0.66638416305651604</v>
      </c>
      <c r="F193" s="14"/>
      <c r="G193" s="14">
        <v>0.64710771883390905</v>
      </c>
      <c r="H193" s="14">
        <v>0.68716005829569804</v>
      </c>
      <c r="I193" s="14" t="s">
        <v>76</v>
      </c>
      <c r="J193" s="14"/>
      <c r="K193" s="14">
        <v>0.66516949682737903</v>
      </c>
      <c r="L193" s="14" t="s">
        <v>76</v>
      </c>
      <c r="M193" s="14" t="s">
        <v>76</v>
      </c>
      <c r="N193" s="14"/>
      <c r="O193" s="14">
        <v>0.67683417652504796</v>
      </c>
      <c r="P193" s="14">
        <v>0.59313224682272003</v>
      </c>
      <c r="Q193" s="14"/>
      <c r="R193" s="14">
        <v>0.632046561620907</v>
      </c>
      <c r="S193" s="14">
        <v>0.75634186846157203</v>
      </c>
      <c r="T193" s="14">
        <v>0.71728843923327101</v>
      </c>
      <c r="U193" s="14">
        <v>0.66382162309467596</v>
      </c>
      <c r="V193" s="14">
        <v>0.67476642778429496</v>
      </c>
      <c r="W193" s="14">
        <v>0.62899592861656095</v>
      </c>
      <c r="X193" s="14">
        <v>0.59849835748195102</v>
      </c>
      <c r="Y193" s="14">
        <v>0.64483874645289396</v>
      </c>
      <c r="Z193" s="14">
        <v>0.63857021202950104</v>
      </c>
      <c r="AA193" s="14"/>
      <c r="AB193" s="14" t="s">
        <v>76</v>
      </c>
      <c r="AC193" s="14" t="s">
        <v>76</v>
      </c>
      <c r="AD193" s="14" t="s">
        <v>76</v>
      </c>
      <c r="AE193" s="14" t="s">
        <v>76</v>
      </c>
      <c r="AF193" s="14"/>
      <c r="AG193" s="14" t="s">
        <v>76</v>
      </c>
      <c r="AH193" s="14" t="s">
        <v>76</v>
      </c>
      <c r="AI193" s="14"/>
      <c r="AJ193" s="14" t="s">
        <v>76</v>
      </c>
      <c r="AK193" s="14" t="s">
        <v>76</v>
      </c>
      <c r="AL193" s="14"/>
      <c r="AM193" s="14">
        <v>0.72593784814374296</v>
      </c>
      <c r="AN193" s="14">
        <v>0.49112255103619401</v>
      </c>
    </row>
    <row r="194" spans="2:40" x14ac:dyDescent="0.35">
      <c r="B194" t="s">
        <v>94</v>
      </c>
      <c r="C194" s="14">
        <v>0.54030731359333495</v>
      </c>
      <c r="D194" s="14">
        <v>0.48721509670868801</v>
      </c>
      <c r="E194" s="14">
        <v>0.60101999983308396</v>
      </c>
      <c r="F194" s="14"/>
      <c r="G194" s="14">
        <v>0.50204168614945399</v>
      </c>
      <c r="H194" s="14">
        <v>0.58689644965361998</v>
      </c>
      <c r="I194" s="14" t="s">
        <v>76</v>
      </c>
      <c r="J194" s="14"/>
      <c r="K194" s="14">
        <v>0.54030731359333495</v>
      </c>
      <c r="L194" s="14" t="s">
        <v>76</v>
      </c>
      <c r="M194" s="14" t="s">
        <v>76</v>
      </c>
      <c r="N194" s="14"/>
      <c r="O194" s="14">
        <v>0.54731132323769305</v>
      </c>
      <c r="P194" s="14">
        <v>0.49510760507927698</v>
      </c>
      <c r="Q194" s="14"/>
      <c r="R194" s="14">
        <v>0.49764862633573398</v>
      </c>
      <c r="S194" s="14">
        <v>0.58328717371531902</v>
      </c>
      <c r="T194" s="14">
        <v>0.60774341253631603</v>
      </c>
      <c r="U194" s="14">
        <v>0.55232657459800305</v>
      </c>
      <c r="V194" s="14">
        <v>0.56779800459718799</v>
      </c>
      <c r="W194" s="14">
        <v>0.56811554619054205</v>
      </c>
      <c r="X194" s="14">
        <v>0.40379258541948099</v>
      </c>
      <c r="Y194" s="14">
        <v>0.49349353526211498</v>
      </c>
      <c r="Z194" s="14">
        <v>0.563607808473642</v>
      </c>
      <c r="AA194" s="14"/>
      <c r="AB194" s="14" t="s">
        <v>76</v>
      </c>
      <c r="AC194" s="14" t="s">
        <v>76</v>
      </c>
      <c r="AD194" s="14" t="s">
        <v>76</v>
      </c>
      <c r="AE194" s="14" t="s">
        <v>76</v>
      </c>
      <c r="AF194" s="14"/>
      <c r="AG194" s="14" t="s">
        <v>76</v>
      </c>
      <c r="AH194" s="14" t="s">
        <v>76</v>
      </c>
      <c r="AI194" s="14"/>
      <c r="AJ194" s="14" t="s">
        <v>76</v>
      </c>
      <c r="AK194" s="14" t="s">
        <v>76</v>
      </c>
      <c r="AL194" s="14"/>
      <c r="AM194" s="14">
        <v>0.53980867282344003</v>
      </c>
      <c r="AN194" s="14">
        <v>0.535637687342708</v>
      </c>
    </row>
    <row r="195" spans="2:40" x14ac:dyDescent="0.35">
      <c r="B195" t="s">
        <v>95</v>
      </c>
      <c r="C195" s="14">
        <v>0.479251487912213</v>
      </c>
      <c r="D195" s="14">
        <v>0.51936447780450401</v>
      </c>
      <c r="E195" s="14">
        <v>0.43549947468364097</v>
      </c>
      <c r="F195" s="14"/>
      <c r="G195" s="14">
        <v>0.46761835136179097</v>
      </c>
      <c r="H195" s="14">
        <v>0.493415055002557</v>
      </c>
      <c r="I195" s="14" t="s">
        <v>76</v>
      </c>
      <c r="J195" s="14"/>
      <c r="K195" s="14">
        <v>0.479251487912213</v>
      </c>
      <c r="L195" s="14" t="s">
        <v>76</v>
      </c>
      <c r="M195" s="14" t="s">
        <v>76</v>
      </c>
      <c r="N195" s="14"/>
      <c r="O195" s="14">
        <v>0.48941554883920102</v>
      </c>
      <c r="P195" s="14">
        <v>0.43355654400920202</v>
      </c>
      <c r="Q195" s="14"/>
      <c r="R195" s="14">
        <v>0.53030967225151604</v>
      </c>
      <c r="S195" s="14">
        <v>0.47103049322032498</v>
      </c>
      <c r="T195" s="14">
        <v>0.49757742824566098</v>
      </c>
      <c r="U195" s="14">
        <v>0.44993387488400599</v>
      </c>
      <c r="V195" s="14">
        <v>0.47891836733360998</v>
      </c>
      <c r="W195" s="14">
        <v>0.40337178011744002</v>
      </c>
      <c r="X195" s="14">
        <v>0.464764046130835</v>
      </c>
      <c r="Y195" s="14">
        <v>0.49188680712715099</v>
      </c>
      <c r="Z195" s="14">
        <v>0.50496505472168096</v>
      </c>
      <c r="AA195" s="14"/>
      <c r="AB195" s="14" t="s">
        <v>76</v>
      </c>
      <c r="AC195" s="14" t="s">
        <v>76</v>
      </c>
      <c r="AD195" s="14" t="s">
        <v>76</v>
      </c>
      <c r="AE195" s="14" t="s">
        <v>76</v>
      </c>
      <c r="AF195" s="14"/>
      <c r="AG195" s="14" t="s">
        <v>76</v>
      </c>
      <c r="AH195" s="14" t="s">
        <v>76</v>
      </c>
      <c r="AI195" s="14"/>
      <c r="AJ195" s="14" t="s">
        <v>76</v>
      </c>
      <c r="AK195" s="14" t="s">
        <v>76</v>
      </c>
      <c r="AL195" s="14"/>
      <c r="AM195" s="14">
        <v>0.475881829963895</v>
      </c>
      <c r="AN195" s="14">
        <v>0.48878830010982299</v>
      </c>
    </row>
    <row r="196" spans="2:40" x14ac:dyDescent="0.35">
      <c r="B196" t="s">
        <v>96</v>
      </c>
      <c r="C196" s="14">
        <v>0.31070751588685502</v>
      </c>
      <c r="D196" s="14">
        <v>0.34586467753952799</v>
      </c>
      <c r="E196" s="14">
        <v>0.27168593336089403</v>
      </c>
      <c r="F196" s="14"/>
      <c r="G196" s="14">
        <v>0.30354249854627502</v>
      </c>
      <c r="H196" s="14">
        <v>0.31943106205747801</v>
      </c>
      <c r="I196" s="14" t="s">
        <v>76</v>
      </c>
      <c r="J196" s="14"/>
      <c r="K196" s="14">
        <v>0.31070751588685502</v>
      </c>
      <c r="L196" s="14" t="s">
        <v>76</v>
      </c>
      <c r="M196" s="14" t="s">
        <v>76</v>
      </c>
      <c r="N196" s="14"/>
      <c r="O196" s="14">
        <v>0.28430280584261097</v>
      </c>
      <c r="P196" s="14">
        <v>0.567580044665846</v>
      </c>
      <c r="Q196" s="14"/>
      <c r="R196" s="14">
        <v>0.38219903712025399</v>
      </c>
      <c r="S196" s="14">
        <v>0.30691649527060699</v>
      </c>
      <c r="T196" s="14">
        <v>0.32143476694777601</v>
      </c>
      <c r="U196" s="14">
        <v>0.27350630107280799</v>
      </c>
      <c r="V196" s="14">
        <v>0.21248428404792699</v>
      </c>
      <c r="W196" s="14">
        <v>0.39966525226152899</v>
      </c>
      <c r="X196" s="14">
        <v>0.29160294398543901</v>
      </c>
      <c r="Y196" s="14">
        <v>0.295248369243097</v>
      </c>
      <c r="Z196" s="14">
        <v>0.27112356879468902</v>
      </c>
      <c r="AA196" s="14"/>
      <c r="AB196" s="14" t="s">
        <v>76</v>
      </c>
      <c r="AC196" s="14" t="s">
        <v>76</v>
      </c>
      <c r="AD196" s="14" t="s">
        <v>76</v>
      </c>
      <c r="AE196" s="14" t="s">
        <v>76</v>
      </c>
      <c r="AF196" s="14"/>
      <c r="AG196" s="14" t="s">
        <v>76</v>
      </c>
      <c r="AH196" s="14" t="s">
        <v>76</v>
      </c>
      <c r="AI196" s="14"/>
      <c r="AJ196" s="14" t="s">
        <v>76</v>
      </c>
      <c r="AK196" s="14" t="s">
        <v>76</v>
      </c>
      <c r="AL196" s="14"/>
      <c r="AM196" s="14">
        <v>0.32533009722593198</v>
      </c>
      <c r="AN196" s="14">
        <v>0.248028446833957</v>
      </c>
    </row>
    <row r="197" spans="2:40" x14ac:dyDescent="0.35">
      <c r="B197" t="s">
        <v>97</v>
      </c>
      <c r="C197" s="14">
        <v>0.178918232414748</v>
      </c>
      <c r="D197" s="14">
        <v>0.20794634440263399</v>
      </c>
      <c r="E197" s="14">
        <v>0.14515281449648501</v>
      </c>
      <c r="F197" s="14"/>
      <c r="G197" s="14">
        <v>0.19740847340302101</v>
      </c>
      <c r="H197" s="14">
        <v>0.156406009024358</v>
      </c>
      <c r="I197" s="14" t="s">
        <v>76</v>
      </c>
      <c r="J197" s="14"/>
      <c r="K197" s="14">
        <v>0.178918232414748</v>
      </c>
      <c r="L197" s="14" t="s">
        <v>76</v>
      </c>
      <c r="M197" s="14" t="s">
        <v>76</v>
      </c>
      <c r="N197" s="14"/>
      <c r="O197" s="14">
        <v>0.177383642952261</v>
      </c>
      <c r="P197" s="14">
        <v>0.20502751997063201</v>
      </c>
      <c r="Q197" s="14"/>
      <c r="R197" s="14">
        <v>0.185411225521108</v>
      </c>
      <c r="S197" s="14">
        <v>0.12922443985558399</v>
      </c>
      <c r="T197" s="14">
        <v>0.19036547534409701</v>
      </c>
      <c r="U197" s="14">
        <v>0.18064720732207801</v>
      </c>
      <c r="V197" s="14">
        <v>0.189890742955697</v>
      </c>
      <c r="W197" s="14">
        <v>0.17984671908268501</v>
      </c>
      <c r="X197" s="14">
        <v>0.228300011680622</v>
      </c>
      <c r="Y197" s="14">
        <v>0.13026607562456599</v>
      </c>
      <c r="Z197" s="14">
        <v>0.18553454584145701</v>
      </c>
      <c r="AA197" s="14"/>
      <c r="AB197" s="14" t="s">
        <v>76</v>
      </c>
      <c r="AC197" s="14" t="s">
        <v>76</v>
      </c>
      <c r="AD197" s="14" t="s">
        <v>76</v>
      </c>
      <c r="AE197" s="14" t="s">
        <v>76</v>
      </c>
      <c r="AF197" s="14"/>
      <c r="AG197" s="14" t="s">
        <v>76</v>
      </c>
      <c r="AH197" s="14" t="s">
        <v>76</v>
      </c>
      <c r="AI197" s="14"/>
      <c r="AJ197" s="14" t="s">
        <v>76</v>
      </c>
      <c r="AK197" s="14" t="s">
        <v>76</v>
      </c>
      <c r="AL197" s="14"/>
      <c r="AM197" s="14">
        <v>0.18252954105001901</v>
      </c>
      <c r="AN197" s="14">
        <v>0.175834200269925</v>
      </c>
    </row>
    <row r="198" spans="2:40" x14ac:dyDescent="0.35">
      <c r="B198" t="s">
        <v>98</v>
      </c>
      <c r="C198" s="14">
        <v>0.138677592845042</v>
      </c>
      <c r="D198" s="14">
        <v>9.2508768591614193E-2</v>
      </c>
      <c r="E198" s="14">
        <v>0.18577881427415599</v>
      </c>
      <c r="F198" s="14"/>
      <c r="G198" s="14">
        <v>0.13787548623977</v>
      </c>
      <c r="H198" s="14">
        <v>0.13965417303630301</v>
      </c>
      <c r="I198" s="14" t="s">
        <v>76</v>
      </c>
      <c r="J198" s="14"/>
      <c r="K198" s="14">
        <v>0.138677592845042</v>
      </c>
      <c r="L198" s="14" t="s">
        <v>76</v>
      </c>
      <c r="M198" s="14" t="s">
        <v>76</v>
      </c>
      <c r="N198" s="14"/>
      <c r="O198" s="14">
        <v>0.13210644967933299</v>
      </c>
      <c r="P198" s="14">
        <v>0.19691285665505301</v>
      </c>
      <c r="Q198" s="14"/>
      <c r="R198" s="14">
        <v>0.13521507832339699</v>
      </c>
      <c r="S198" s="14">
        <v>0.122567750995015</v>
      </c>
      <c r="T198" s="14">
        <v>5.2136328329885497E-2</v>
      </c>
      <c r="U198" s="14">
        <v>0.19842235189953</v>
      </c>
      <c r="V198" s="14">
        <v>0.15199588563448299</v>
      </c>
      <c r="W198" s="14">
        <v>0.20620264949907299</v>
      </c>
      <c r="X198" s="14">
        <v>0.162799592921648</v>
      </c>
      <c r="Y198" s="14">
        <v>0.108716875970347</v>
      </c>
      <c r="Z198" s="14">
        <v>0.108284697888124</v>
      </c>
      <c r="AA198" s="14"/>
      <c r="AB198" s="14" t="s">
        <v>76</v>
      </c>
      <c r="AC198" s="14" t="s">
        <v>76</v>
      </c>
      <c r="AD198" s="14" t="s">
        <v>76</v>
      </c>
      <c r="AE198" s="14" t="s">
        <v>76</v>
      </c>
      <c r="AF198" s="14"/>
      <c r="AG198" s="14" t="s">
        <v>76</v>
      </c>
      <c r="AH198" s="14" t="s">
        <v>76</v>
      </c>
      <c r="AI198" s="14"/>
      <c r="AJ198" s="14" t="s">
        <v>76</v>
      </c>
      <c r="AK198" s="14" t="s">
        <v>76</v>
      </c>
      <c r="AL198" s="14"/>
      <c r="AM198" s="14">
        <v>0.124219859671807</v>
      </c>
      <c r="AN198" s="14">
        <v>0.18298258669838199</v>
      </c>
    </row>
    <row r="199" spans="2:40" x14ac:dyDescent="0.35">
      <c r="B199" t="s">
        <v>99</v>
      </c>
      <c r="C199" s="14">
        <v>0.109439949817053</v>
      </c>
      <c r="D199" s="14">
        <v>0.10028206396821</v>
      </c>
      <c r="E199" s="14">
        <v>0.11998177103759899</v>
      </c>
      <c r="F199" s="14"/>
      <c r="G199" s="14">
        <v>9.4691175990214593E-2</v>
      </c>
      <c r="H199" s="14">
        <v>0.12739686510737899</v>
      </c>
      <c r="I199" s="14" t="s">
        <v>76</v>
      </c>
      <c r="J199" s="14"/>
      <c r="K199" s="14">
        <v>0.109439949817053</v>
      </c>
      <c r="L199" s="14" t="s">
        <v>76</v>
      </c>
      <c r="M199" s="14" t="s">
        <v>76</v>
      </c>
      <c r="N199" s="14"/>
      <c r="O199" s="14">
        <v>0.109752567682579</v>
      </c>
      <c r="P199" s="14">
        <v>0.115823879228764</v>
      </c>
      <c r="Q199" s="14"/>
      <c r="R199" s="14">
        <v>0.148513895653236</v>
      </c>
      <c r="S199" s="14">
        <v>0.10095337462948099</v>
      </c>
      <c r="T199" s="14">
        <v>6.0473244595379297E-2</v>
      </c>
      <c r="U199" s="14">
        <v>0.162807972865566</v>
      </c>
      <c r="V199" s="14">
        <v>9.01124955397022E-2</v>
      </c>
      <c r="W199" s="14">
        <v>9.0179434229255895E-2</v>
      </c>
      <c r="X199" s="14">
        <v>0.110610256908993</v>
      </c>
      <c r="Y199" s="14">
        <v>7.9125323737880601E-2</v>
      </c>
      <c r="Z199" s="14">
        <v>0.103585151167445</v>
      </c>
      <c r="AA199" s="14"/>
      <c r="AB199" s="14" t="s">
        <v>76</v>
      </c>
      <c r="AC199" s="14" t="s">
        <v>76</v>
      </c>
      <c r="AD199" s="14" t="s">
        <v>76</v>
      </c>
      <c r="AE199" s="14" t="s">
        <v>76</v>
      </c>
      <c r="AF199" s="14"/>
      <c r="AG199" s="14" t="s">
        <v>76</v>
      </c>
      <c r="AH199" s="14" t="s">
        <v>76</v>
      </c>
      <c r="AI199" s="14"/>
      <c r="AJ199" s="14" t="s">
        <v>76</v>
      </c>
      <c r="AK199" s="14" t="s">
        <v>76</v>
      </c>
      <c r="AL199" s="14"/>
      <c r="AM199" s="14">
        <v>0.117917214150855</v>
      </c>
      <c r="AN199" s="14">
        <v>0.102265939476165</v>
      </c>
    </row>
    <row r="200" spans="2:40" x14ac:dyDescent="0.35">
      <c r="B200" t="s">
        <v>100</v>
      </c>
      <c r="C200" s="14">
        <v>6.2028042460790897E-2</v>
      </c>
      <c r="D200" s="14">
        <v>5.81020910545441E-2</v>
      </c>
      <c r="E200" s="14">
        <v>6.6611924267980099E-2</v>
      </c>
      <c r="F200" s="14"/>
      <c r="G200" s="14">
        <v>5.5348092488684802E-2</v>
      </c>
      <c r="H200" s="14">
        <v>7.0161009797672202E-2</v>
      </c>
      <c r="I200" s="14" t="s">
        <v>76</v>
      </c>
      <c r="J200" s="14"/>
      <c r="K200" s="14">
        <v>6.2028042460790897E-2</v>
      </c>
      <c r="L200" s="14" t="s">
        <v>76</v>
      </c>
      <c r="M200" s="14" t="s">
        <v>76</v>
      </c>
      <c r="N200" s="14"/>
      <c r="O200" s="14">
        <v>5.8768694146159803E-2</v>
      </c>
      <c r="P200" s="14">
        <v>8.4575588001589194E-2</v>
      </c>
      <c r="Q200" s="14"/>
      <c r="R200" s="14">
        <v>7.0362907480916906E-2</v>
      </c>
      <c r="S200" s="14">
        <v>4.4632389318239901E-2</v>
      </c>
      <c r="T200" s="14">
        <v>0.113032092634349</v>
      </c>
      <c r="U200" s="14">
        <v>8.2381939324570594E-2</v>
      </c>
      <c r="V200" s="14">
        <v>2.99846808973128E-2</v>
      </c>
      <c r="W200" s="14">
        <v>4.0967033931841902E-2</v>
      </c>
      <c r="X200" s="14">
        <v>3.8464637780220197E-2</v>
      </c>
      <c r="Y200" s="14">
        <v>4.3858088629059599E-2</v>
      </c>
      <c r="Z200" s="14">
        <v>7.7147634315805805E-2</v>
      </c>
      <c r="AA200" s="14"/>
      <c r="AB200" s="14" t="s">
        <v>76</v>
      </c>
      <c r="AC200" s="14" t="s">
        <v>76</v>
      </c>
      <c r="AD200" s="14" t="s">
        <v>76</v>
      </c>
      <c r="AE200" s="14" t="s">
        <v>76</v>
      </c>
      <c r="AF200" s="14"/>
      <c r="AG200" s="14" t="s">
        <v>76</v>
      </c>
      <c r="AH200" s="14" t="s">
        <v>76</v>
      </c>
      <c r="AI200" s="14"/>
      <c r="AJ200" s="14" t="s">
        <v>76</v>
      </c>
      <c r="AK200" s="14" t="s">
        <v>76</v>
      </c>
      <c r="AL200" s="14"/>
      <c r="AM200" s="14">
        <v>6.1565994074096297E-2</v>
      </c>
      <c r="AN200" s="14">
        <v>6.4342629022676207E-2</v>
      </c>
    </row>
    <row r="201" spans="2:40" x14ac:dyDescent="0.35">
      <c r="B201" t="s">
        <v>101</v>
      </c>
      <c r="C201" s="14">
        <v>5.8656622974629397E-2</v>
      </c>
      <c r="D201" s="14">
        <v>5.9673478878925199E-2</v>
      </c>
      <c r="E201" s="14">
        <v>5.7788996600887203E-2</v>
      </c>
      <c r="F201" s="14"/>
      <c r="G201" s="14">
        <v>6.3342597750979404E-2</v>
      </c>
      <c r="H201" s="14">
        <v>5.2951358720159401E-2</v>
      </c>
      <c r="I201" s="14" t="s">
        <v>76</v>
      </c>
      <c r="J201" s="14"/>
      <c r="K201" s="14">
        <v>5.8656622974629397E-2</v>
      </c>
      <c r="L201" s="14" t="s">
        <v>76</v>
      </c>
      <c r="M201" s="14" t="s">
        <v>76</v>
      </c>
      <c r="N201" s="14"/>
      <c r="O201" s="14">
        <v>5.7165265328722202E-2</v>
      </c>
      <c r="P201" s="14">
        <v>7.2047351680077004E-2</v>
      </c>
      <c r="Q201" s="14"/>
      <c r="R201" s="14">
        <v>8.8826753405684494E-2</v>
      </c>
      <c r="S201" s="14">
        <v>4.9251755249088702E-2</v>
      </c>
      <c r="T201" s="14">
        <v>5.0700689552132E-2</v>
      </c>
      <c r="U201" s="14">
        <v>2.7521454959587702E-2</v>
      </c>
      <c r="V201" s="14">
        <v>4.75882330456502E-2</v>
      </c>
      <c r="W201" s="14">
        <v>5.42833046984681E-2</v>
      </c>
      <c r="X201" s="14">
        <v>0.106497551109569</v>
      </c>
      <c r="Y201" s="14">
        <v>0</v>
      </c>
      <c r="Z201" s="14">
        <v>5.9193544198787001E-2</v>
      </c>
      <c r="AA201" s="14"/>
      <c r="AB201" s="14" t="s">
        <v>76</v>
      </c>
      <c r="AC201" s="14" t="s">
        <v>76</v>
      </c>
      <c r="AD201" s="14" t="s">
        <v>76</v>
      </c>
      <c r="AE201" s="14" t="s">
        <v>76</v>
      </c>
      <c r="AF201" s="14"/>
      <c r="AG201" s="14" t="s">
        <v>76</v>
      </c>
      <c r="AH201" s="14" t="s">
        <v>76</v>
      </c>
      <c r="AI201" s="14"/>
      <c r="AJ201" s="14" t="s">
        <v>76</v>
      </c>
      <c r="AK201" s="14" t="s">
        <v>76</v>
      </c>
      <c r="AL201" s="14"/>
      <c r="AM201" s="14">
        <v>5.3694202708836701E-2</v>
      </c>
      <c r="AN201" s="14">
        <v>8.5304815804013806E-2</v>
      </c>
    </row>
    <row r="202" spans="2:40" x14ac:dyDescent="0.35">
      <c r="B202" t="s">
        <v>70</v>
      </c>
      <c r="C202" s="14">
        <v>6.4845727552226395E-2</v>
      </c>
      <c r="D202" s="14">
        <v>6.6303332994531103E-2</v>
      </c>
      <c r="E202" s="14">
        <v>6.0919890467522497E-2</v>
      </c>
      <c r="F202" s="14"/>
      <c r="G202" s="14">
        <v>7.4673876008899506E-2</v>
      </c>
      <c r="H202" s="14">
        <v>5.2879768119308397E-2</v>
      </c>
      <c r="I202" s="14" t="s">
        <v>76</v>
      </c>
      <c r="J202" s="14"/>
      <c r="K202" s="14">
        <v>6.4845727552226395E-2</v>
      </c>
      <c r="L202" s="14" t="s">
        <v>76</v>
      </c>
      <c r="M202" s="14" t="s">
        <v>76</v>
      </c>
      <c r="N202" s="14"/>
      <c r="O202" s="14">
        <v>6.6434284676800806E-2</v>
      </c>
      <c r="P202" s="14">
        <v>7.2595342590578097E-3</v>
      </c>
      <c r="Q202" s="14"/>
      <c r="R202" s="14">
        <v>2.6918155004485599E-2</v>
      </c>
      <c r="S202" s="14">
        <v>5.5213612521750999E-2</v>
      </c>
      <c r="T202" s="14">
        <v>4.1363875388451897E-2</v>
      </c>
      <c r="U202" s="14">
        <v>8.7447321153918497E-2</v>
      </c>
      <c r="V202" s="14">
        <v>6.1907476689858097E-2</v>
      </c>
      <c r="W202" s="14">
        <v>4.7389198514315702E-2</v>
      </c>
      <c r="X202" s="14">
        <v>0.13051668127098101</v>
      </c>
      <c r="Y202" s="14">
        <v>8.8270006618263203E-2</v>
      </c>
      <c r="Z202" s="14">
        <v>7.7046389353591302E-2</v>
      </c>
      <c r="AA202" s="14"/>
      <c r="AB202" s="14" t="s">
        <v>76</v>
      </c>
      <c r="AC202" s="14" t="s">
        <v>76</v>
      </c>
      <c r="AD202" s="14" t="s">
        <v>76</v>
      </c>
      <c r="AE202" s="14" t="s">
        <v>76</v>
      </c>
      <c r="AF202" s="14"/>
      <c r="AG202" s="14" t="s">
        <v>76</v>
      </c>
      <c r="AH202" s="14" t="s">
        <v>76</v>
      </c>
      <c r="AI202" s="14"/>
      <c r="AJ202" s="14" t="s">
        <v>76</v>
      </c>
      <c r="AK202" s="14" t="s">
        <v>76</v>
      </c>
      <c r="AL202" s="14"/>
      <c r="AM202" s="14">
        <v>4.4105630222389898E-2</v>
      </c>
      <c r="AN202" s="14">
        <v>0.115227781181792</v>
      </c>
    </row>
    <row r="203" spans="2:40" x14ac:dyDescent="0.35"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</row>
    <row r="204" spans="2:40" x14ac:dyDescent="0.35">
      <c r="B204" s="6" t="s">
        <v>106</v>
      </c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</row>
    <row r="205" spans="2:40" x14ac:dyDescent="0.35">
      <c r="B205" s="24" t="s">
        <v>74</v>
      </c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</row>
    <row r="206" spans="2:40" x14ac:dyDescent="0.35">
      <c r="B206" t="s">
        <v>93</v>
      </c>
      <c r="C206" s="14">
        <v>0.67917319145948196</v>
      </c>
      <c r="D206" s="14">
        <v>0.70119768652098502</v>
      </c>
      <c r="E206" s="14">
        <v>0.65635362326575697</v>
      </c>
      <c r="F206" s="14"/>
      <c r="G206" s="14" t="s">
        <v>76</v>
      </c>
      <c r="H206" s="14" t="s">
        <v>76</v>
      </c>
      <c r="I206" s="14">
        <v>0.67917319145948196</v>
      </c>
      <c r="J206" s="14"/>
      <c r="K206" s="14" t="s">
        <v>76</v>
      </c>
      <c r="L206" s="14">
        <v>0.69482557709729298</v>
      </c>
      <c r="M206" s="14">
        <v>0.64940649602051104</v>
      </c>
      <c r="N206" s="14"/>
      <c r="O206" s="14">
        <v>0.68546766780700297</v>
      </c>
      <c r="P206" s="14">
        <v>0.65096282046737297</v>
      </c>
      <c r="Q206" s="14"/>
      <c r="R206" s="14">
        <v>0.65435970667153298</v>
      </c>
      <c r="S206" s="14">
        <v>0.659903146597836</v>
      </c>
      <c r="T206" s="14">
        <v>0.62724365184318398</v>
      </c>
      <c r="U206" s="14">
        <v>0.66158597155279497</v>
      </c>
      <c r="V206" s="14">
        <v>0.69099548476968498</v>
      </c>
      <c r="W206" s="14">
        <v>0.68058873073973203</v>
      </c>
      <c r="X206" s="14">
        <v>0.76113664975032502</v>
      </c>
      <c r="Y206" s="14">
        <v>0.70719798828694103</v>
      </c>
      <c r="Z206" s="14">
        <v>0.70416530181112602</v>
      </c>
      <c r="AA206" s="14"/>
      <c r="AB206" s="14">
        <v>0.63504555988182099</v>
      </c>
      <c r="AC206" s="14">
        <v>0.747028320762125</v>
      </c>
      <c r="AD206" s="14">
        <v>0.61685082444980799</v>
      </c>
      <c r="AE206" s="14">
        <v>0.72292089889483502</v>
      </c>
      <c r="AF206" s="14"/>
      <c r="AG206" s="14">
        <v>0.83335845458166802</v>
      </c>
      <c r="AH206" s="14">
        <v>0.66676151905682901</v>
      </c>
      <c r="AI206" s="14"/>
      <c r="AJ206" s="14">
        <v>0.77513283623032103</v>
      </c>
      <c r="AK206" s="14">
        <v>0.53284923975351395</v>
      </c>
      <c r="AL206" s="14"/>
      <c r="AM206" s="14">
        <v>0.78446527505362795</v>
      </c>
      <c r="AN206" s="14">
        <v>0.51453794169182399</v>
      </c>
    </row>
    <row r="207" spans="2:40" x14ac:dyDescent="0.35">
      <c r="B207" t="s">
        <v>94</v>
      </c>
      <c r="C207" s="14">
        <v>0.61066163116186201</v>
      </c>
      <c r="D207" s="14">
        <v>0.57549602226377805</v>
      </c>
      <c r="E207" s="14">
        <v>0.642525231125049</v>
      </c>
      <c r="F207" s="14"/>
      <c r="G207" s="14" t="s">
        <v>76</v>
      </c>
      <c r="H207" s="14" t="s">
        <v>76</v>
      </c>
      <c r="I207" s="14">
        <v>0.61066163116186201</v>
      </c>
      <c r="J207" s="14"/>
      <c r="K207" s="14" t="s">
        <v>76</v>
      </c>
      <c r="L207" s="14">
        <v>0.60682432262867902</v>
      </c>
      <c r="M207" s="14">
        <v>0.61795917653646004</v>
      </c>
      <c r="N207" s="14"/>
      <c r="O207" s="14">
        <v>0.62576190134313703</v>
      </c>
      <c r="P207" s="14">
        <v>0.50647474130450598</v>
      </c>
      <c r="Q207" s="14"/>
      <c r="R207" s="14">
        <v>0.54956189125953003</v>
      </c>
      <c r="S207" s="14">
        <v>0.60371905135145498</v>
      </c>
      <c r="T207" s="14">
        <v>0.59799516991449797</v>
      </c>
      <c r="U207" s="14">
        <v>0.63147476468138797</v>
      </c>
      <c r="V207" s="14">
        <v>0.62671503305962095</v>
      </c>
      <c r="W207" s="14">
        <v>0.66326758656305596</v>
      </c>
      <c r="X207" s="14">
        <v>0.64197346184734505</v>
      </c>
      <c r="Y207" s="14">
        <v>0.64866324249992602</v>
      </c>
      <c r="Z207" s="14">
        <v>0.59858633432969599</v>
      </c>
      <c r="AA207" s="14"/>
      <c r="AB207" s="14">
        <v>0.62501953790133202</v>
      </c>
      <c r="AC207" s="14">
        <v>0.53528819067849998</v>
      </c>
      <c r="AD207" s="14">
        <v>0.70418867321621503</v>
      </c>
      <c r="AE207" s="14">
        <v>0.479313291476065</v>
      </c>
      <c r="AF207" s="14"/>
      <c r="AG207" s="14">
        <v>0.48329711272042403</v>
      </c>
      <c r="AH207" s="14">
        <v>0.67201071983934202</v>
      </c>
      <c r="AI207" s="14"/>
      <c r="AJ207" s="14">
        <v>0.54925250638475698</v>
      </c>
      <c r="AK207" s="14">
        <v>0.648951068718709</v>
      </c>
      <c r="AL207" s="14"/>
      <c r="AM207" s="14">
        <v>0.53609163011225502</v>
      </c>
      <c r="AN207" s="14">
        <v>0.73133450376901099</v>
      </c>
    </row>
    <row r="208" spans="2:40" x14ac:dyDescent="0.35">
      <c r="B208" t="s">
        <v>95</v>
      </c>
      <c r="C208" s="14">
        <v>0.41424059237558603</v>
      </c>
      <c r="D208" s="14">
        <v>0.49882932835011901</v>
      </c>
      <c r="E208" s="14">
        <v>0.33590229557165702</v>
      </c>
      <c r="F208" s="14"/>
      <c r="G208" s="14" t="s">
        <v>76</v>
      </c>
      <c r="H208" s="14" t="s">
        <v>76</v>
      </c>
      <c r="I208" s="14">
        <v>0.41424059237558603</v>
      </c>
      <c r="J208" s="14"/>
      <c r="K208" s="14" t="s">
        <v>76</v>
      </c>
      <c r="L208" s="14">
        <v>0.440748345004842</v>
      </c>
      <c r="M208" s="14">
        <v>0.36382986154228902</v>
      </c>
      <c r="N208" s="14"/>
      <c r="O208" s="14">
        <v>0.419396452583365</v>
      </c>
      <c r="P208" s="14">
        <v>0.41114678275337702</v>
      </c>
      <c r="Q208" s="14"/>
      <c r="R208" s="14">
        <v>0.48209937166436201</v>
      </c>
      <c r="S208" s="14">
        <v>0.39936796765246202</v>
      </c>
      <c r="T208" s="14">
        <v>0.43634520058750798</v>
      </c>
      <c r="U208" s="14">
        <v>0.39041494715284197</v>
      </c>
      <c r="V208" s="14">
        <v>0.338216091413301</v>
      </c>
      <c r="W208" s="14">
        <v>0.39453263303258601</v>
      </c>
      <c r="X208" s="14">
        <v>0.40264819339693803</v>
      </c>
      <c r="Y208" s="14">
        <v>0.51336304427274904</v>
      </c>
      <c r="Z208" s="14">
        <v>0.387497860814845</v>
      </c>
      <c r="AA208" s="14"/>
      <c r="AB208" s="14">
        <v>0.43351841176019001</v>
      </c>
      <c r="AC208" s="14">
        <v>0.34868536606088202</v>
      </c>
      <c r="AD208" s="14">
        <v>0.33316048001901799</v>
      </c>
      <c r="AE208" s="14">
        <v>0.367265845100472</v>
      </c>
      <c r="AF208" s="14"/>
      <c r="AG208" s="14">
        <v>0.39285980093725997</v>
      </c>
      <c r="AH208" s="14">
        <v>0.46077422179224298</v>
      </c>
      <c r="AI208" s="14"/>
      <c r="AJ208" s="14">
        <v>0.41659588669896602</v>
      </c>
      <c r="AK208" s="14">
        <v>0.28816571141969799</v>
      </c>
      <c r="AL208" s="14"/>
      <c r="AM208" s="14">
        <v>0.45404128493929202</v>
      </c>
      <c r="AN208" s="14">
        <v>0.35483665780954698</v>
      </c>
    </row>
    <row r="209" spans="2:40" x14ac:dyDescent="0.35">
      <c r="B209" t="s">
        <v>103</v>
      </c>
      <c r="C209" s="14">
        <v>0.12571424449747401</v>
      </c>
      <c r="D209" s="14">
        <v>8.8268472968938902E-2</v>
      </c>
      <c r="E209" s="14">
        <v>0.15671302508431101</v>
      </c>
      <c r="F209" s="14"/>
      <c r="G209" s="14" t="s">
        <v>76</v>
      </c>
      <c r="H209" s="14" t="s">
        <v>76</v>
      </c>
      <c r="I209" s="14">
        <v>0.12571424449747401</v>
      </c>
      <c r="J209" s="14"/>
      <c r="K209" s="14" t="s">
        <v>76</v>
      </c>
      <c r="L209" s="14">
        <v>0.108185325155414</v>
      </c>
      <c r="M209" s="14">
        <v>0.159049610460407</v>
      </c>
      <c r="N209" s="14"/>
      <c r="O209" s="14">
        <v>0.119764368569032</v>
      </c>
      <c r="P209" s="14">
        <v>0.174572726667448</v>
      </c>
      <c r="Q209" s="14"/>
      <c r="R209" s="14">
        <v>0.15314263010866999</v>
      </c>
      <c r="S209" s="14">
        <v>0.107527164766375</v>
      </c>
      <c r="T209" s="14">
        <v>8.7240359508488796E-2</v>
      </c>
      <c r="U209" s="14">
        <v>0.15716534196826601</v>
      </c>
      <c r="V209" s="14">
        <v>0.15451389667691101</v>
      </c>
      <c r="W209" s="14">
        <v>8.8956821966901897E-2</v>
      </c>
      <c r="X209" s="14">
        <v>0.119228806931742</v>
      </c>
      <c r="Y209" s="14">
        <v>0.11271245499098501</v>
      </c>
      <c r="Z209" s="14">
        <v>0.13504210939396699</v>
      </c>
      <c r="AA209" s="14"/>
      <c r="AB209" s="14">
        <v>9.4058472593211706E-2</v>
      </c>
      <c r="AC209" s="14">
        <v>0.19107004484323201</v>
      </c>
      <c r="AD209" s="14">
        <v>0.14818315505479901</v>
      </c>
      <c r="AE209" s="14">
        <v>0.20106178278579001</v>
      </c>
      <c r="AF209" s="14"/>
      <c r="AG209" s="14">
        <v>0.23270382290553401</v>
      </c>
      <c r="AH209" s="14">
        <v>8.1016366835713394E-2</v>
      </c>
      <c r="AI209" s="14"/>
      <c r="AJ209" s="14">
        <v>0.17968906667376999</v>
      </c>
      <c r="AK209" s="14">
        <v>0.15014699488647501</v>
      </c>
      <c r="AL209" s="14"/>
      <c r="AM209" s="14">
        <v>0.15864126161734901</v>
      </c>
      <c r="AN209" s="14">
        <v>7.0398841649525007E-2</v>
      </c>
    </row>
    <row r="210" spans="2:40" x14ac:dyDescent="0.35">
      <c r="B210" t="s">
        <v>99</v>
      </c>
      <c r="C210" s="14">
        <v>0.12550527750211499</v>
      </c>
      <c r="D210" s="14">
        <v>9.9480561403988699E-2</v>
      </c>
      <c r="E210" s="14">
        <v>0.150359099813139</v>
      </c>
      <c r="F210" s="14"/>
      <c r="G210" s="14" t="s">
        <v>76</v>
      </c>
      <c r="H210" s="14" t="s">
        <v>76</v>
      </c>
      <c r="I210" s="14">
        <v>0.12550527750211499</v>
      </c>
      <c r="J210" s="14"/>
      <c r="K210" s="14" t="s">
        <v>76</v>
      </c>
      <c r="L210" s="14">
        <v>0.13430113810716199</v>
      </c>
      <c r="M210" s="14">
        <v>0.108777878253681</v>
      </c>
      <c r="N210" s="14"/>
      <c r="O210" s="14">
        <v>0.112134764666963</v>
      </c>
      <c r="P210" s="14">
        <v>0.22245938986952399</v>
      </c>
      <c r="Q210" s="14"/>
      <c r="R210" s="14">
        <v>0.20299656446168601</v>
      </c>
      <c r="S210" s="14">
        <v>0.18042541870264001</v>
      </c>
      <c r="T210" s="14">
        <v>0.11204478950269001</v>
      </c>
      <c r="U210" s="14">
        <v>8.5520746868995107E-2</v>
      </c>
      <c r="V210" s="14">
        <v>9.9806218110174497E-2</v>
      </c>
      <c r="W210" s="14">
        <v>7.3444837141982605E-2</v>
      </c>
      <c r="X210" s="14">
        <v>7.1089991153757706E-2</v>
      </c>
      <c r="Y210" s="14">
        <v>0.11764259324179099</v>
      </c>
      <c r="Z210" s="14">
        <v>0.10118762365777299</v>
      </c>
      <c r="AA210" s="14"/>
      <c r="AB210" s="14">
        <v>0.194044879086402</v>
      </c>
      <c r="AC210" s="14">
        <v>0.132781374684555</v>
      </c>
      <c r="AD210" s="14">
        <v>9.0436044965726201E-2</v>
      </c>
      <c r="AE210" s="14">
        <v>0.16055315493889999</v>
      </c>
      <c r="AF210" s="14"/>
      <c r="AG210" s="14">
        <v>0.14998122220337201</v>
      </c>
      <c r="AH210" s="14">
        <v>0.15763190069199201</v>
      </c>
      <c r="AI210" s="14"/>
      <c r="AJ210" s="14">
        <v>0.152655133847688</v>
      </c>
      <c r="AK210" s="14">
        <v>8.1704889096657907E-2</v>
      </c>
      <c r="AL210" s="14"/>
      <c r="AM210" s="14">
        <v>0.120578875162142</v>
      </c>
      <c r="AN210" s="14">
        <v>0.12163734962468099</v>
      </c>
    </row>
    <row r="211" spans="2:40" x14ac:dyDescent="0.35">
      <c r="B211" t="s">
        <v>97</v>
      </c>
      <c r="C211" s="14">
        <v>0.12028092684401299</v>
      </c>
      <c r="D211" s="14">
        <v>0.15506848119803401</v>
      </c>
      <c r="E211" s="14">
        <v>8.9455611264976601E-2</v>
      </c>
      <c r="F211" s="14"/>
      <c r="G211" s="14" t="s">
        <v>76</v>
      </c>
      <c r="H211" s="14" t="s">
        <v>76</v>
      </c>
      <c r="I211" s="14">
        <v>0.12028092684401299</v>
      </c>
      <c r="J211" s="14"/>
      <c r="K211" s="14" t="s">
        <v>76</v>
      </c>
      <c r="L211" s="14">
        <v>0.121390355029076</v>
      </c>
      <c r="M211" s="14">
        <v>0.11817108802069599</v>
      </c>
      <c r="N211" s="14"/>
      <c r="O211" s="14">
        <v>0.12133474970698099</v>
      </c>
      <c r="P211" s="14">
        <v>0.11791426859329</v>
      </c>
      <c r="Q211" s="14"/>
      <c r="R211" s="14">
        <v>8.0739322458404303E-2</v>
      </c>
      <c r="S211" s="14">
        <v>0.120179474664676</v>
      </c>
      <c r="T211" s="14">
        <v>0.166127863477295</v>
      </c>
      <c r="U211" s="14">
        <v>0.11550189338328599</v>
      </c>
      <c r="V211" s="14">
        <v>0.113535928607658</v>
      </c>
      <c r="W211" s="14">
        <v>0.11733541362797199</v>
      </c>
      <c r="X211" s="14">
        <v>0.15998748538142299</v>
      </c>
      <c r="Y211" s="14">
        <v>0.12257876807485001</v>
      </c>
      <c r="Z211" s="14">
        <v>0.11825571448177399</v>
      </c>
      <c r="AA211" s="14"/>
      <c r="AB211" s="14">
        <v>8.8989127838060594E-2</v>
      </c>
      <c r="AC211" s="14">
        <v>0.11128777151488101</v>
      </c>
      <c r="AD211" s="14">
        <v>0.13106470068804399</v>
      </c>
      <c r="AE211" s="14">
        <v>9.8580941246393203E-2</v>
      </c>
      <c r="AF211" s="14"/>
      <c r="AG211" s="14">
        <v>5.9739129403487599E-2</v>
      </c>
      <c r="AH211" s="14">
        <v>0.18558066612500301</v>
      </c>
      <c r="AI211" s="14"/>
      <c r="AJ211" s="14">
        <v>0.10372073846976899</v>
      </c>
      <c r="AK211" s="14">
        <v>0.136707971221703</v>
      </c>
      <c r="AL211" s="14"/>
      <c r="AM211" s="14">
        <v>0.124455395282486</v>
      </c>
      <c r="AN211" s="14">
        <v>0.12192772749776</v>
      </c>
    </row>
    <row r="212" spans="2:40" x14ac:dyDescent="0.35">
      <c r="B212" t="s">
        <v>98</v>
      </c>
      <c r="C212" s="14">
        <v>0.118624504196335</v>
      </c>
      <c r="D212" s="14">
        <v>8.6432818817602397E-2</v>
      </c>
      <c r="E212" s="14">
        <v>0.14782544471063599</v>
      </c>
      <c r="F212" s="14"/>
      <c r="G212" s="14" t="s">
        <v>76</v>
      </c>
      <c r="H212" s="14" t="s">
        <v>76</v>
      </c>
      <c r="I212" s="14">
        <v>0.118624504196335</v>
      </c>
      <c r="J212" s="14"/>
      <c r="K212" s="14" t="s">
        <v>76</v>
      </c>
      <c r="L212" s="14">
        <v>0.12810704457661401</v>
      </c>
      <c r="M212" s="14">
        <v>0.10059122172943399</v>
      </c>
      <c r="N212" s="14"/>
      <c r="O212" s="14">
        <v>0.118109139733949</v>
      </c>
      <c r="P212" s="14">
        <v>9.4000529178449005E-2</v>
      </c>
      <c r="Q212" s="14"/>
      <c r="R212" s="14">
        <v>8.3507236960808404E-2</v>
      </c>
      <c r="S212" s="14">
        <v>0.121714035210195</v>
      </c>
      <c r="T212" s="14">
        <v>0.185798370670444</v>
      </c>
      <c r="U212" s="14">
        <v>6.7319353576389795E-2</v>
      </c>
      <c r="V212" s="14">
        <v>0.125764408031738</v>
      </c>
      <c r="W212" s="14">
        <v>0.171687208575661</v>
      </c>
      <c r="X212" s="14">
        <v>9.8894781766898796E-2</v>
      </c>
      <c r="Y212" s="14">
        <v>0.170082378086828</v>
      </c>
      <c r="Z212" s="14">
        <v>0.10132106113266399</v>
      </c>
      <c r="AA212" s="14"/>
      <c r="AB212" s="14">
        <v>0.117576178362468</v>
      </c>
      <c r="AC212" s="14">
        <v>0.10521819437453001</v>
      </c>
      <c r="AD212" s="14">
        <v>0.11097414797971</v>
      </c>
      <c r="AE212" s="14">
        <v>7.7257919947594206E-2</v>
      </c>
      <c r="AF212" s="14"/>
      <c r="AG212" s="14">
        <v>6.1246818785743597E-2</v>
      </c>
      <c r="AH212" s="14">
        <v>0.104640803972065</v>
      </c>
      <c r="AI212" s="14"/>
      <c r="AJ212" s="14">
        <v>7.6413013843551703E-2</v>
      </c>
      <c r="AK212" s="14">
        <v>0.134434074650537</v>
      </c>
      <c r="AL212" s="14"/>
      <c r="AM212" s="14">
        <v>8.07708239543415E-2</v>
      </c>
      <c r="AN212" s="14">
        <v>0.15094116949395001</v>
      </c>
    </row>
    <row r="213" spans="2:40" x14ac:dyDescent="0.35">
      <c r="B213" t="s">
        <v>104</v>
      </c>
      <c r="C213" s="14">
        <v>0.10190922977453799</v>
      </c>
      <c r="D213" s="14">
        <v>0.13737150335585099</v>
      </c>
      <c r="E213" s="14">
        <v>7.0313742231672305E-2</v>
      </c>
      <c r="F213" s="14"/>
      <c r="G213" s="14" t="s">
        <v>76</v>
      </c>
      <c r="H213" s="14" t="s">
        <v>76</v>
      </c>
      <c r="I213" s="14">
        <v>0.10190922977453799</v>
      </c>
      <c r="J213" s="14"/>
      <c r="K213" s="14" t="s">
        <v>76</v>
      </c>
      <c r="L213" s="14">
        <v>0.109744750785245</v>
      </c>
      <c r="M213" s="14">
        <v>8.7008142302735195E-2</v>
      </c>
      <c r="N213" s="14"/>
      <c r="O213" s="14">
        <v>9.2279373990639998E-2</v>
      </c>
      <c r="P213" s="14">
        <v>0.17654347737783299</v>
      </c>
      <c r="Q213" s="14"/>
      <c r="R213" s="14">
        <v>0.12387866489049</v>
      </c>
      <c r="S213" s="14">
        <v>0.116447800889424</v>
      </c>
      <c r="T213" s="14">
        <v>4.7276404180123001E-2</v>
      </c>
      <c r="U213" s="14">
        <v>4.6439950484613697E-2</v>
      </c>
      <c r="V213" s="14">
        <v>0.14930743572427799</v>
      </c>
      <c r="W213" s="14">
        <v>8.4126238328347203E-2</v>
      </c>
      <c r="X213" s="14">
        <v>7.2664684260793394E-2</v>
      </c>
      <c r="Y213" s="14">
        <v>8.6416651121320007E-2</v>
      </c>
      <c r="Z213" s="14">
        <v>0.14627105949614699</v>
      </c>
      <c r="AA213" s="14"/>
      <c r="AB213" s="14">
        <v>0.106327682323756</v>
      </c>
      <c r="AC213" s="14">
        <v>0.209339962937586</v>
      </c>
      <c r="AD213" s="14">
        <v>7.4895097324502502E-2</v>
      </c>
      <c r="AE213" s="14">
        <v>0.119933066054841</v>
      </c>
      <c r="AF213" s="14"/>
      <c r="AG213" s="14">
        <v>0.199011625088066</v>
      </c>
      <c r="AH213" s="14">
        <v>0</v>
      </c>
      <c r="AI213" s="14"/>
      <c r="AJ213" s="14">
        <v>0.12945707479964599</v>
      </c>
      <c r="AK213" s="14">
        <v>5.8194635443951502E-2</v>
      </c>
      <c r="AL213" s="14"/>
      <c r="AM213" s="14">
        <v>0.15635295952036901</v>
      </c>
      <c r="AN213" s="14">
        <v>4.6749647966706602E-2</v>
      </c>
    </row>
    <row r="214" spans="2:40" x14ac:dyDescent="0.35">
      <c r="B214" t="s">
        <v>105</v>
      </c>
      <c r="C214" s="14">
        <v>8.5612645765594797E-2</v>
      </c>
      <c r="D214" s="14">
        <v>7.3766288339057406E-2</v>
      </c>
      <c r="E214" s="14">
        <v>9.7163050605635001E-2</v>
      </c>
      <c r="F214" s="14"/>
      <c r="G214" s="14" t="s">
        <v>76</v>
      </c>
      <c r="H214" s="14" t="s">
        <v>76</v>
      </c>
      <c r="I214" s="14">
        <v>8.5612645765594797E-2</v>
      </c>
      <c r="J214" s="14"/>
      <c r="K214" s="14" t="s">
        <v>76</v>
      </c>
      <c r="L214" s="14">
        <v>8.9306915740533899E-2</v>
      </c>
      <c r="M214" s="14">
        <v>7.8587121876909902E-2</v>
      </c>
      <c r="N214" s="14"/>
      <c r="O214" s="14">
        <v>7.4835108650534304E-2</v>
      </c>
      <c r="P214" s="14">
        <v>0.160215171599703</v>
      </c>
      <c r="Q214" s="14"/>
      <c r="R214" s="14">
        <v>0.11754615886959199</v>
      </c>
      <c r="S214" s="14">
        <v>7.8168328626658498E-2</v>
      </c>
      <c r="T214" s="14">
        <v>4.4100492306319398E-2</v>
      </c>
      <c r="U214" s="14">
        <v>7.48230862893636E-2</v>
      </c>
      <c r="V214" s="14">
        <v>0.120801391659763</v>
      </c>
      <c r="W214" s="14">
        <v>8.1087946898801999E-2</v>
      </c>
      <c r="X214" s="14">
        <v>9.2302930893871704E-2</v>
      </c>
      <c r="Y214" s="14">
        <v>6.03084616871047E-2</v>
      </c>
      <c r="Z214" s="14">
        <v>7.9838097943025196E-2</v>
      </c>
      <c r="AA214" s="14"/>
      <c r="AB214" s="14">
        <v>8.5021646839636297E-2</v>
      </c>
      <c r="AC214" s="14">
        <v>0.16859687241635299</v>
      </c>
      <c r="AD214" s="14">
        <v>6.3150845467486699E-2</v>
      </c>
      <c r="AE214" s="14">
        <v>0.108940711506228</v>
      </c>
      <c r="AF214" s="14"/>
      <c r="AG214" s="14">
        <v>0.155806657914318</v>
      </c>
      <c r="AH214" s="14">
        <v>0</v>
      </c>
      <c r="AI214" s="14"/>
      <c r="AJ214" s="14">
        <v>0.101352240900354</v>
      </c>
      <c r="AK214" s="14">
        <v>6.1273001425959803E-2</v>
      </c>
      <c r="AL214" s="14"/>
      <c r="AM214" s="14">
        <v>0.128307940000153</v>
      </c>
      <c r="AN214" s="14">
        <v>2.5056683795169801E-2</v>
      </c>
    </row>
    <row r="215" spans="2:40" x14ac:dyDescent="0.35">
      <c r="B215" t="s">
        <v>101</v>
      </c>
      <c r="C215" s="14">
        <v>8.0278382744274998E-2</v>
      </c>
      <c r="D215" s="14">
        <v>8.2309515244810894E-2</v>
      </c>
      <c r="E215" s="14">
        <v>7.9088219608580396E-2</v>
      </c>
      <c r="F215" s="14"/>
      <c r="G215" s="14" t="s">
        <v>76</v>
      </c>
      <c r="H215" s="14" t="s">
        <v>76</v>
      </c>
      <c r="I215" s="14">
        <v>8.0278382744274998E-2</v>
      </c>
      <c r="J215" s="14"/>
      <c r="K215" s="14" t="s">
        <v>76</v>
      </c>
      <c r="L215" s="14">
        <v>7.9749498768763499E-2</v>
      </c>
      <c r="M215" s="14">
        <v>8.1284180108708304E-2</v>
      </c>
      <c r="N215" s="14"/>
      <c r="O215" s="14">
        <v>7.0571164844724907E-2</v>
      </c>
      <c r="P215" s="14">
        <v>0.13195501550702299</v>
      </c>
      <c r="Q215" s="14"/>
      <c r="R215" s="14">
        <v>0.11029894859546301</v>
      </c>
      <c r="S215" s="14">
        <v>8.7275011064231994E-2</v>
      </c>
      <c r="T215" s="14">
        <v>5.7346273701018899E-2</v>
      </c>
      <c r="U215" s="14">
        <v>6.8586757236218807E-2</v>
      </c>
      <c r="V215" s="14">
        <v>5.86981368924753E-2</v>
      </c>
      <c r="W215" s="14">
        <v>5.0281959010724901E-2</v>
      </c>
      <c r="X215" s="14">
        <v>9.3802075476610194E-2</v>
      </c>
      <c r="Y215" s="14">
        <v>8.9715808646918999E-2</v>
      </c>
      <c r="Z215" s="14">
        <v>8.2964501222028197E-2</v>
      </c>
      <c r="AA215" s="14"/>
      <c r="AB215" s="14">
        <v>9.3299070763980793E-2</v>
      </c>
      <c r="AC215" s="14">
        <v>6.1614746789942103E-2</v>
      </c>
      <c r="AD215" s="14">
        <v>0.10683049784829</v>
      </c>
      <c r="AE215" s="14">
        <v>6.5766016386867202E-2</v>
      </c>
      <c r="AF215" s="14"/>
      <c r="AG215" s="14">
        <v>4.7551069704483501E-2</v>
      </c>
      <c r="AH215" s="14">
        <v>6.9772045999394905E-2</v>
      </c>
      <c r="AI215" s="14"/>
      <c r="AJ215" s="14">
        <v>5.5317299503764197E-2</v>
      </c>
      <c r="AK215" s="14">
        <v>0.11409155409850601</v>
      </c>
      <c r="AL215" s="14"/>
      <c r="AM215" s="14">
        <v>5.4285403728524001E-2</v>
      </c>
      <c r="AN215" s="14">
        <v>9.7546294806166597E-2</v>
      </c>
    </row>
    <row r="216" spans="2:40" x14ac:dyDescent="0.35">
      <c r="B216" t="s">
        <v>100</v>
      </c>
      <c r="C216" s="14">
        <v>6.5973275560973002E-2</v>
      </c>
      <c r="D216" s="14">
        <v>8.3770486017458998E-2</v>
      </c>
      <c r="E216" s="14">
        <v>5.02400667196558E-2</v>
      </c>
      <c r="F216" s="14"/>
      <c r="G216" s="14" t="s">
        <v>76</v>
      </c>
      <c r="H216" s="14" t="s">
        <v>76</v>
      </c>
      <c r="I216" s="14">
        <v>6.5973275560973002E-2</v>
      </c>
      <c r="J216" s="14"/>
      <c r="K216" s="14" t="s">
        <v>76</v>
      </c>
      <c r="L216" s="14">
        <v>6.8960884934714403E-2</v>
      </c>
      <c r="M216" s="14">
        <v>6.0291633134278003E-2</v>
      </c>
      <c r="N216" s="14"/>
      <c r="O216" s="14">
        <v>7.0021130121978095E-2</v>
      </c>
      <c r="P216" s="14">
        <v>4.3821540674078702E-2</v>
      </c>
      <c r="Q216" s="14"/>
      <c r="R216" s="14">
        <v>7.5857485282271306E-2</v>
      </c>
      <c r="S216" s="14">
        <v>4.4357980083188198E-2</v>
      </c>
      <c r="T216" s="14">
        <v>6.50991517225082E-2</v>
      </c>
      <c r="U216" s="14">
        <v>7.0866396220321703E-2</v>
      </c>
      <c r="V216" s="14">
        <v>9.3272743283016102E-2</v>
      </c>
      <c r="W216" s="14">
        <v>5.6193500760516997E-2</v>
      </c>
      <c r="X216" s="14">
        <v>6.8668274589857303E-2</v>
      </c>
      <c r="Y216" s="14">
        <v>6.0409587433258E-2</v>
      </c>
      <c r="Z216" s="14">
        <v>6.7927550303416906E-2</v>
      </c>
      <c r="AA216" s="14"/>
      <c r="AB216" s="14">
        <v>5.9830698268592102E-2</v>
      </c>
      <c r="AC216" s="14">
        <v>7.6771280128381802E-2</v>
      </c>
      <c r="AD216" s="14">
        <v>3.0900324857282099E-2</v>
      </c>
      <c r="AE216" s="14">
        <v>8.3892730712024799E-2</v>
      </c>
      <c r="AF216" s="14"/>
      <c r="AG216" s="14">
        <v>4.0751628445810401E-2</v>
      </c>
      <c r="AH216" s="14">
        <v>7.1413011163589293E-2</v>
      </c>
      <c r="AI216" s="14"/>
      <c r="AJ216" s="14">
        <v>5.14677797521099E-2</v>
      </c>
      <c r="AK216" s="14">
        <v>6.6447390283629698E-2</v>
      </c>
      <c r="AL216" s="14"/>
      <c r="AM216" s="14">
        <v>5.3150863881199002E-2</v>
      </c>
      <c r="AN216" s="14">
        <v>8.0645578865955705E-2</v>
      </c>
    </row>
    <row r="217" spans="2:40" x14ac:dyDescent="0.35">
      <c r="B217" t="s">
        <v>70</v>
      </c>
      <c r="C217" s="14">
        <v>3.5573960295233201E-2</v>
      </c>
      <c r="D217" s="14">
        <v>2.5415254919116601E-2</v>
      </c>
      <c r="E217" s="14">
        <v>4.5163955478337403E-2</v>
      </c>
      <c r="F217" s="14"/>
      <c r="G217" s="14" t="s">
        <v>76</v>
      </c>
      <c r="H217" s="14" t="s">
        <v>76</v>
      </c>
      <c r="I217" s="14">
        <v>3.5573960295233201E-2</v>
      </c>
      <c r="J217" s="14"/>
      <c r="K217" s="14" t="s">
        <v>76</v>
      </c>
      <c r="L217" s="14">
        <v>3.8105626392663502E-2</v>
      </c>
      <c r="M217" s="14">
        <v>3.07594013251722E-2</v>
      </c>
      <c r="N217" s="14"/>
      <c r="O217" s="14">
        <v>3.8315059151070002E-2</v>
      </c>
      <c r="P217" s="14">
        <v>1.14337038816865E-2</v>
      </c>
      <c r="Q217" s="14"/>
      <c r="R217" s="14">
        <v>3.2716207250552402E-2</v>
      </c>
      <c r="S217" s="14">
        <v>3.6552782433826397E-2</v>
      </c>
      <c r="T217" s="14">
        <v>5.0716076310596797E-2</v>
      </c>
      <c r="U217" s="14">
        <v>4.9212577629597902E-2</v>
      </c>
      <c r="V217" s="14">
        <v>1.6076298318129099E-2</v>
      </c>
      <c r="W217" s="14">
        <v>4.6805417878274302E-2</v>
      </c>
      <c r="X217" s="14">
        <v>3.5636639438930397E-2</v>
      </c>
      <c r="Y217" s="14">
        <v>1.23622573872863E-2</v>
      </c>
      <c r="Z217" s="14">
        <v>3.0607635014101599E-2</v>
      </c>
      <c r="AA217" s="14"/>
      <c r="AB217" s="14">
        <v>5.7323923008576201E-2</v>
      </c>
      <c r="AC217" s="14">
        <v>5.5466540696779698E-3</v>
      </c>
      <c r="AD217" s="14">
        <v>3.5792551012764601E-2</v>
      </c>
      <c r="AE217" s="14">
        <v>2.1453719332090299E-2</v>
      </c>
      <c r="AF217" s="14"/>
      <c r="AG217" s="14">
        <v>0</v>
      </c>
      <c r="AH217" s="14">
        <v>3.3981721934019098E-2</v>
      </c>
      <c r="AI217" s="14"/>
      <c r="AJ217" s="14">
        <v>1.18766096508228E-2</v>
      </c>
      <c r="AK217" s="14">
        <v>5.3567558896791899E-2</v>
      </c>
      <c r="AL217" s="14"/>
      <c r="AM217" s="14">
        <v>9.3847222123285504E-3</v>
      </c>
      <c r="AN217" s="14">
        <v>7.2105418511615796E-2</v>
      </c>
    </row>
    <row r="218" spans="2:40" x14ac:dyDescent="0.35"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</row>
    <row r="219" spans="2:40" x14ac:dyDescent="0.35">
      <c r="B219" s="6" t="s">
        <v>107</v>
      </c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</row>
    <row r="220" spans="2:40" x14ac:dyDescent="0.35">
      <c r="B220" s="24" t="s">
        <v>396</v>
      </c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</row>
    <row r="221" spans="2:40" x14ac:dyDescent="0.35">
      <c r="B221" t="s">
        <v>44</v>
      </c>
      <c r="C221" s="14">
        <v>0.91052697046025999</v>
      </c>
      <c r="D221" s="14">
        <v>0.91706469225547604</v>
      </c>
      <c r="E221" s="14">
        <v>0.90896840489460895</v>
      </c>
      <c r="F221" s="14"/>
      <c r="G221" s="14" t="s">
        <v>76</v>
      </c>
      <c r="H221" s="14" t="s">
        <v>76</v>
      </c>
      <c r="I221" s="14">
        <v>0.91052697046025999</v>
      </c>
      <c r="J221" s="14"/>
      <c r="K221" s="14" t="s">
        <v>76</v>
      </c>
      <c r="L221" s="14">
        <v>0.91052697046025999</v>
      </c>
      <c r="M221" s="14" t="s">
        <v>76</v>
      </c>
      <c r="N221" s="14"/>
      <c r="O221" s="14">
        <v>0.91645041180554498</v>
      </c>
      <c r="P221" s="14">
        <v>0.90432314869279995</v>
      </c>
      <c r="Q221" s="14"/>
      <c r="R221" s="14">
        <v>0.92239276714324203</v>
      </c>
      <c r="S221" s="14">
        <v>0.93149205107234201</v>
      </c>
      <c r="T221" s="14">
        <v>0.93128188453412797</v>
      </c>
      <c r="U221" s="14">
        <v>0.88302455048349404</v>
      </c>
      <c r="V221" s="14">
        <v>0.86640994759416101</v>
      </c>
      <c r="W221" s="14">
        <v>0.91583176102278097</v>
      </c>
      <c r="X221" s="14">
        <v>0.91675675686643399</v>
      </c>
      <c r="Y221" s="14">
        <v>0.93839308983796499</v>
      </c>
      <c r="Z221" s="14">
        <v>0.89293579379330001</v>
      </c>
      <c r="AA221" s="14"/>
      <c r="AB221" s="14">
        <v>1</v>
      </c>
      <c r="AC221" s="14">
        <v>1</v>
      </c>
      <c r="AD221" s="14" t="s">
        <v>76</v>
      </c>
      <c r="AE221" s="14" t="s">
        <v>76</v>
      </c>
      <c r="AF221" s="14"/>
      <c r="AG221" s="14" t="s">
        <v>76</v>
      </c>
      <c r="AH221" s="14" t="s">
        <v>76</v>
      </c>
      <c r="AI221" s="14"/>
      <c r="AJ221" s="14" t="s">
        <v>76</v>
      </c>
      <c r="AK221" s="14" t="s">
        <v>76</v>
      </c>
      <c r="AL221" s="14"/>
      <c r="AM221" s="14">
        <v>0.91500340938879199</v>
      </c>
      <c r="AN221" s="14">
        <v>0.93271788989965598</v>
      </c>
    </row>
    <row r="222" spans="2:40" x14ac:dyDescent="0.35">
      <c r="B222" t="s">
        <v>45</v>
      </c>
      <c r="C222" s="14">
        <v>6.4982447496872403E-2</v>
      </c>
      <c r="D222" s="14">
        <v>5.8666029424424997E-2</v>
      </c>
      <c r="E222" s="14">
        <v>6.6052545067655399E-2</v>
      </c>
      <c r="F222" s="14"/>
      <c r="G222" s="14" t="s">
        <v>76</v>
      </c>
      <c r="H222" s="14" t="s">
        <v>76</v>
      </c>
      <c r="I222" s="14">
        <v>6.4982447496872403E-2</v>
      </c>
      <c r="J222" s="14"/>
      <c r="K222" s="14" t="s">
        <v>76</v>
      </c>
      <c r="L222" s="14">
        <v>6.4982447496872403E-2</v>
      </c>
      <c r="M222" s="14" t="s">
        <v>76</v>
      </c>
      <c r="N222" s="14"/>
      <c r="O222" s="14">
        <v>6.3306887869053904E-2</v>
      </c>
      <c r="P222" s="14">
        <v>5.9828032387842803E-2</v>
      </c>
      <c r="Q222" s="14"/>
      <c r="R222" s="14">
        <v>6.1737952764392798E-2</v>
      </c>
      <c r="S222" s="14">
        <v>6.8507948927658005E-2</v>
      </c>
      <c r="T222" s="14">
        <v>3.4359058807994503E-2</v>
      </c>
      <c r="U222" s="14">
        <v>0.116975449516506</v>
      </c>
      <c r="V222" s="14">
        <v>6.6895066214087501E-2</v>
      </c>
      <c r="W222" s="14">
        <v>6.3093801351558398E-2</v>
      </c>
      <c r="X222" s="14">
        <v>8.3243243133565806E-2</v>
      </c>
      <c r="Y222" s="14">
        <v>0</v>
      </c>
      <c r="Z222" s="14">
        <v>5.3048356437539398E-2</v>
      </c>
      <c r="AA222" s="14"/>
      <c r="AB222" s="14">
        <v>0</v>
      </c>
      <c r="AC222" s="14">
        <v>0</v>
      </c>
      <c r="AD222" s="14" t="s">
        <v>76</v>
      </c>
      <c r="AE222" s="14" t="s">
        <v>76</v>
      </c>
      <c r="AF222" s="14"/>
      <c r="AG222" s="14" t="s">
        <v>76</v>
      </c>
      <c r="AH222" s="14" t="s">
        <v>76</v>
      </c>
      <c r="AI222" s="14"/>
      <c r="AJ222" s="14" t="s">
        <v>76</v>
      </c>
      <c r="AK222" s="14" t="s">
        <v>76</v>
      </c>
      <c r="AL222" s="14"/>
      <c r="AM222" s="14">
        <v>6.2369646053762898E-2</v>
      </c>
      <c r="AN222" s="14">
        <v>6.7282110100343601E-2</v>
      </c>
    </row>
    <row r="223" spans="2:40" x14ac:dyDescent="0.35">
      <c r="B223" t="s">
        <v>70</v>
      </c>
      <c r="C223" s="14">
        <v>2.4490582042867401E-2</v>
      </c>
      <c r="D223" s="14">
        <v>2.4269278320098901E-2</v>
      </c>
      <c r="E223" s="14">
        <v>2.4979050037735501E-2</v>
      </c>
      <c r="F223" s="14"/>
      <c r="G223" s="14" t="s">
        <v>76</v>
      </c>
      <c r="H223" s="14" t="s">
        <v>76</v>
      </c>
      <c r="I223" s="14">
        <v>2.4490582042867401E-2</v>
      </c>
      <c r="J223" s="14"/>
      <c r="K223" s="14" t="s">
        <v>76</v>
      </c>
      <c r="L223" s="14">
        <v>2.4490582042867401E-2</v>
      </c>
      <c r="M223" s="14" t="s">
        <v>76</v>
      </c>
      <c r="N223" s="14"/>
      <c r="O223" s="14">
        <v>2.0242700325400799E-2</v>
      </c>
      <c r="P223" s="14">
        <v>3.58488189193574E-2</v>
      </c>
      <c r="Q223" s="14"/>
      <c r="R223" s="14">
        <v>1.5869280092365601E-2</v>
      </c>
      <c r="S223" s="14">
        <v>0</v>
      </c>
      <c r="T223" s="14">
        <v>3.4359056657877897E-2</v>
      </c>
      <c r="U223" s="14">
        <v>0</v>
      </c>
      <c r="V223" s="14">
        <v>6.6694986191751598E-2</v>
      </c>
      <c r="W223" s="14">
        <v>2.1074437625660299E-2</v>
      </c>
      <c r="X223" s="14">
        <v>0</v>
      </c>
      <c r="Y223" s="14">
        <v>6.1606910162035303E-2</v>
      </c>
      <c r="Z223" s="14">
        <v>5.40158497691604E-2</v>
      </c>
      <c r="AA223" s="14"/>
      <c r="AB223" s="14">
        <v>0</v>
      </c>
      <c r="AC223" s="14">
        <v>0</v>
      </c>
      <c r="AD223" s="14" t="s">
        <v>76</v>
      </c>
      <c r="AE223" s="14" t="s">
        <v>76</v>
      </c>
      <c r="AF223" s="14"/>
      <c r="AG223" s="14" t="s">
        <v>76</v>
      </c>
      <c r="AH223" s="14" t="s">
        <v>76</v>
      </c>
      <c r="AI223" s="14"/>
      <c r="AJ223" s="14" t="s">
        <v>76</v>
      </c>
      <c r="AK223" s="14" t="s">
        <v>76</v>
      </c>
      <c r="AL223" s="14"/>
      <c r="AM223" s="14">
        <v>2.26269445574451E-2</v>
      </c>
      <c r="AN223" s="14">
        <v>0</v>
      </c>
    </row>
    <row r="224" spans="2:40" x14ac:dyDescent="0.35"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</row>
    <row r="225" spans="2:40" x14ac:dyDescent="0.35">
      <c r="B225" s="6" t="s">
        <v>111</v>
      </c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</row>
    <row r="226" spans="2:40" x14ac:dyDescent="0.35">
      <c r="B226" s="24" t="s">
        <v>114</v>
      </c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</row>
    <row r="227" spans="2:40" x14ac:dyDescent="0.35">
      <c r="B227" t="s">
        <v>108</v>
      </c>
      <c r="C227" s="14">
        <v>0.43736733715756998</v>
      </c>
      <c r="D227" s="14">
        <v>0.43601834861368899</v>
      </c>
      <c r="E227" s="14">
        <v>0.44113360935302898</v>
      </c>
      <c r="F227" s="14"/>
      <c r="G227" s="14" t="s">
        <v>76</v>
      </c>
      <c r="H227" s="14" t="s">
        <v>76</v>
      </c>
      <c r="I227" s="14">
        <v>0.43736733715756998</v>
      </c>
      <c r="J227" s="14"/>
      <c r="K227" s="14" t="s">
        <v>76</v>
      </c>
      <c r="L227" s="14">
        <v>0.43736733715756998</v>
      </c>
      <c r="M227" s="14" t="s">
        <v>76</v>
      </c>
      <c r="N227" s="14"/>
      <c r="O227" s="14">
        <v>0.411461795682667</v>
      </c>
      <c r="P227" s="14">
        <v>0.63092642661425202</v>
      </c>
      <c r="Q227" s="14"/>
      <c r="R227" s="14">
        <v>0.53625907563047304</v>
      </c>
      <c r="S227" s="14">
        <v>0.51767037795869397</v>
      </c>
      <c r="T227" s="14">
        <v>0.340973175110237</v>
      </c>
      <c r="U227" s="14">
        <v>0.36654490919050697</v>
      </c>
      <c r="V227" s="14">
        <v>0.498071811805197</v>
      </c>
      <c r="W227" s="14">
        <v>0.26813782390188401</v>
      </c>
      <c r="X227" s="14">
        <v>0.454326615042903</v>
      </c>
      <c r="Y227" s="14">
        <v>0.46872446857560202</v>
      </c>
      <c r="Z227" s="14">
        <v>0.393683146746375</v>
      </c>
      <c r="AA227" s="14"/>
      <c r="AB227" s="14">
        <v>0</v>
      </c>
      <c r="AC227" s="14">
        <v>1</v>
      </c>
      <c r="AD227" s="14" t="s">
        <v>76</v>
      </c>
      <c r="AE227" s="14" t="s">
        <v>76</v>
      </c>
      <c r="AF227" s="14"/>
      <c r="AG227" s="14" t="s">
        <v>76</v>
      </c>
      <c r="AH227" s="14" t="s">
        <v>76</v>
      </c>
      <c r="AI227" s="14"/>
      <c r="AJ227" s="14" t="s">
        <v>76</v>
      </c>
      <c r="AK227" s="14" t="s">
        <v>76</v>
      </c>
      <c r="AL227" s="14"/>
      <c r="AM227" s="14">
        <v>0.65087080538262898</v>
      </c>
      <c r="AN227" s="14">
        <v>0.10126139508281699</v>
      </c>
    </row>
    <row r="228" spans="2:40" x14ac:dyDescent="0.35">
      <c r="B228" t="s">
        <v>109</v>
      </c>
      <c r="C228" s="14">
        <v>0.34344529592988499</v>
      </c>
      <c r="D228" s="14">
        <v>0.34136278375651602</v>
      </c>
      <c r="E228" s="14">
        <v>0.34192001083099299</v>
      </c>
      <c r="F228" s="14"/>
      <c r="G228" s="14" t="s">
        <v>76</v>
      </c>
      <c r="H228" s="14" t="s">
        <v>76</v>
      </c>
      <c r="I228" s="14">
        <v>0.34344529592988499</v>
      </c>
      <c r="J228" s="14"/>
      <c r="K228" s="14" t="s">
        <v>76</v>
      </c>
      <c r="L228" s="14">
        <v>0.34344529592988499</v>
      </c>
      <c r="M228" s="14" t="s">
        <v>76</v>
      </c>
      <c r="N228" s="14"/>
      <c r="O228" s="14">
        <v>0.36251450464484303</v>
      </c>
      <c r="P228" s="14">
        <v>0.18332846108686299</v>
      </c>
      <c r="Q228" s="14"/>
      <c r="R228" s="14">
        <v>0.281458288550269</v>
      </c>
      <c r="S228" s="14">
        <v>0.165656519233397</v>
      </c>
      <c r="T228" s="14">
        <v>0.319594313316307</v>
      </c>
      <c r="U228" s="14">
        <v>0.43864317437324701</v>
      </c>
      <c r="V228" s="14">
        <v>0.38508581604936198</v>
      </c>
      <c r="W228" s="14">
        <v>0.49003447808512601</v>
      </c>
      <c r="X228" s="14">
        <v>0.452732907810172</v>
      </c>
      <c r="Y228" s="14">
        <v>0.26588385725812802</v>
      </c>
      <c r="Z228" s="14">
        <v>0.37919997443165399</v>
      </c>
      <c r="AA228" s="14"/>
      <c r="AB228" s="14">
        <v>0.78055583309265997</v>
      </c>
      <c r="AC228" s="14">
        <v>0</v>
      </c>
      <c r="AD228" s="14" t="s">
        <v>76</v>
      </c>
      <c r="AE228" s="14" t="s">
        <v>76</v>
      </c>
      <c r="AF228" s="14"/>
      <c r="AG228" s="14" t="s">
        <v>76</v>
      </c>
      <c r="AH228" s="14" t="s">
        <v>76</v>
      </c>
      <c r="AI228" s="14"/>
      <c r="AJ228" s="14" t="s">
        <v>76</v>
      </c>
      <c r="AK228" s="14" t="s">
        <v>76</v>
      </c>
      <c r="AL228" s="14"/>
      <c r="AM228" s="14">
        <v>0.18179735021943999</v>
      </c>
      <c r="AN228" s="14">
        <v>0.54399364264329697</v>
      </c>
    </row>
    <row r="229" spans="2:40" x14ac:dyDescent="0.35">
      <c r="B229" t="s">
        <v>110</v>
      </c>
      <c r="C229" s="14">
        <v>9.6555638492847998E-2</v>
      </c>
      <c r="D229" s="14">
        <v>9.6042950301246904E-2</v>
      </c>
      <c r="E229" s="14">
        <v>9.7603073600258702E-2</v>
      </c>
      <c r="F229" s="14"/>
      <c r="G229" s="14" t="s">
        <v>76</v>
      </c>
      <c r="H229" s="14" t="s">
        <v>76</v>
      </c>
      <c r="I229" s="14">
        <v>9.6555638492847998E-2</v>
      </c>
      <c r="J229" s="14"/>
      <c r="K229" s="14" t="s">
        <v>76</v>
      </c>
      <c r="L229" s="14">
        <v>9.6555638492847998E-2</v>
      </c>
      <c r="M229" s="14" t="s">
        <v>76</v>
      </c>
      <c r="N229" s="14"/>
      <c r="O229" s="14">
        <v>9.0924930495702896E-2</v>
      </c>
      <c r="P229" s="14">
        <v>0.14422094557335999</v>
      </c>
      <c r="Q229" s="14"/>
      <c r="R229" s="14">
        <v>9.9350106078159903E-2</v>
      </c>
      <c r="S229" s="14">
        <v>0.111474893006742</v>
      </c>
      <c r="T229" s="14">
        <v>0.114721008660714</v>
      </c>
      <c r="U229" s="14">
        <v>3.2273475618878E-2</v>
      </c>
      <c r="V229" s="14">
        <v>3.7576600044747603E-2</v>
      </c>
      <c r="W229" s="14">
        <v>0.13182252509473599</v>
      </c>
      <c r="X229" s="14">
        <v>4.6470236991700498E-2</v>
      </c>
      <c r="Y229" s="14">
        <v>0.13489560817308099</v>
      </c>
      <c r="Z229" s="14">
        <v>0.13723524155334599</v>
      </c>
      <c r="AA229" s="14"/>
      <c r="AB229" s="14">
        <v>0.21944416690734</v>
      </c>
      <c r="AC229" s="14">
        <v>0</v>
      </c>
      <c r="AD229" s="14" t="s">
        <v>76</v>
      </c>
      <c r="AE229" s="14" t="s">
        <v>76</v>
      </c>
      <c r="AF229" s="14"/>
      <c r="AG229" s="14" t="s">
        <v>76</v>
      </c>
      <c r="AH229" s="14" t="s">
        <v>76</v>
      </c>
      <c r="AI229" s="14"/>
      <c r="AJ229" s="14" t="s">
        <v>76</v>
      </c>
      <c r="AK229" s="14" t="s">
        <v>76</v>
      </c>
      <c r="AL229" s="14"/>
      <c r="AM229" s="14">
        <v>9.5282813119875701E-2</v>
      </c>
      <c r="AN229" s="14">
        <v>0.14142836973819001</v>
      </c>
    </row>
    <row r="230" spans="2:40" x14ac:dyDescent="0.35">
      <c r="B230" t="s">
        <v>70</v>
      </c>
      <c r="C230" s="14">
        <v>0.12263172841969699</v>
      </c>
      <c r="D230" s="14">
        <v>0.126575917328548</v>
      </c>
      <c r="E230" s="14">
        <v>0.11934330621571999</v>
      </c>
      <c r="F230" s="14"/>
      <c r="G230" s="14" t="s">
        <v>76</v>
      </c>
      <c r="H230" s="14" t="s">
        <v>76</v>
      </c>
      <c r="I230" s="14">
        <v>0.12263172841969699</v>
      </c>
      <c r="J230" s="14"/>
      <c r="K230" s="14" t="s">
        <v>76</v>
      </c>
      <c r="L230" s="14">
        <v>0.12263172841969699</v>
      </c>
      <c r="M230" s="14" t="s">
        <v>76</v>
      </c>
      <c r="N230" s="14"/>
      <c r="O230" s="14">
        <v>0.13509876917678701</v>
      </c>
      <c r="P230" s="14">
        <v>4.1524166725524898E-2</v>
      </c>
      <c r="Q230" s="14"/>
      <c r="R230" s="14">
        <v>8.2932529741098396E-2</v>
      </c>
      <c r="S230" s="14">
        <v>0.20519820980116699</v>
      </c>
      <c r="T230" s="14">
        <v>0.224711502912742</v>
      </c>
      <c r="U230" s="14">
        <v>0.16253844081736801</v>
      </c>
      <c r="V230" s="14">
        <v>7.9265772100693105E-2</v>
      </c>
      <c r="W230" s="14">
        <v>0.110005172918254</v>
      </c>
      <c r="X230" s="14">
        <v>4.6470240155223698E-2</v>
      </c>
      <c r="Y230" s="14">
        <v>0.130496065993189</v>
      </c>
      <c r="Z230" s="14">
        <v>8.9881637268624595E-2</v>
      </c>
      <c r="AA230" s="14"/>
      <c r="AB230" s="14">
        <v>0</v>
      </c>
      <c r="AC230" s="14">
        <v>0</v>
      </c>
      <c r="AD230" s="14" t="s">
        <v>76</v>
      </c>
      <c r="AE230" s="14" t="s">
        <v>76</v>
      </c>
      <c r="AF230" s="14"/>
      <c r="AG230" s="14" t="s">
        <v>76</v>
      </c>
      <c r="AH230" s="14" t="s">
        <v>76</v>
      </c>
      <c r="AI230" s="14"/>
      <c r="AJ230" s="14" t="s">
        <v>76</v>
      </c>
      <c r="AK230" s="14" t="s">
        <v>76</v>
      </c>
      <c r="AL230" s="14"/>
      <c r="AM230" s="14">
        <v>7.2049031278055495E-2</v>
      </c>
      <c r="AN230" s="14">
        <v>0.21331659253569499</v>
      </c>
    </row>
    <row r="231" spans="2:40" x14ac:dyDescent="0.35"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</row>
    <row r="232" spans="2:40" x14ac:dyDescent="0.35">
      <c r="B232" s="6" t="s">
        <v>112</v>
      </c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</row>
    <row r="233" spans="2:40" x14ac:dyDescent="0.35">
      <c r="B233" s="24" t="s">
        <v>397</v>
      </c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</row>
    <row r="234" spans="2:40" x14ac:dyDescent="0.35">
      <c r="B234" t="s">
        <v>44</v>
      </c>
      <c r="C234" s="14">
        <v>0.93512733468656195</v>
      </c>
      <c r="D234" s="14">
        <v>0.93523277650343295</v>
      </c>
      <c r="E234" s="14">
        <v>0.93429173546328204</v>
      </c>
      <c r="F234" s="14"/>
      <c r="G234" s="14" t="s">
        <v>76</v>
      </c>
      <c r="H234" s="14" t="s">
        <v>76</v>
      </c>
      <c r="I234" s="14">
        <v>0.93512733468656195</v>
      </c>
      <c r="J234" s="14"/>
      <c r="K234" s="14" t="s">
        <v>76</v>
      </c>
      <c r="L234" s="14" t="s">
        <v>76</v>
      </c>
      <c r="M234" s="14">
        <v>0.93512733468656195</v>
      </c>
      <c r="N234" s="14"/>
      <c r="O234" s="14">
        <v>0.94729760806090801</v>
      </c>
      <c r="P234" s="14">
        <v>0.90246773975051697</v>
      </c>
      <c r="Q234" s="14"/>
      <c r="R234" s="14">
        <v>0.94979056278227503</v>
      </c>
      <c r="S234" s="14">
        <v>0.900038044586288</v>
      </c>
      <c r="T234" s="14">
        <v>0.87673015946662602</v>
      </c>
      <c r="U234" s="14">
        <v>0.95695688067461004</v>
      </c>
      <c r="V234" s="14">
        <v>0.97516910819700298</v>
      </c>
      <c r="W234" s="14">
        <v>0.90390580215448502</v>
      </c>
      <c r="X234" s="14">
        <v>1</v>
      </c>
      <c r="Y234" s="14">
        <v>0.96271330044069203</v>
      </c>
      <c r="Z234" s="14">
        <v>0.93657634196252504</v>
      </c>
      <c r="AA234" s="14"/>
      <c r="AB234" s="14" t="s">
        <v>76</v>
      </c>
      <c r="AC234" s="14" t="s">
        <v>76</v>
      </c>
      <c r="AD234" s="14">
        <v>1</v>
      </c>
      <c r="AE234" s="14">
        <v>1</v>
      </c>
      <c r="AF234" s="14"/>
      <c r="AG234" s="14">
        <v>0.94250295727025002</v>
      </c>
      <c r="AH234" s="14">
        <v>0.81012968911309602</v>
      </c>
      <c r="AI234" s="14"/>
      <c r="AJ234" s="14">
        <v>0.89623850848337605</v>
      </c>
      <c r="AK234" s="14">
        <v>0.97517260366914205</v>
      </c>
      <c r="AL234" s="14"/>
      <c r="AM234" s="14">
        <v>0.94455689053521197</v>
      </c>
      <c r="AN234" s="14">
        <v>0.91852505607339896</v>
      </c>
    </row>
    <row r="235" spans="2:40" x14ac:dyDescent="0.35">
      <c r="B235" t="s">
        <v>45</v>
      </c>
      <c r="C235" s="14">
        <v>6.2730156256255803E-2</v>
      </c>
      <c r="D235" s="14">
        <v>6.4767223496566897E-2</v>
      </c>
      <c r="E235" s="14">
        <v>6.1913999623255701E-2</v>
      </c>
      <c r="F235" s="14"/>
      <c r="G235" s="14" t="s">
        <v>76</v>
      </c>
      <c r="H235" s="14" t="s">
        <v>76</v>
      </c>
      <c r="I235" s="14">
        <v>6.2730156256255803E-2</v>
      </c>
      <c r="J235" s="14"/>
      <c r="K235" s="14" t="s">
        <v>76</v>
      </c>
      <c r="L235" s="14" t="s">
        <v>76</v>
      </c>
      <c r="M235" s="14">
        <v>6.2730156256255803E-2</v>
      </c>
      <c r="N235" s="14"/>
      <c r="O235" s="14">
        <v>5.0021395870268902E-2</v>
      </c>
      <c r="P235" s="14">
        <v>9.7532260249483194E-2</v>
      </c>
      <c r="Q235" s="14"/>
      <c r="R235" s="14">
        <v>5.0209437217725E-2</v>
      </c>
      <c r="S235" s="14">
        <v>9.9961955413711695E-2</v>
      </c>
      <c r="T235" s="14">
        <v>0.123269840533374</v>
      </c>
      <c r="U235" s="14">
        <v>4.3043119325390101E-2</v>
      </c>
      <c r="V235" s="14">
        <v>0</v>
      </c>
      <c r="W235" s="14">
        <v>9.6094197845514498E-2</v>
      </c>
      <c r="X235" s="14">
        <v>0</v>
      </c>
      <c r="Y235" s="14">
        <v>3.7286699559308203E-2</v>
      </c>
      <c r="Z235" s="14">
        <v>6.3423658037474503E-2</v>
      </c>
      <c r="AA235" s="14"/>
      <c r="AB235" s="14" t="s">
        <v>76</v>
      </c>
      <c r="AC235" s="14" t="s">
        <v>76</v>
      </c>
      <c r="AD235" s="14">
        <v>0</v>
      </c>
      <c r="AE235" s="14">
        <v>0</v>
      </c>
      <c r="AF235" s="14"/>
      <c r="AG235" s="14">
        <v>5.0521945730836001E-2</v>
      </c>
      <c r="AH235" s="14">
        <v>0.18987031088690401</v>
      </c>
      <c r="AI235" s="14"/>
      <c r="AJ235" s="14">
        <v>9.92241904744178E-2</v>
      </c>
      <c r="AK235" s="14">
        <v>2.4827396330857999E-2</v>
      </c>
      <c r="AL235" s="14"/>
      <c r="AM235" s="14">
        <v>5.5443109464787803E-2</v>
      </c>
      <c r="AN235" s="14">
        <v>7.5224019428400096E-2</v>
      </c>
    </row>
    <row r="236" spans="2:40" x14ac:dyDescent="0.35">
      <c r="B236" t="s">
        <v>70</v>
      </c>
      <c r="C236" s="14">
        <v>2.1425090571824601E-3</v>
      </c>
      <c r="D236" s="14">
        <v>0</v>
      </c>
      <c r="E236" s="14">
        <v>3.7942649134623699E-3</v>
      </c>
      <c r="F236" s="14"/>
      <c r="G236" s="14" t="s">
        <v>76</v>
      </c>
      <c r="H236" s="14" t="s">
        <v>76</v>
      </c>
      <c r="I236" s="14">
        <v>2.1425090571824601E-3</v>
      </c>
      <c r="J236" s="14"/>
      <c r="K236" s="14" t="s">
        <v>76</v>
      </c>
      <c r="L236" s="14" t="s">
        <v>76</v>
      </c>
      <c r="M236" s="14">
        <v>2.1425090571824601E-3</v>
      </c>
      <c r="N236" s="14"/>
      <c r="O236" s="14">
        <v>2.6809960688228699E-3</v>
      </c>
      <c r="P236" s="14">
        <v>0</v>
      </c>
      <c r="Q236" s="14"/>
      <c r="R236" s="14">
        <v>0</v>
      </c>
      <c r="S236" s="14">
        <v>0</v>
      </c>
      <c r="T236" s="14">
        <v>0</v>
      </c>
      <c r="U236" s="14">
        <v>0</v>
      </c>
      <c r="V236" s="14">
        <v>2.4830891802997399E-2</v>
      </c>
      <c r="W236" s="14">
        <v>0</v>
      </c>
      <c r="X236" s="14">
        <v>0</v>
      </c>
      <c r="Y236" s="14">
        <v>0</v>
      </c>
      <c r="Z236" s="14">
        <v>0</v>
      </c>
      <c r="AA236" s="14"/>
      <c r="AB236" s="14" t="s">
        <v>76</v>
      </c>
      <c r="AC236" s="14" t="s">
        <v>76</v>
      </c>
      <c r="AD236" s="14">
        <v>0</v>
      </c>
      <c r="AE236" s="14">
        <v>0</v>
      </c>
      <c r="AF236" s="14"/>
      <c r="AG236" s="14">
        <v>6.9750969989137096E-3</v>
      </c>
      <c r="AH236" s="14">
        <v>0</v>
      </c>
      <c r="AI236" s="14"/>
      <c r="AJ236" s="14">
        <v>4.5373010422058201E-3</v>
      </c>
      <c r="AK236" s="14">
        <v>0</v>
      </c>
      <c r="AL236" s="14"/>
      <c r="AM236" s="14">
        <v>0</v>
      </c>
      <c r="AN236" s="14">
        <v>6.2509244982013601E-3</v>
      </c>
    </row>
    <row r="237" spans="2:40" x14ac:dyDescent="0.35"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</row>
    <row r="238" spans="2:40" x14ac:dyDescent="0.35">
      <c r="B238" s="6" t="s">
        <v>113</v>
      </c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</row>
    <row r="239" spans="2:40" x14ac:dyDescent="0.35">
      <c r="B239" s="24" t="s">
        <v>393</v>
      </c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</row>
    <row r="240" spans="2:40" x14ac:dyDescent="0.35">
      <c r="B240" t="s">
        <v>108</v>
      </c>
      <c r="C240" s="14">
        <v>0.39436660055232697</v>
      </c>
      <c r="D240" s="14">
        <v>0.45648685208774498</v>
      </c>
      <c r="E240" s="14">
        <v>0.34345735362813101</v>
      </c>
      <c r="F240" s="14"/>
      <c r="G240" s="14" t="s">
        <v>76</v>
      </c>
      <c r="H240" s="14" t="s">
        <v>76</v>
      </c>
      <c r="I240" s="14">
        <v>0.39436660055232697</v>
      </c>
      <c r="J240" s="14"/>
      <c r="K240" s="14" t="s">
        <v>76</v>
      </c>
      <c r="L240" s="14" t="s">
        <v>76</v>
      </c>
      <c r="M240" s="14">
        <v>0.39436660055232697</v>
      </c>
      <c r="N240" s="14"/>
      <c r="O240" s="14">
        <v>0.343371984004264</v>
      </c>
      <c r="P240" s="14">
        <v>0.662511042670484</v>
      </c>
      <c r="Q240" s="14"/>
      <c r="R240" s="14">
        <v>0.49815379599540499</v>
      </c>
      <c r="S240" s="14">
        <v>0.291411272519776</v>
      </c>
      <c r="T240" s="14">
        <v>7.8271090170957305E-2</v>
      </c>
      <c r="U240" s="14">
        <v>0.477547807243211</v>
      </c>
      <c r="V240" s="14">
        <v>0.448570362291487</v>
      </c>
      <c r="W240" s="14">
        <v>0.42332314017841</v>
      </c>
      <c r="X240" s="14">
        <v>0.33919485367710001</v>
      </c>
      <c r="Y240" s="14">
        <v>0.60646896507003201</v>
      </c>
      <c r="Z240" s="14">
        <v>0.476454248899366</v>
      </c>
      <c r="AA240" s="14"/>
      <c r="AB240" s="14" t="s">
        <v>76</v>
      </c>
      <c r="AC240" s="14" t="s">
        <v>76</v>
      </c>
      <c r="AD240" s="14">
        <v>0</v>
      </c>
      <c r="AE240" s="14">
        <v>1</v>
      </c>
      <c r="AF240" s="14"/>
      <c r="AG240" s="14">
        <v>0.64868859027610204</v>
      </c>
      <c r="AH240" s="14">
        <v>0.234790264523661</v>
      </c>
      <c r="AI240" s="14"/>
      <c r="AJ240" s="14">
        <v>0.51792955174579003</v>
      </c>
      <c r="AK240" s="14">
        <v>0.316287546606354</v>
      </c>
      <c r="AL240" s="14"/>
      <c r="AM240" s="14">
        <v>0.58499722665988296</v>
      </c>
      <c r="AN240" s="14">
        <v>0.14331745212521299</v>
      </c>
    </row>
    <row r="241" spans="2:40" x14ac:dyDescent="0.35">
      <c r="B241" t="s">
        <v>109</v>
      </c>
      <c r="C241" s="14">
        <v>0.45757218734486099</v>
      </c>
      <c r="D241" s="14">
        <v>0.36401485776471298</v>
      </c>
      <c r="E241" s="14">
        <v>0.53052992672906496</v>
      </c>
      <c r="F241" s="14"/>
      <c r="G241" s="14" t="s">
        <v>76</v>
      </c>
      <c r="H241" s="14" t="s">
        <v>76</v>
      </c>
      <c r="I241" s="14">
        <v>0.45757218734486099</v>
      </c>
      <c r="J241" s="14"/>
      <c r="K241" s="14" t="s">
        <v>76</v>
      </c>
      <c r="L241" s="14" t="s">
        <v>76</v>
      </c>
      <c r="M241" s="14">
        <v>0.45757218734486099</v>
      </c>
      <c r="N241" s="14"/>
      <c r="O241" s="14">
        <v>0.495946566388203</v>
      </c>
      <c r="P241" s="14">
        <v>0.26310911334712</v>
      </c>
      <c r="Q241" s="14"/>
      <c r="R241" s="14">
        <v>0.31980754548783302</v>
      </c>
      <c r="S241" s="14">
        <v>0.52186974229337602</v>
      </c>
      <c r="T241" s="14">
        <v>0.70474681850450405</v>
      </c>
      <c r="U241" s="14">
        <v>0.44785996207314299</v>
      </c>
      <c r="V241" s="14">
        <v>0.38564914754308799</v>
      </c>
      <c r="W241" s="14">
        <v>0.513630604519699</v>
      </c>
      <c r="X241" s="14">
        <v>0.58314146925180899</v>
      </c>
      <c r="Y241" s="14">
        <v>0.35268073748232298</v>
      </c>
      <c r="Z241" s="14">
        <v>0.30687650753835599</v>
      </c>
      <c r="AA241" s="14"/>
      <c r="AB241" s="14" t="s">
        <v>76</v>
      </c>
      <c r="AC241" s="14" t="s">
        <v>76</v>
      </c>
      <c r="AD241" s="14">
        <v>0.77185785594154499</v>
      </c>
      <c r="AE241" s="14">
        <v>0</v>
      </c>
      <c r="AF241" s="14"/>
      <c r="AG241" s="14">
        <v>0.22586005567037101</v>
      </c>
      <c r="AH241" s="14">
        <v>0.37395850014806198</v>
      </c>
      <c r="AI241" s="14"/>
      <c r="AJ241" s="14">
        <v>0.27264741624384697</v>
      </c>
      <c r="AK241" s="14">
        <v>0.61041579151354697</v>
      </c>
      <c r="AL241" s="14"/>
      <c r="AM241" s="14">
        <v>0.31364118095448301</v>
      </c>
      <c r="AN241" s="14">
        <v>0.58384815049175398</v>
      </c>
    </row>
    <row r="242" spans="2:40" x14ac:dyDescent="0.35">
      <c r="B242" t="s">
        <v>110</v>
      </c>
      <c r="C242" s="14">
        <v>0.13524705239286899</v>
      </c>
      <c r="D242" s="14">
        <v>0.15387344703973499</v>
      </c>
      <c r="E242" s="14">
        <v>0.122775750047507</v>
      </c>
      <c r="F242" s="14"/>
      <c r="G242" s="14" t="s">
        <v>76</v>
      </c>
      <c r="H242" s="14" t="s">
        <v>76</v>
      </c>
      <c r="I242" s="14">
        <v>0.13524705239286899</v>
      </c>
      <c r="J242" s="14"/>
      <c r="K242" s="14" t="s">
        <v>76</v>
      </c>
      <c r="L242" s="14" t="s">
        <v>76</v>
      </c>
      <c r="M242" s="14">
        <v>0.13524705239286899</v>
      </c>
      <c r="N242" s="14"/>
      <c r="O242" s="14">
        <v>0.144852650963952</v>
      </c>
      <c r="P242" s="14">
        <v>7.4379843982395694E-2</v>
      </c>
      <c r="Q242" s="14"/>
      <c r="R242" s="14">
        <v>0.14546208223309401</v>
      </c>
      <c r="S242" s="14">
        <v>0.18671898518684801</v>
      </c>
      <c r="T242" s="14">
        <v>0.16194628506474901</v>
      </c>
      <c r="U242" s="14">
        <v>7.4592230683646094E-2</v>
      </c>
      <c r="V242" s="14">
        <v>0.16578049016542501</v>
      </c>
      <c r="W242" s="14">
        <v>6.3046255301890702E-2</v>
      </c>
      <c r="X242" s="14">
        <v>7.7663677071090495E-2</v>
      </c>
      <c r="Y242" s="14">
        <v>4.0850297447645303E-2</v>
      </c>
      <c r="Z242" s="14">
        <v>0.20159209399657199</v>
      </c>
      <c r="AA242" s="14"/>
      <c r="AB242" s="14" t="s">
        <v>76</v>
      </c>
      <c r="AC242" s="14" t="s">
        <v>76</v>
      </c>
      <c r="AD242" s="14">
        <v>0.22814214405845501</v>
      </c>
      <c r="AE242" s="14">
        <v>0</v>
      </c>
      <c r="AF242" s="14"/>
      <c r="AG242" s="14">
        <v>0.11955259023920101</v>
      </c>
      <c r="AH242" s="14">
        <v>0.39125123532827699</v>
      </c>
      <c r="AI242" s="14"/>
      <c r="AJ242" s="14">
        <v>0.205387809643025</v>
      </c>
      <c r="AK242" s="14">
        <v>6.28139107408099E-2</v>
      </c>
      <c r="AL242" s="14"/>
      <c r="AM242" s="14">
        <v>8.9454923539272105E-2</v>
      </c>
      <c r="AN242" s="14">
        <v>0.25594516835287301</v>
      </c>
    </row>
    <row r="243" spans="2:40" x14ac:dyDescent="0.35">
      <c r="B243" t="s">
        <v>70</v>
      </c>
      <c r="C243" s="14">
        <v>1.28141597099429E-2</v>
      </c>
      <c r="D243" s="14">
        <v>2.56248431078074E-2</v>
      </c>
      <c r="E243" s="14">
        <v>3.2369695952963601E-3</v>
      </c>
      <c r="F243" s="14"/>
      <c r="G243" s="14" t="s">
        <v>76</v>
      </c>
      <c r="H243" s="14" t="s">
        <v>76</v>
      </c>
      <c r="I243" s="14">
        <v>1.28141597099429E-2</v>
      </c>
      <c r="J243" s="14"/>
      <c r="K243" s="14" t="s">
        <v>76</v>
      </c>
      <c r="L243" s="14" t="s">
        <v>76</v>
      </c>
      <c r="M243" s="14">
        <v>1.28141597099429E-2</v>
      </c>
      <c r="N243" s="14"/>
      <c r="O243" s="14">
        <v>1.5828798643581402E-2</v>
      </c>
      <c r="P243" s="14">
        <v>0</v>
      </c>
      <c r="Q243" s="14"/>
      <c r="R243" s="14">
        <v>3.6576576283667901E-2</v>
      </c>
      <c r="S243" s="14">
        <v>0</v>
      </c>
      <c r="T243" s="14">
        <v>5.5035806259790002E-2</v>
      </c>
      <c r="U243" s="14">
        <v>0</v>
      </c>
      <c r="V243" s="14">
        <v>0</v>
      </c>
      <c r="W243" s="14">
        <v>0</v>
      </c>
      <c r="X243" s="14">
        <v>0</v>
      </c>
      <c r="Y243" s="14">
        <v>0</v>
      </c>
      <c r="Z243" s="14">
        <v>1.5077149565705701E-2</v>
      </c>
      <c r="AA243" s="14"/>
      <c r="AB243" s="14" t="s">
        <v>76</v>
      </c>
      <c r="AC243" s="14" t="s">
        <v>76</v>
      </c>
      <c r="AD243" s="14">
        <v>0</v>
      </c>
      <c r="AE243" s="14">
        <v>0</v>
      </c>
      <c r="AF243" s="14"/>
      <c r="AG243" s="14">
        <v>5.8987638143259899E-3</v>
      </c>
      <c r="AH243" s="14">
        <v>0</v>
      </c>
      <c r="AI243" s="14"/>
      <c r="AJ243" s="14">
        <v>4.03522236733787E-3</v>
      </c>
      <c r="AK243" s="14">
        <v>1.04827511392898E-2</v>
      </c>
      <c r="AL243" s="14"/>
      <c r="AM243" s="14">
        <v>1.19066688463622E-2</v>
      </c>
      <c r="AN243" s="14">
        <v>1.68892290301598E-2</v>
      </c>
    </row>
    <row r="244" spans="2:40" x14ac:dyDescent="0.35"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</row>
    <row r="245" spans="2:40" x14ac:dyDescent="0.35">
      <c r="B245" s="6" t="s">
        <v>118</v>
      </c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</row>
    <row r="246" spans="2:40" x14ac:dyDescent="0.35">
      <c r="B246" s="26" t="s">
        <v>123</v>
      </c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</row>
    <row r="247" spans="2:40" x14ac:dyDescent="0.35">
      <c r="B247" t="s">
        <v>115</v>
      </c>
      <c r="C247" s="14">
        <v>0.17731860157132101</v>
      </c>
      <c r="D247" s="14">
        <v>0.22571700434622</v>
      </c>
      <c r="E247" s="14">
        <v>0.14263491871713599</v>
      </c>
      <c r="F247" s="14"/>
      <c r="G247" s="14" t="s">
        <v>76</v>
      </c>
      <c r="H247" s="14" t="s">
        <v>76</v>
      </c>
      <c r="I247" s="14">
        <v>0.17731860157132101</v>
      </c>
      <c r="J247" s="14"/>
      <c r="K247" s="14" t="s">
        <v>76</v>
      </c>
      <c r="L247" s="14" t="s">
        <v>76</v>
      </c>
      <c r="M247" s="14">
        <v>0.17731860157132101</v>
      </c>
      <c r="N247" s="14"/>
      <c r="O247" s="14">
        <v>0.14711135327398001</v>
      </c>
      <c r="P247" s="14">
        <v>0.32073467780731102</v>
      </c>
      <c r="Q247" s="14"/>
      <c r="R247" s="14">
        <v>0.19222076932312099</v>
      </c>
      <c r="S247" s="14">
        <v>0.17137670632996199</v>
      </c>
      <c r="T247" s="14">
        <v>7.1263083127047905E-2</v>
      </c>
      <c r="U247" s="14">
        <v>9.2903107539674595E-2</v>
      </c>
      <c r="V247" s="14">
        <v>0.41822920516789203</v>
      </c>
      <c r="W247" s="14">
        <v>0.16209429301415601</v>
      </c>
      <c r="X247" s="14">
        <v>0.22515419779385801</v>
      </c>
      <c r="Y247" s="14">
        <v>0.11594094900771799</v>
      </c>
      <c r="Z247" s="14">
        <v>0.16592779255244</v>
      </c>
      <c r="AA247" s="14"/>
      <c r="AB247" s="14" t="s">
        <v>76</v>
      </c>
      <c r="AC247" s="14" t="s">
        <v>76</v>
      </c>
      <c r="AD247" s="14">
        <v>9.3072089784357895E-2</v>
      </c>
      <c r="AE247" s="14">
        <v>0.288392358043498</v>
      </c>
      <c r="AF247" s="14"/>
      <c r="AG247" s="14">
        <v>0.57727384699983098</v>
      </c>
      <c r="AH247" s="14">
        <v>0</v>
      </c>
      <c r="AI247" s="14"/>
      <c r="AJ247" s="14">
        <v>0.375516674253908</v>
      </c>
      <c r="AK247" s="14">
        <v>0</v>
      </c>
      <c r="AL247" s="14"/>
      <c r="AM247" s="14">
        <v>0.31188876221960998</v>
      </c>
      <c r="AN247" s="14">
        <v>6.5108567626754196E-2</v>
      </c>
    </row>
    <row r="248" spans="2:40" x14ac:dyDescent="0.35">
      <c r="B248" t="s">
        <v>116</v>
      </c>
      <c r="C248" s="14">
        <v>0.129846884086603</v>
      </c>
      <c r="D248" s="14">
        <v>0.17019615750174599</v>
      </c>
      <c r="E248" s="14">
        <v>0.10072201251594599</v>
      </c>
      <c r="F248" s="14"/>
      <c r="G248" s="14" t="s">
        <v>76</v>
      </c>
      <c r="H248" s="14" t="s">
        <v>76</v>
      </c>
      <c r="I248" s="14">
        <v>0.129846884086603</v>
      </c>
      <c r="J248" s="14"/>
      <c r="K248" s="14" t="s">
        <v>76</v>
      </c>
      <c r="L248" s="14" t="s">
        <v>76</v>
      </c>
      <c r="M248" s="14">
        <v>0.129846884086603</v>
      </c>
      <c r="N248" s="14"/>
      <c r="O248" s="14">
        <v>0.10861226530878999</v>
      </c>
      <c r="P248" s="14">
        <v>0.246130667535744</v>
      </c>
      <c r="Q248" s="14"/>
      <c r="R248" s="14">
        <v>0.17180013511488701</v>
      </c>
      <c r="S248" s="14">
        <v>8.9271842806346993E-2</v>
      </c>
      <c r="T248" s="14">
        <v>0.123137798970774</v>
      </c>
      <c r="U248" s="14">
        <v>0.15147312903479301</v>
      </c>
      <c r="V248" s="14">
        <v>0.10284882990367999</v>
      </c>
      <c r="W248" s="14">
        <v>8.9066895926725301E-2</v>
      </c>
      <c r="X248" s="14">
        <v>0.11224639428505601</v>
      </c>
      <c r="Y248" s="14">
        <v>0.22079688216216001</v>
      </c>
      <c r="Z248" s="14">
        <v>0.15180689628622199</v>
      </c>
      <c r="AA248" s="14"/>
      <c r="AB248" s="14" t="s">
        <v>76</v>
      </c>
      <c r="AC248" s="14" t="s">
        <v>76</v>
      </c>
      <c r="AD248" s="14">
        <v>8.7312871682395599E-2</v>
      </c>
      <c r="AE248" s="14">
        <v>0.22084530560603399</v>
      </c>
      <c r="AF248" s="14"/>
      <c r="AG248" s="14">
        <v>0.42272615300016902</v>
      </c>
      <c r="AH248" s="14">
        <v>0</v>
      </c>
      <c r="AI248" s="14"/>
      <c r="AJ248" s="14">
        <v>0.27498338946025203</v>
      </c>
      <c r="AK248" s="14">
        <v>0</v>
      </c>
      <c r="AL248" s="14"/>
      <c r="AM248" s="14">
        <v>0.24010443023915701</v>
      </c>
      <c r="AN248" s="14">
        <v>3.0051286211864401E-2</v>
      </c>
    </row>
    <row r="249" spans="2:40" x14ac:dyDescent="0.35">
      <c r="B249" t="s">
        <v>117</v>
      </c>
      <c r="C249" s="14">
        <v>0.66438332586705895</v>
      </c>
      <c r="D249" s="14">
        <v>0.59168540490620203</v>
      </c>
      <c r="E249" s="14">
        <v>0.71567397475561001</v>
      </c>
      <c r="F249" s="14"/>
      <c r="G249" s="14" t="s">
        <v>76</v>
      </c>
      <c r="H249" s="14" t="s">
        <v>76</v>
      </c>
      <c r="I249" s="14">
        <v>0.66438332586705895</v>
      </c>
      <c r="J249" s="14"/>
      <c r="K249" s="14" t="s">
        <v>76</v>
      </c>
      <c r="L249" s="14" t="s">
        <v>76</v>
      </c>
      <c r="M249" s="14">
        <v>0.66438332586705895</v>
      </c>
      <c r="N249" s="14"/>
      <c r="O249" s="14">
        <v>0.70867442015636595</v>
      </c>
      <c r="P249" s="14">
        <v>0.43313465465694501</v>
      </c>
      <c r="Q249" s="14"/>
      <c r="R249" s="14">
        <v>0.60123900858887802</v>
      </c>
      <c r="S249" s="14">
        <v>0.72886196286467497</v>
      </c>
      <c r="T249" s="14">
        <v>0.80559911790217897</v>
      </c>
      <c r="U249" s="14">
        <v>0.70464716259632199</v>
      </c>
      <c r="V249" s="14">
        <v>0.47892196492842798</v>
      </c>
      <c r="W249" s="14">
        <v>0.74883881105911898</v>
      </c>
      <c r="X249" s="14">
        <v>0.58068578313532104</v>
      </c>
      <c r="Y249" s="14">
        <v>0.66326216883012201</v>
      </c>
      <c r="Z249" s="14">
        <v>0.61537093230153805</v>
      </c>
      <c r="AA249" s="14"/>
      <c r="AB249" s="14" t="s">
        <v>76</v>
      </c>
      <c r="AC249" s="14" t="s">
        <v>76</v>
      </c>
      <c r="AD249" s="14">
        <v>0.77788408245932905</v>
      </c>
      <c r="AE249" s="14">
        <v>0.49076233635046701</v>
      </c>
      <c r="AF249" s="14"/>
      <c r="AG249" s="14">
        <v>0</v>
      </c>
      <c r="AH249" s="14">
        <v>1</v>
      </c>
      <c r="AI249" s="14"/>
      <c r="AJ249" s="14">
        <v>0.34949993628583997</v>
      </c>
      <c r="AK249" s="14">
        <v>1</v>
      </c>
      <c r="AL249" s="14"/>
      <c r="AM249" s="14">
        <v>0.422014549141773</v>
      </c>
      <c r="AN249" s="14">
        <v>0.85526308333040202</v>
      </c>
    </row>
    <row r="250" spans="2:40" x14ac:dyDescent="0.35">
      <c r="B250" t="s">
        <v>70</v>
      </c>
      <c r="C250" s="14">
        <v>2.8451188475017201E-2</v>
      </c>
      <c r="D250" s="14">
        <v>1.24014332458313E-2</v>
      </c>
      <c r="E250" s="14">
        <v>4.0969094011307702E-2</v>
      </c>
      <c r="F250" s="14"/>
      <c r="G250" s="14" t="s">
        <v>76</v>
      </c>
      <c r="H250" s="14" t="s">
        <v>76</v>
      </c>
      <c r="I250" s="14">
        <v>2.8451188475017201E-2</v>
      </c>
      <c r="J250" s="14"/>
      <c r="K250" s="14" t="s">
        <v>76</v>
      </c>
      <c r="L250" s="14" t="s">
        <v>76</v>
      </c>
      <c r="M250" s="14">
        <v>2.8451188475017201E-2</v>
      </c>
      <c r="N250" s="14"/>
      <c r="O250" s="14">
        <v>3.5601961260863797E-2</v>
      </c>
      <c r="P250" s="14">
        <v>0</v>
      </c>
      <c r="Q250" s="14"/>
      <c r="R250" s="14">
        <v>3.4740086973113801E-2</v>
      </c>
      <c r="S250" s="14">
        <v>1.0489487999015199E-2</v>
      </c>
      <c r="T250" s="14">
        <v>0</v>
      </c>
      <c r="U250" s="14">
        <v>5.0976600829210503E-2</v>
      </c>
      <c r="V250" s="14">
        <v>0</v>
      </c>
      <c r="W250" s="14">
        <v>0</v>
      </c>
      <c r="X250" s="14">
        <v>8.1913624785765402E-2</v>
      </c>
      <c r="Y250" s="14">
        <v>0</v>
      </c>
      <c r="Z250" s="14">
        <v>6.6894378859799999E-2</v>
      </c>
      <c r="AA250" s="14"/>
      <c r="AB250" s="14" t="s">
        <v>76</v>
      </c>
      <c r="AC250" s="14" t="s">
        <v>76</v>
      </c>
      <c r="AD250" s="14">
        <v>4.1730956073917802E-2</v>
      </c>
      <c r="AE250" s="14">
        <v>0</v>
      </c>
      <c r="AF250" s="14"/>
      <c r="AG250" s="14">
        <v>0</v>
      </c>
      <c r="AH250" s="14">
        <v>0</v>
      </c>
      <c r="AI250" s="14"/>
      <c r="AJ250" s="14">
        <v>0</v>
      </c>
      <c r="AK250" s="14">
        <v>0</v>
      </c>
      <c r="AL250" s="14"/>
      <c r="AM250" s="14">
        <v>2.5992258399461E-2</v>
      </c>
      <c r="AN250" s="14">
        <v>4.95770628309792E-2</v>
      </c>
    </row>
    <row r="251" spans="2:40" x14ac:dyDescent="0.35"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</row>
    <row r="252" spans="2:40" x14ac:dyDescent="0.35">
      <c r="B252" s="6" t="s">
        <v>122</v>
      </c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</row>
    <row r="253" spans="2:40" x14ac:dyDescent="0.35">
      <c r="B253" s="26" t="s">
        <v>394</v>
      </c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</row>
    <row r="254" spans="2:40" x14ac:dyDescent="0.35">
      <c r="B254" t="s">
        <v>119</v>
      </c>
      <c r="C254" s="14">
        <v>0.139435927230046</v>
      </c>
      <c r="D254" s="14">
        <v>0.193782960565554</v>
      </c>
      <c r="E254" s="14">
        <v>0.10758857847957599</v>
      </c>
      <c r="F254" s="14"/>
      <c r="G254" s="14" t="s">
        <v>76</v>
      </c>
      <c r="H254" s="14" t="s">
        <v>76</v>
      </c>
      <c r="I254" s="14">
        <v>0.139435927230046</v>
      </c>
      <c r="J254" s="14"/>
      <c r="K254" s="14" t="s">
        <v>76</v>
      </c>
      <c r="L254" s="14" t="s">
        <v>76</v>
      </c>
      <c r="M254" s="14">
        <v>0.139435927230046</v>
      </c>
      <c r="N254" s="14"/>
      <c r="O254" s="14">
        <v>0.13617321412810901</v>
      </c>
      <c r="P254" s="14">
        <v>0.180279874263964</v>
      </c>
      <c r="Q254" s="14"/>
      <c r="R254" s="14">
        <v>0.22978965034921101</v>
      </c>
      <c r="S254" s="14">
        <v>7.5769787228022703E-2</v>
      </c>
      <c r="T254" s="14">
        <v>0.14973873582698199</v>
      </c>
      <c r="U254" s="14">
        <v>6.85900219199473E-2</v>
      </c>
      <c r="V254" s="14">
        <v>0.16559325375089701</v>
      </c>
      <c r="W254" s="14">
        <v>0.15775483115074801</v>
      </c>
      <c r="X254" s="14">
        <v>0.32395454460743101</v>
      </c>
      <c r="Y254" s="14">
        <v>0</v>
      </c>
      <c r="Z254" s="14">
        <v>0.108705782721341</v>
      </c>
      <c r="AA254" s="14"/>
      <c r="AB254" s="14" t="s">
        <v>76</v>
      </c>
      <c r="AC254" s="14" t="s">
        <v>76</v>
      </c>
      <c r="AD254" s="14">
        <v>0.123649641764162</v>
      </c>
      <c r="AE254" s="14">
        <v>8.3023533482470699E-2</v>
      </c>
      <c r="AF254" s="14"/>
      <c r="AG254" s="14" t="s">
        <v>76</v>
      </c>
      <c r="AH254" s="14">
        <v>0.56133386123382301</v>
      </c>
      <c r="AI254" s="14"/>
      <c r="AJ254" s="14">
        <v>0.56133386123382301</v>
      </c>
      <c r="AK254" s="14">
        <v>0</v>
      </c>
      <c r="AL254" s="14"/>
      <c r="AM254" s="14">
        <v>0.115254496572261</v>
      </c>
      <c r="AN254" s="14">
        <v>0.18534622247989099</v>
      </c>
    </row>
    <row r="255" spans="2:40" x14ac:dyDescent="0.35">
      <c r="B255" t="s">
        <v>120</v>
      </c>
      <c r="C255" s="14">
        <v>0.10896513470404599</v>
      </c>
      <c r="D255" s="14">
        <v>0.127573578297522</v>
      </c>
      <c r="E255" s="14">
        <v>9.9056886537333605E-2</v>
      </c>
      <c r="F255" s="14"/>
      <c r="G255" s="14" t="s">
        <v>76</v>
      </c>
      <c r="H255" s="14" t="s">
        <v>76</v>
      </c>
      <c r="I255" s="14">
        <v>0.10896513470404599</v>
      </c>
      <c r="J255" s="14"/>
      <c r="K255" s="14" t="s">
        <v>76</v>
      </c>
      <c r="L255" s="14" t="s">
        <v>76</v>
      </c>
      <c r="M255" s="14">
        <v>0.10896513470404599</v>
      </c>
      <c r="N255" s="14"/>
      <c r="O255" s="14">
        <v>0.11202400969718999</v>
      </c>
      <c r="P255" s="14">
        <v>5.1172406075651697E-2</v>
      </c>
      <c r="Q255" s="14"/>
      <c r="R255" s="14">
        <v>2.5729119407801201E-2</v>
      </c>
      <c r="S255" s="14">
        <v>0.108836224926917</v>
      </c>
      <c r="T255" s="14">
        <v>0.14835495995465101</v>
      </c>
      <c r="U255" s="14">
        <v>0.149542333142339</v>
      </c>
      <c r="V255" s="14">
        <v>0.22381236597662399</v>
      </c>
      <c r="W255" s="14">
        <v>0.107020758614552</v>
      </c>
      <c r="X255" s="14">
        <v>0.133744745082084</v>
      </c>
      <c r="Y255" s="14">
        <v>0</v>
      </c>
      <c r="Z255" s="14">
        <v>9.6102553021873496E-2</v>
      </c>
      <c r="AA255" s="14"/>
      <c r="AB255" s="14" t="s">
        <v>76</v>
      </c>
      <c r="AC255" s="14" t="s">
        <v>76</v>
      </c>
      <c r="AD255" s="14">
        <v>0.11359656674606999</v>
      </c>
      <c r="AE255" s="14">
        <v>9.0422631469621206E-2</v>
      </c>
      <c r="AF255" s="14"/>
      <c r="AG255" s="14" t="s">
        <v>76</v>
      </c>
      <c r="AH255" s="14">
        <v>0.43866613876617599</v>
      </c>
      <c r="AI255" s="14"/>
      <c r="AJ255" s="14">
        <v>0.43866613876617599</v>
      </c>
      <c r="AK255" s="14">
        <v>0</v>
      </c>
      <c r="AL255" s="14"/>
      <c r="AM255" s="14">
        <v>0.130988416298921</v>
      </c>
      <c r="AN255" s="14">
        <v>0.14182817126369701</v>
      </c>
    </row>
    <row r="256" spans="2:40" x14ac:dyDescent="0.35">
      <c r="B256" t="s">
        <v>121</v>
      </c>
      <c r="C256" s="14">
        <v>0.73001358285699702</v>
      </c>
      <c r="D256" s="14">
        <v>0.64840868578295496</v>
      </c>
      <c r="E256" s="14">
        <v>0.776847601317324</v>
      </c>
      <c r="F256" s="14"/>
      <c r="G256" s="14" t="s">
        <v>76</v>
      </c>
      <c r="H256" s="14" t="s">
        <v>76</v>
      </c>
      <c r="I256" s="14">
        <v>0.73001358285699702</v>
      </c>
      <c r="J256" s="14"/>
      <c r="K256" s="14" t="s">
        <v>76</v>
      </c>
      <c r="L256" s="14" t="s">
        <v>76</v>
      </c>
      <c r="M256" s="14">
        <v>0.73001358285699702</v>
      </c>
      <c r="N256" s="14"/>
      <c r="O256" s="14">
        <v>0.72648038707640805</v>
      </c>
      <c r="P256" s="14">
        <v>0.76854771966038404</v>
      </c>
      <c r="Q256" s="14"/>
      <c r="R256" s="14">
        <v>0.74448123024298796</v>
      </c>
      <c r="S256" s="14">
        <v>0.78130561739109505</v>
      </c>
      <c r="T256" s="14">
        <v>0.70190630421836797</v>
      </c>
      <c r="U256" s="14">
        <v>0.78186764493771299</v>
      </c>
      <c r="V256" s="14">
        <v>0.61059438027247803</v>
      </c>
      <c r="W256" s="14">
        <v>0.73522441023470098</v>
      </c>
      <c r="X256" s="14">
        <v>0.54230071031048499</v>
      </c>
      <c r="Y256" s="14">
        <v>0.94070651604030298</v>
      </c>
      <c r="Z256" s="14">
        <v>0.69212593673745504</v>
      </c>
      <c r="AA256" s="14"/>
      <c r="AB256" s="14" t="s">
        <v>76</v>
      </c>
      <c r="AC256" s="14" t="s">
        <v>76</v>
      </c>
      <c r="AD256" s="14">
        <v>0.73839117661197895</v>
      </c>
      <c r="AE256" s="14">
        <v>0.82655383504790803</v>
      </c>
      <c r="AF256" s="14"/>
      <c r="AG256" s="14" t="s">
        <v>76</v>
      </c>
      <c r="AH256" s="14">
        <v>0</v>
      </c>
      <c r="AI256" s="14"/>
      <c r="AJ256" s="14">
        <v>0</v>
      </c>
      <c r="AK256" s="14">
        <v>1</v>
      </c>
      <c r="AL256" s="14"/>
      <c r="AM256" s="14">
        <v>0.74289990433768704</v>
      </c>
      <c r="AN256" s="14">
        <v>0.63079466326380096</v>
      </c>
    </row>
    <row r="257" spans="2:40" x14ac:dyDescent="0.35">
      <c r="B257" t="s">
        <v>70</v>
      </c>
      <c r="C257" s="14">
        <v>2.1585355208911201E-2</v>
      </c>
      <c r="D257" s="14">
        <v>3.0234775353968801E-2</v>
      </c>
      <c r="E257" s="14">
        <v>1.6506933665765999E-2</v>
      </c>
      <c r="F257" s="14"/>
      <c r="G257" s="14" t="s">
        <v>76</v>
      </c>
      <c r="H257" s="14" t="s">
        <v>76</v>
      </c>
      <c r="I257" s="14">
        <v>2.1585355208911201E-2</v>
      </c>
      <c r="J257" s="14"/>
      <c r="K257" s="14" t="s">
        <v>76</v>
      </c>
      <c r="L257" s="14" t="s">
        <v>76</v>
      </c>
      <c r="M257" s="14">
        <v>2.1585355208911201E-2</v>
      </c>
      <c r="N257" s="14"/>
      <c r="O257" s="14">
        <v>2.5322389098293398E-2</v>
      </c>
      <c r="P257" s="14">
        <v>0</v>
      </c>
      <c r="Q257" s="14"/>
      <c r="R257" s="14">
        <v>0</v>
      </c>
      <c r="S257" s="14">
        <v>3.4088370453965698E-2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14">
        <v>5.9293483959697302E-2</v>
      </c>
      <c r="Z257" s="14">
        <v>0.10306572751933001</v>
      </c>
      <c r="AA257" s="14"/>
      <c r="AB257" s="14" t="s">
        <v>76</v>
      </c>
      <c r="AC257" s="14" t="s">
        <v>76</v>
      </c>
      <c r="AD257" s="14">
        <v>2.4362614877790002E-2</v>
      </c>
      <c r="AE257" s="14">
        <v>0</v>
      </c>
      <c r="AF257" s="14"/>
      <c r="AG257" s="14" t="s">
        <v>76</v>
      </c>
      <c r="AH257" s="14">
        <v>0</v>
      </c>
      <c r="AI257" s="14"/>
      <c r="AJ257" s="14">
        <v>0</v>
      </c>
      <c r="AK257" s="14">
        <v>0</v>
      </c>
      <c r="AL257" s="14"/>
      <c r="AM257" s="14">
        <v>1.08571827911305E-2</v>
      </c>
      <c r="AN257" s="14">
        <v>4.2030942992611398E-2</v>
      </c>
    </row>
    <row r="258" spans="2:40" x14ac:dyDescent="0.35"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</row>
    <row r="259" spans="2:40" x14ac:dyDescent="0.35">
      <c r="B259" s="6" t="s">
        <v>139</v>
      </c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</row>
    <row r="260" spans="2:40" x14ac:dyDescent="0.35">
      <c r="B260" s="24" t="s">
        <v>138</v>
      </c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</row>
    <row r="261" spans="2:40" x14ac:dyDescent="0.35">
      <c r="B261" t="s">
        <v>128</v>
      </c>
      <c r="C261" s="14">
        <v>0.183872358925565</v>
      </c>
      <c r="D261" s="14">
        <v>0.21685198941617201</v>
      </c>
      <c r="E261" s="14">
        <v>0.15053496023218099</v>
      </c>
      <c r="F261" s="14"/>
      <c r="G261" s="14">
        <v>0.206141763605802</v>
      </c>
      <c r="H261" s="14">
        <v>0.21208539396994</v>
      </c>
      <c r="I261" s="14">
        <v>0.161514608830189</v>
      </c>
      <c r="J261" s="14"/>
      <c r="K261" s="14">
        <v>0.208822069764066</v>
      </c>
      <c r="L261" s="14">
        <v>0.17621152156775999</v>
      </c>
      <c r="M261" s="14">
        <v>0.13356497000352999</v>
      </c>
      <c r="N261" s="14"/>
      <c r="O261" s="14">
        <v>0.17309760011733299</v>
      </c>
      <c r="P261" s="14">
        <v>0.267907393918416</v>
      </c>
      <c r="Q261" s="14"/>
      <c r="R261" s="14">
        <v>0.241484701538209</v>
      </c>
      <c r="S261" s="14">
        <v>0.13460418382209699</v>
      </c>
      <c r="T261" s="14">
        <v>0.159911813819379</v>
      </c>
      <c r="U261" s="14">
        <v>0.12682088689134899</v>
      </c>
      <c r="V261" s="14">
        <v>0.19843456830306599</v>
      </c>
      <c r="W261" s="14">
        <v>0.19943243867298099</v>
      </c>
      <c r="X261" s="14">
        <v>0.193852181927299</v>
      </c>
      <c r="Y261" s="14">
        <v>0.15751407810823401</v>
      </c>
      <c r="Z261" s="14">
        <v>0.220745663062235</v>
      </c>
      <c r="AA261" s="14"/>
      <c r="AB261" s="14">
        <v>0.10603200413177399</v>
      </c>
      <c r="AC261" s="14">
        <v>0.33265395744984799</v>
      </c>
      <c r="AD261" s="14">
        <v>7.5238261060758302E-2</v>
      </c>
      <c r="AE261" s="14">
        <v>0.20414965754678499</v>
      </c>
      <c r="AF261" s="14"/>
      <c r="AG261" s="14">
        <v>0.27107078173323101</v>
      </c>
      <c r="AH261" s="14">
        <v>0</v>
      </c>
      <c r="AI261" s="14"/>
      <c r="AJ261" s="14">
        <v>0.176331560788514</v>
      </c>
      <c r="AK261" s="14">
        <v>9.1605907155419594E-2</v>
      </c>
      <c r="AL261" s="14"/>
      <c r="AM261" s="14">
        <v>0.31283993129958998</v>
      </c>
      <c r="AN261" s="14">
        <v>6.5741438157370501E-3</v>
      </c>
    </row>
    <row r="262" spans="2:40" x14ac:dyDescent="0.35">
      <c r="B262" t="s">
        <v>129</v>
      </c>
      <c r="C262" s="14">
        <v>0.327376544337937</v>
      </c>
      <c r="D262" s="14">
        <v>0.365230751412711</v>
      </c>
      <c r="E262" s="14">
        <v>0.29024060393467599</v>
      </c>
      <c r="F262" s="14"/>
      <c r="G262" s="14">
        <v>0.33300335644534201</v>
      </c>
      <c r="H262" s="14">
        <v>0.336671945842834</v>
      </c>
      <c r="I262" s="14">
        <v>0.320851788521194</v>
      </c>
      <c r="J262" s="14"/>
      <c r="K262" s="14">
        <v>0.33465772291024998</v>
      </c>
      <c r="L262" s="14">
        <v>0.33056816914158899</v>
      </c>
      <c r="M262" s="14">
        <v>0.30237380379803802</v>
      </c>
      <c r="N262" s="14"/>
      <c r="O262" s="14">
        <v>0.32371950910905201</v>
      </c>
      <c r="P262" s="14">
        <v>0.36196061395164902</v>
      </c>
      <c r="Q262" s="14"/>
      <c r="R262" s="14">
        <v>0.384286027341951</v>
      </c>
      <c r="S262" s="14">
        <v>0.34257410369373398</v>
      </c>
      <c r="T262" s="14">
        <v>0.361777550921771</v>
      </c>
      <c r="U262" s="14">
        <v>0.28429734420483999</v>
      </c>
      <c r="V262" s="14">
        <v>0.284566549370941</v>
      </c>
      <c r="W262" s="14">
        <v>0.32928671120362102</v>
      </c>
      <c r="X262" s="14">
        <v>0.27079617979890602</v>
      </c>
      <c r="Y262" s="14">
        <v>0.35992697324501599</v>
      </c>
      <c r="Z262" s="14">
        <v>0.30766372360649702</v>
      </c>
      <c r="AA262" s="14"/>
      <c r="AB262" s="14">
        <v>0.21823037208372101</v>
      </c>
      <c r="AC262" s="14">
        <v>0.47565197917263702</v>
      </c>
      <c r="AD262" s="14">
        <v>0.21936627778228501</v>
      </c>
      <c r="AE262" s="14">
        <v>0.44594227622944899</v>
      </c>
      <c r="AF262" s="14"/>
      <c r="AG262" s="14">
        <v>0.39567253730441798</v>
      </c>
      <c r="AH262" s="14">
        <v>0.29028880647171201</v>
      </c>
      <c r="AI262" s="14"/>
      <c r="AJ262" s="14">
        <v>0.35884093009282297</v>
      </c>
      <c r="AK262" s="14">
        <v>0.25648906197346499</v>
      </c>
      <c r="AL262" s="14"/>
      <c r="AM262" s="14">
        <v>0.49345571135885802</v>
      </c>
      <c r="AN262" s="14">
        <v>5.0485268625040602E-2</v>
      </c>
    </row>
    <row r="263" spans="2:40" x14ac:dyDescent="0.35">
      <c r="B263" t="s">
        <v>130</v>
      </c>
      <c r="C263" s="14">
        <v>0.244990028242003</v>
      </c>
      <c r="D263" s="14">
        <v>0.22041824315341901</v>
      </c>
      <c r="E263" s="14">
        <v>0.269549605896867</v>
      </c>
      <c r="F263" s="14"/>
      <c r="G263" s="14">
        <v>0.25938959269242701</v>
      </c>
      <c r="H263" s="14">
        <v>0.22678416910305299</v>
      </c>
      <c r="I263" s="14">
        <v>0.245262441270647</v>
      </c>
      <c r="J263" s="14"/>
      <c r="K263" s="14">
        <v>0.244686034044719</v>
      </c>
      <c r="L263" s="14">
        <v>0.252257080199703</v>
      </c>
      <c r="M263" s="14">
        <v>0.23196048899803001</v>
      </c>
      <c r="N263" s="14"/>
      <c r="O263" s="14">
        <v>0.24895838343246399</v>
      </c>
      <c r="P263" s="14">
        <v>0.23112979367745701</v>
      </c>
      <c r="Q263" s="14"/>
      <c r="R263" s="14">
        <v>0.224350536866462</v>
      </c>
      <c r="S263" s="14">
        <v>0.22413377251170899</v>
      </c>
      <c r="T263" s="14">
        <v>0.20649424976672201</v>
      </c>
      <c r="U263" s="14">
        <v>0.29921182030677401</v>
      </c>
      <c r="V263" s="14">
        <v>0.23667465756988601</v>
      </c>
      <c r="W263" s="14">
        <v>0.23485959600329201</v>
      </c>
      <c r="X263" s="14">
        <v>0.272107862445083</v>
      </c>
      <c r="Y263" s="14">
        <v>0.33001289295745601</v>
      </c>
      <c r="Z263" s="14">
        <v>0.23970603184709499</v>
      </c>
      <c r="AA263" s="14"/>
      <c r="AB263" s="14">
        <v>0.310892746933571</v>
      </c>
      <c r="AC263" s="14">
        <v>0.124818955400049</v>
      </c>
      <c r="AD263" s="14">
        <v>0.235326217581043</v>
      </c>
      <c r="AE263" s="14">
        <v>0.24889369687528101</v>
      </c>
      <c r="AF263" s="14"/>
      <c r="AG263" s="14">
        <v>0.19311643522672101</v>
      </c>
      <c r="AH263" s="14">
        <v>0.18899874345426099</v>
      </c>
      <c r="AI263" s="14"/>
      <c r="AJ263" s="14">
        <v>0.191677302214601</v>
      </c>
      <c r="AK263" s="14">
        <v>0.286057253640356</v>
      </c>
      <c r="AL263" s="14"/>
      <c r="AM263" s="14">
        <v>0.15579621758255099</v>
      </c>
      <c r="AN263" s="14">
        <v>0.10363579521637301</v>
      </c>
    </row>
    <row r="264" spans="2:40" x14ac:dyDescent="0.35">
      <c r="B264" t="s">
        <v>131</v>
      </c>
      <c r="C264" s="14">
        <v>0.16418618700093801</v>
      </c>
      <c r="D264" s="14">
        <v>0.132379832866304</v>
      </c>
      <c r="E264" s="14">
        <v>0.196323140220481</v>
      </c>
      <c r="F264" s="14"/>
      <c r="G264" s="14">
        <v>0.115413775795183</v>
      </c>
      <c r="H264" s="14">
        <v>0.17140760740643601</v>
      </c>
      <c r="I264" s="14">
        <v>0.18526432113854699</v>
      </c>
      <c r="J264" s="14"/>
      <c r="K264" s="14">
        <v>0.14066443953059399</v>
      </c>
      <c r="L264" s="14">
        <v>0.164581049273409</v>
      </c>
      <c r="M264" s="14">
        <v>0.22459843087347101</v>
      </c>
      <c r="N264" s="14"/>
      <c r="O264" s="14">
        <v>0.16912399397142799</v>
      </c>
      <c r="P264" s="14">
        <v>0.12082012586108699</v>
      </c>
      <c r="Q264" s="14"/>
      <c r="R264" s="14">
        <v>0.11238701944366</v>
      </c>
      <c r="S264" s="14">
        <v>0.20263693112117601</v>
      </c>
      <c r="T264" s="14">
        <v>0.17278643113824699</v>
      </c>
      <c r="U264" s="14">
        <v>0.200309766036989</v>
      </c>
      <c r="V264" s="14">
        <v>0.19756035883710399</v>
      </c>
      <c r="W264" s="14">
        <v>0.15501553774071</v>
      </c>
      <c r="X264" s="14">
        <v>0.135309521299217</v>
      </c>
      <c r="Y264" s="14">
        <v>0.105851258535072</v>
      </c>
      <c r="Z264" s="14">
        <v>0.172045548138541</v>
      </c>
      <c r="AA264" s="14"/>
      <c r="AB264" s="14">
        <v>0.238537445502435</v>
      </c>
      <c r="AC264" s="14">
        <v>5.2455010987124399E-2</v>
      </c>
      <c r="AD264" s="14">
        <v>0.335715952235357</v>
      </c>
      <c r="AE264" s="14">
        <v>6.9515973434750106E-2</v>
      </c>
      <c r="AF264" s="14"/>
      <c r="AG264" s="14">
        <v>0.110116071749876</v>
      </c>
      <c r="AH264" s="14">
        <v>0.26958387845436299</v>
      </c>
      <c r="AI264" s="14"/>
      <c r="AJ264" s="14">
        <v>0.165850060032737</v>
      </c>
      <c r="AK264" s="14">
        <v>0.26415151469559101</v>
      </c>
      <c r="AL264" s="14"/>
      <c r="AM264" s="14">
        <v>2.19370977847455E-2</v>
      </c>
      <c r="AN264" s="14">
        <v>0.56669967893200202</v>
      </c>
    </row>
    <row r="265" spans="2:40" x14ac:dyDescent="0.35">
      <c r="B265" t="s">
        <v>132</v>
      </c>
      <c r="C265" s="14">
        <v>6.0550594818040003E-2</v>
      </c>
      <c r="D265" s="14">
        <v>4.3336430967915097E-2</v>
      </c>
      <c r="E265" s="14">
        <v>7.8127881243443803E-2</v>
      </c>
      <c r="F265" s="14"/>
      <c r="G265" s="14">
        <v>3.2003482425754799E-2</v>
      </c>
      <c r="H265" s="14">
        <v>4.88020823917713E-2</v>
      </c>
      <c r="I265" s="14">
        <v>7.9343608375278707E-2</v>
      </c>
      <c r="J265" s="14"/>
      <c r="K265" s="14">
        <v>3.9578884693499197E-2</v>
      </c>
      <c r="L265" s="14">
        <v>7.1166357296892302E-2</v>
      </c>
      <c r="M265" s="14">
        <v>9.4894576004796394E-2</v>
      </c>
      <c r="N265" s="14"/>
      <c r="O265" s="14">
        <v>6.5803404474604102E-2</v>
      </c>
      <c r="P265" s="14">
        <v>1.1357608882218101E-2</v>
      </c>
      <c r="Q265" s="14"/>
      <c r="R265" s="14">
        <v>3.4176603751400497E-2</v>
      </c>
      <c r="S265" s="14">
        <v>7.5889522977312898E-2</v>
      </c>
      <c r="T265" s="14">
        <v>8.7230273805628297E-2</v>
      </c>
      <c r="U265" s="14">
        <v>6.8122122125327297E-2</v>
      </c>
      <c r="V265" s="14">
        <v>8.2763865919003005E-2</v>
      </c>
      <c r="W265" s="14">
        <v>5.25470755836644E-2</v>
      </c>
      <c r="X265" s="14">
        <v>8.2422062423201395E-2</v>
      </c>
      <c r="Y265" s="14">
        <v>3.11568434731457E-2</v>
      </c>
      <c r="Z265" s="14">
        <v>3.2550792144965701E-2</v>
      </c>
      <c r="AA265" s="14"/>
      <c r="AB265" s="14">
        <v>0.1263074313485</v>
      </c>
      <c r="AC265" s="14">
        <v>1.44200969903429E-2</v>
      </c>
      <c r="AD265" s="14">
        <v>0.122007089710259</v>
      </c>
      <c r="AE265" s="14">
        <v>2.53474394406802E-2</v>
      </c>
      <c r="AF265" s="14"/>
      <c r="AG265" s="14">
        <v>2.26393335219063E-2</v>
      </c>
      <c r="AH265" s="14">
        <v>0.233147097195746</v>
      </c>
      <c r="AI265" s="14"/>
      <c r="AJ265" s="14">
        <v>9.6211783513587806E-2</v>
      </c>
      <c r="AK265" s="14">
        <v>8.5795938485715803E-2</v>
      </c>
      <c r="AL265" s="14"/>
      <c r="AM265" s="14">
        <v>7.0155103799133004E-4</v>
      </c>
      <c r="AN265" s="14">
        <v>0.26491056177792399</v>
      </c>
    </row>
    <row r="266" spans="2:40" x14ac:dyDescent="0.35">
      <c r="B266" t="s">
        <v>133</v>
      </c>
      <c r="C266" s="14">
        <v>1.90242866755168E-2</v>
      </c>
      <c r="D266" s="14">
        <v>2.1782752183479401E-2</v>
      </c>
      <c r="E266" s="14">
        <v>1.5223808472351E-2</v>
      </c>
      <c r="F266" s="14"/>
      <c r="G266" s="14">
        <v>5.4048029035491697E-2</v>
      </c>
      <c r="H266" s="14">
        <v>4.2488012859653902E-3</v>
      </c>
      <c r="I266" s="14">
        <v>7.7632318641437797E-3</v>
      </c>
      <c r="J266" s="14"/>
      <c r="K266" s="14">
        <v>3.1590849056871199E-2</v>
      </c>
      <c r="L266" s="14">
        <v>5.2158225206467004E-3</v>
      </c>
      <c r="M266" s="14">
        <v>1.26077303221356E-2</v>
      </c>
      <c r="N266" s="14"/>
      <c r="O266" s="14">
        <v>1.92971088951185E-2</v>
      </c>
      <c r="P266" s="14">
        <v>6.8244637091731597E-3</v>
      </c>
      <c r="Q266" s="14"/>
      <c r="R266" s="14">
        <v>3.3151110583172099E-3</v>
      </c>
      <c r="S266" s="14">
        <v>2.0161485873971201E-2</v>
      </c>
      <c r="T266" s="14">
        <v>1.1799680548253E-2</v>
      </c>
      <c r="U266" s="14">
        <v>2.12380604347201E-2</v>
      </c>
      <c r="V266" s="14">
        <v>0</v>
      </c>
      <c r="W266" s="14">
        <v>2.8858640795731801E-2</v>
      </c>
      <c r="X266" s="14">
        <v>4.5512192106293502E-2</v>
      </c>
      <c r="Y266" s="14">
        <v>1.5537953681076201E-2</v>
      </c>
      <c r="Z266" s="14">
        <v>2.7288241200666401E-2</v>
      </c>
      <c r="AA266" s="14"/>
      <c r="AB266" s="14">
        <v>0</v>
      </c>
      <c r="AC266" s="14">
        <v>0</v>
      </c>
      <c r="AD266" s="14">
        <v>1.2346201630297199E-2</v>
      </c>
      <c r="AE266" s="14">
        <v>6.1509564730547802E-3</v>
      </c>
      <c r="AF266" s="14"/>
      <c r="AG266" s="14">
        <v>7.38484046384785E-3</v>
      </c>
      <c r="AH266" s="14">
        <v>1.7981474423918599E-2</v>
      </c>
      <c r="AI266" s="14"/>
      <c r="AJ266" s="14">
        <v>1.10883633577369E-2</v>
      </c>
      <c r="AK266" s="14">
        <v>1.59003240494523E-2</v>
      </c>
      <c r="AL266" s="14"/>
      <c r="AM266" s="14">
        <v>1.52694909362642E-2</v>
      </c>
      <c r="AN266" s="14">
        <v>7.6945516329243301E-3</v>
      </c>
    </row>
    <row r="267" spans="2:40" x14ac:dyDescent="0.35">
      <c r="B267" t="s">
        <v>134</v>
      </c>
      <c r="C267" s="14">
        <v>0.51124890326350203</v>
      </c>
      <c r="D267" s="14">
        <v>0.58208274082888301</v>
      </c>
      <c r="E267" s="14">
        <v>0.44077556416685698</v>
      </c>
      <c r="F267" s="14"/>
      <c r="G267" s="14">
        <v>0.53914512005114401</v>
      </c>
      <c r="H267" s="14">
        <v>0.54875733981277397</v>
      </c>
      <c r="I267" s="14">
        <v>0.48236639735138298</v>
      </c>
      <c r="J267" s="14"/>
      <c r="K267" s="14">
        <v>0.54347979267431601</v>
      </c>
      <c r="L267" s="14">
        <v>0.50677969070934903</v>
      </c>
      <c r="M267" s="14">
        <v>0.43593877380156798</v>
      </c>
      <c r="N267" s="14"/>
      <c r="O267" s="14">
        <v>0.496817109226385</v>
      </c>
      <c r="P267" s="14">
        <v>0.62986800787006503</v>
      </c>
      <c r="Q267" s="14"/>
      <c r="R267" s="14">
        <v>0.62577072888016005</v>
      </c>
      <c r="S267" s="14">
        <v>0.47717828751583102</v>
      </c>
      <c r="T267" s="14">
        <v>0.52168936474114902</v>
      </c>
      <c r="U267" s="14">
        <v>0.411118231096189</v>
      </c>
      <c r="V267" s="14">
        <v>0.483001117674007</v>
      </c>
      <c r="W267" s="14">
        <v>0.52871914987660196</v>
      </c>
      <c r="X267" s="14">
        <v>0.46464836172620499</v>
      </c>
      <c r="Y267" s="14">
        <v>0.51744105135325003</v>
      </c>
      <c r="Z267" s="14">
        <v>0.52840938666873205</v>
      </c>
      <c r="AA267" s="14"/>
      <c r="AB267" s="14">
        <v>0.32426237621549497</v>
      </c>
      <c r="AC267" s="14">
        <v>0.80830593662248396</v>
      </c>
      <c r="AD267" s="14">
        <v>0.29460453884304399</v>
      </c>
      <c r="AE267" s="14">
        <v>0.65009193377623398</v>
      </c>
      <c r="AF267" s="14"/>
      <c r="AG267" s="14">
        <v>0.66674331903764905</v>
      </c>
      <c r="AH267" s="14">
        <v>0.29028880647171201</v>
      </c>
      <c r="AI267" s="14"/>
      <c r="AJ267" s="14">
        <v>0.535172490881337</v>
      </c>
      <c r="AK267" s="14">
        <v>0.34809496912888499</v>
      </c>
      <c r="AL267" s="14"/>
      <c r="AM267" s="14">
        <v>0.806295642658448</v>
      </c>
      <c r="AN267" s="14">
        <v>5.7059412440777703E-2</v>
      </c>
    </row>
    <row r="268" spans="2:40" x14ac:dyDescent="0.35">
      <c r="B268" t="s">
        <v>135</v>
      </c>
      <c r="C268" s="14">
        <v>0.22473678181897799</v>
      </c>
      <c r="D268" s="14">
        <v>0.17571626383421901</v>
      </c>
      <c r="E268" s="14">
        <v>0.27445102146392503</v>
      </c>
      <c r="F268" s="14"/>
      <c r="G268" s="14">
        <v>0.14741725822093699</v>
      </c>
      <c r="H268" s="14">
        <v>0.22020968979820699</v>
      </c>
      <c r="I268" s="14">
        <v>0.264607929513826</v>
      </c>
      <c r="J268" s="14"/>
      <c r="K268" s="14">
        <v>0.180243324224094</v>
      </c>
      <c r="L268" s="14">
        <v>0.23574740657030199</v>
      </c>
      <c r="M268" s="14">
        <v>0.31949300687826698</v>
      </c>
      <c r="N268" s="14"/>
      <c r="O268" s="14">
        <v>0.234927398446032</v>
      </c>
      <c r="P268" s="14">
        <v>0.13217773474330499</v>
      </c>
      <c r="Q268" s="14"/>
      <c r="R268" s="14">
        <v>0.14656362319506</v>
      </c>
      <c r="S268" s="14">
        <v>0.27852645409848897</v>
      </c>
      <c r="T268" s="14">
        <v>0.26001670494387602</v>
      </c>
      <c r="U268" s="14">
        <v>0.268431888162317</v>
      </c>
      <c r="V268" s="14">
        <v>0.28032422475610702</v>
      </c>
      <c r="W268" s="14">
        <v>0.20756261332437401</v>
      </c>
      <c r="X268" s="14">
        <v>0.21773158372241799</v>
      </c>
      <c r="Y268" s="14">
        <v>0.137008102008218</v>
      </c>
      <c r="Z268" s="14">
        <v>0.20459634028350701</v>
      </c>
      <c r="AA268" s="14"/>
      <c r="AB268" s="14">
        <v>0.36484487685093497</v>
      </c>
      <c r="AC268" s="14">
        <v>6.6875107977467305E-2</v>
      </c>
      <c r="AD268" s="14">
        <v>0.45772304194561603</v>
      </c>
      <c r="AE268" s="14">
        <v>9.4863412875430195E-2</v>
      </c>
      <c r="AF268" s="14"/>
      <c r="AG268" s="14">
        <v>0.13275540527178201</v>
      </c>
      <c r="AH268" s="14">
        <v>0.50273097565010805</v>
      </c>
      <c r="AI268" s="14"/>
      <c r="AJ268" s="14">
        <v>0.262061843546325</v>
      </c>
      <c r="AK268" s="14">
        <v>0.34994745318130699</v>
      </c>
      <c r="AL268" s="14"/>
      <c r="AM268" s="14">
        <v>2.26386488227369E-2</v>
      </c>
      <c r="AN268" s="14">
        <v>0.83161024070992595</v>
      </c>
    </row>
    <row r="269" spans="2:40" x14ac:dyDescent="0.35">
      <c r="B269" t="s">
        <v>136</v>
      </c>
      <c r="C269" s="14">
        <v>0.28651212144452298</v>
      </c>
      <c r="D269" s="14">
        <v>0.40636647699466399</v>
      </c>
      <c r="E269" s="14">
        <v>0.16632454270293101</v>
      </c>
      <c r="F269" s="14"/>
      <c r="G269" s="14">
        <v>0.39172786183020603</v>
      </c>
      <c r="H269" s="14">
        <v>0.32854765001456698</v>
      </c>
      <c r="I269" s="14">
        <v>0.21775846783755801</v>
      </c>
      <c r="J269" s="14"/>
      <c r="K269" s="14">
        <v>0.36323646845022201</v>
      </c>
      <c r="L269" s="14">
        <v>0.27103228413904701</v>
      </c>
      <c r="M269" s="14">
        <v>0.116445766923301</v>
      </c>
      <c r="N269" s="14"/>
      <c r="O269" s="14">
        <v>0.261889710780353</v>
      </c>
      <c r="P269" s="14">
        <v>0.49769027312676001</v>
      </c>
      <c r="Q269" s="14"/>
      <c r="R269" s="14">
        <v>0.4792071056851</v>
      </c>
      <c r="S269" s="14">
        <v>0.19865183341734199</v>
      </c>
      <c r="T269" s="14">
        <v>0.261672659797274</v>
      </c>
      <c r="U269" s="14">
        <v>0.142686342933872</v>
      </c>
      <c r="V269" s="14">
        <v>0.2026768929179</v>
      </c>
      <c r="W269" s="14">
        <v>0.32115653655222798</v>
      </c>
      <c r="X269" s="14">
        <v>0.246916778003786</v>
      </c>
      <c r="Y269" s="14">
        <v>0.38043294934503202</v>
      </c>
      <c r="Z269" s="14">
        <v>0.32381304638522601</v>
      </c>
      <c r="AA269" s="14"/>
      <c r="AB269" s="14">
        <v>-4.0582500635440097E-2</v>
      </c>
      <c r="AC269" s="14">
        <v>0.74143082864501697</v>
      </c>
      <c r="AD269" s="14">
        <v>-0.163118503102573</v>
      </c>
      <c r="AE269" s="14">
        <v>0.55522852090080399</v>
      </c>
      <c r="AF269" s="14"/>
      <c r="AG269" s="14">
        <v>0.53398791376586696</v>
      </c>
      <c r="AH269" s="14">
        <v>-0.21244216917839601</v>
      </c>
      <c r="AI269" s="14"/>
      <c r="AJ269" s="14">
        <v>0.273110647335013</v>
      </c>
      <c r="AK269" s="14">
        <v>-1.8524840524220499E-3</v>
      </c>
      <c r="AL269" s="14"/>
      <c r="AM269" s="14">
        <v>0.78365699383571097</v>
      </c>
      <c r="AN269" s="14">
        <v>-0.77455082826914801</v>
      </c>
    </row>
    <row r="270" spans="2:40" x14ac:dyDescent="0.35"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</row>
    <row r="271" spans="2:40" x14ac:dyDescent="0.35">
      <c r="B271" s="6" t="s">
        <v>140</v>
      </c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</row>
    <row r="272" spans="2:40" x14ac:dyDescent="0.35">
      <c r="B272" s="24" t="s">
        <v>138</v>
      </c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</row>
    <row r="273" spans="2:40" x14ac:dyDescent="0.35">
      <c r="B273" t="s">
        <v>128</v>
      </c>
      <c r="C273" s="14">
        <v>0.22789423324990399</v>
      </c>
      <c r="D273" s="14">
        <v>0.26346026535196998</v>
      </c>
      <c r="E273" s="14">
        <v>0.19226120516415199</v>
      </c>
      <c r="F273" s="14"/>
      <c r="G273" s="14">
        <v>0.30006322382364198</v>
      </c>
      <c r="H273" s="14">
        <v>0.25432799654185501</v>
      </c>
      <c r="I273" s="14">
        <v>0.18170456714149799</v>
      </c>
      <c r="J273" s="14"/>
      <c r="K273" s="14">
        <v>0.27943872266478598</v>
      </c>
      <c r="L273" s="14">
        <v>0.20235954326757</v>
      </c>
      <c r="M273" s="14">
        <v>0.14242426841446101</v>
      </c>
      <c r="N273" s="14"/>
      <c r="O273" s="14">
        <v>0.21988001155657799</v>
      </c>
      <c r="P273" s="14">
        <v>0.301207246482255</v>
      </c>
      <c r="Q273" s="14"/>
      <c r="R273" s="14">
        <v>0.32238817145561899</v>
      </c>
      <c r="S273" s="14">
        <v>0.18465312082060301</v>
      </c>
      <c r="T273" s="14">
        <v>0.21120345787314301</v>
      </c>
      <c r="U273" s="14">
        <v>0.21286361513794999</v>
      </c>
      <c r="V273" s="14">
        <v>0.18514995098666201</v>
      </c>
      <c r="W273" s="14">
        <v>0.19056204561377901</v>
      </c>
      <c r="X273" s="14">
        <v>0.25468762630833602</v>
      </c>
      <c r="Y273" s="14">
        <v>0.22685725126263601</v>
      </c>
      <c r="Z273" s="14">
        <v>0.22838985372107501</v>
      </c>
      <c r="AA273" s="14"/>
      <c r="AB273" s="14">
        <v>0.125321162148606</v>
      </c>
      <c r="AC273" s="14">
        <v>0.339167009091496</v>
      </c>
      <c r="AD273" s="14">
        <v>6.7926549139856102E-2</v>
      </c>
      <c r="AE273" s="14">
        <v>0.221575500963856</v>
      </c>
      <c r="AF273" s="14"/>
      <c r="AG273" s="14">
        <v>0.35665143523363702</v>
      </c>
      <c r="AH273" s="14">
        <v>3.2218630305755801E-2</v>
      </c>
      <c r="AI273" s="14"/>
      <c r="AJ273" s="14">
        <v>0.243262190582306</v>
      </c>
      <c r="AK273" s="14">
        <v>4.8401326648690901E-2</v>
      </c>
      <c r="AL273" s="14"/>
      <c r="AM273" s="14">
        <v>0.392322045981366</v>
      </c>
      <c r="AN273" s="14">
        <v>3.3517116707848702E-3</v>
      </c>
    </row>
    <row r="274" spans="2:40" x14ac:dyDescent="0.35">
      <c r="B274" t="s">
        <v>129</v>
      </c>
      <c r="C274" s="14">
        <v>0.30222624818586802</v>
      </c>
      <c r="D274" s="14">
        <v>0.34074824149320099</v>
      </c>
      <c r="E274" s="14">
        <v>0.26305587207693698</v>
      </c>
      <c r="F274" s="14"/>
      <c r="G274" s="14">
        <v>0.36609274665835001</v>
      </c>
      <c r="H274" s="14">
        <v>0.29261587680757301</v>
      </c>
      <c r="I274" s="14">
        <v>0.27468711127668499</v>
      </c>
      <c r="J274" s="14"/>
      <c r="K274" s="14">
        <v>0.33295803021648201</v>
      </c>
      <c r="L274" s="14">
        <v>0.28957716841308601</v>
      </c>
      <c r="M274" s="14">
        <v>0.246370162914678</v>
      </c>
      <c r="N274" s="14"/>
      <c r="O274" s="14">
        <v>0.29450241526586401</v>
      </c>
      <c r="P274" s="14">
        <v>0.347827062854356</v>
      </c>
      <c r="Q274" s="14"/>
      <c r="R274" s="14">
        <v>0.32221137347561402</v>
      </c>
      <c r="S274" s="14">
        <v>0.29746278627116202</v>
      </c>
      <c r="T274" s="14">
        <v>0.25280010426358501</v>
      </c>
      <c r="U274" s="14">
        <v>0.26831878675256599</v>
      </c>
      <c r="V274" s="14">
        <v>0.30296007492244897</v>
      </c>
      <c r="W274" s="14">
        <v>0.32299039246727002</v>
      </c>
      <c r="X274" s="14">
        <v>0.27073039875999699</v>
      </c>
      <c r="Y274" s="14">
        <v>0.34159837198856802</v>
      </c>
      <c r="Z274" s="14">
        <v>0.34266903670464</v>
      </c>
      <c r="AA274" s="14"/>
      <c r="AB274" s="14">
        <v>0.15399967132734299</v>
      </c>
      <c r="AC274" s="14">
        <v>0.38947956091673702</v>
      </c>
      <c r="AD274" s="14">
        <v>0.194866814004374</v>
      </c>
      <c r="AE274" s="14">
        <v>0.34501098396222701</v>
      </c>
      <c r="AF274" s="14"/>
      <c r="AG274" s="14">
        <v>0.42295410068938299</v>
      </c>
      <c r="AH274" s="14">
        <v>0.19047327758076099</v>
      </c>
      <c r="AI274" s="14"/>
      <c r="AJ274" s="14">
        <v>0.34170206782523999</v>
      </c>
      <c r="AK274" s="14">
        <v>0.14249685425726699</v>
      </c>
      <c r="AL274" s="14"/>
      <c r="AM274" s="14">
        <v>0.50342416819729996</v>
      </c>
      <c r="AN274" s="14">
        <v>5.4372161636681397E-3</v>
      </c>
    </row>
    <row r="275" spans="2:40" x14ac:dyDescent="0.35">
      <c r="B275" t="s">
        <v>130</v>
      </c>
      <c r="C275" s="14">
        <v>0.16371560551817499</v>
      </c>
      <c r="D275" s="14">
        <v>0.14809887562104801</v>
      </c>
      <c r="E275" s="14">
        <v>0.180368967471008</v>
      </c>
      <c r="F275" s="14"/>
      <c r="G275" s="14">
        <v>0.137532140521579</v>
      </c>
      <c r="H275" s="14">
        <v>0.17597900073489101</v>
      </c>
      <c r="I275" s="14">
        <v>0.17164233516333</v>
      </c>
      <c r="J275" s="14"/>
      <c r="K275" s="14">
        <v>0.154869920612585</v>
      </c>
      <c r="L275" s="14">
        <v>0.17826820044781999</v>
      </c>
      <c r="M275" s="14">
        <v>0.159041692775206</v>
      </c>
      <c r="N275" s="14"/>
      <c r="O275" s="14">
        <v>0.16645296061920301</v>
      </c>
      <c r="P275" s="14">
        <v>0.158408459196579</v>
      </c>
      <c r="Q275" s="14"/>
      <c r="R275" s="14">
        <v>0.157099598530898</v>
      </c>
      <c r="S275" s="14">
        <v>0.18025583768458101</v>
      </c>
      <c r="T275" s="14">
        <v>0.154315778894762</v>
      </c>
      <c r="U275" s="14">
        <v>0.18280184648894099</v>
      </c>
      <c r="V275" s="14">
        <v>0.129195210565063</v>
      </c>
      <c r="W275" s="14">
        <v>0.165387661077597</v>
      </c>
      <c r="X275" s="14">
        <v>0.16263448246540299</v>
      </c>
      <c r="Y275" s="14">
        <v>0.13481579840275101</v>
      </c>
      <c r="Z275" s="14">
        <v>0.17716114504143399</v>
      </c>
      <c r="AA275" s="14"/>
      <c r="AB275" s="14">
        <v>0.24206443586854801</v>
      </c>
      <c r="AC275" s="14">
        <v>0.15915728119425701</v>
      </c>
      <c r="AD275" s="14">
        <v>0.177547107615186</v>
      </c>
      <c r="AE275" s="14">
        <v>0.15429116571109999</v>
      </c>
      <c r="AF275" s="14"/>
      <c r="AG275" s="14">
        <v>7.1516642904005501E-2</v>
      </c>
      <c r="AH275" s="14">
        <v>0.109386403692664</v>
      </c>
      <c r="AI275" s="14"/>
      <c r="AJ275" s="14">
        <v>8.4752121886801798E-2</v>
      </c>
      <c r="AK275" s="14">
        <v>0.250055675787765</v>
      </c>
      <c r="AL275" s="14"/>
      <c r="AM275" s="14">
        <v>7.8753056043129099E-2</v>
      </c>
      <c r="AN275" s="14">
        <v>2.7308783355635899E-2</v>
      </c>
    </row>
    <row r="276" spans="2:40" x14ac:dyDescent="0.35">
      <c r="B276" t="s">
        <v>131</v>
      </c>
      <c r="C276" s="14">
        <v>0.201341006038708</v>
      </c>
      <c r="D276" s="14">
        <v>0.16938788790880899</v>
      </c>
      <c r="E276" s="14">
        <v>0.233018818443223</v>
      </c>
      <c r="F276" s="14"/>
      <c r="G276" s="14">
        <v>0.142818538141816</v>
      </c>
      <c r="H276" s="14">
        <v>0.20254230683029301</v>
      </c>
      <c r="I276" s="14">
        <v>0.22964899918457901</v>
      </c>
      <c r="J276" s="14"/>
      <c r="K276" s="14">
        <v>0.16975123334714201</v>
      </c>
      <c r="L276" s="14">
        <v>0.20726350945639199</v>
      </c>
      <c r="M276" s="14">
        <v>0.27222027684218397</v>
      </c>
      <c r="N276" s="14"/>
      <c r="O276" s="14">
        <v>0.21116685103022301</v>
      </c>
      <c r="P276" s="14">
        <v>0.13437265016817501</v>
      </c>
      <c r="Q276" s="14"/>
      <c r="R276" s="14">
        <v>0.130872492351432</v>
      </c>
      <c r="S276" s="14">
        <v>0.22283833900383301</v>
      </c>
      <c r="T276" s="14">
        <v>0.249027943556311</v>
      </c>
      <c r="U276" s="14">
        <v>0.24386687644747099</v>
      </c>
      <c r="V276" s="14">
        <v>0.22826350214727401</v>
      </c>
      <c r="W276" s="14">
        <v>0.213297644275033</v>
      </c>
      <c r="X276" s="14">
        <v>0.20201443791062601</v>
      </c>
      <c r="Y276" s="14">
        <v>0.19375940166115099</v>
      </c>
      <c r="Z276" s="14">
        <v>0.16364142842260401</v>
      </c>
      <c r="AA276" s="14"/>
      <c r="AB276" s="14">
        <v>0.26438831259922302</v>
      </c>
      <c r="AC276" s="14">
        <v>6.6544933034748302E-2</v>
      </c>
      <c r="AD276" s="14">
        <v>0.34492321853377</v>
      </c>
      <c r="AE276" s="14">
        <v>0.19666062384490801</v>
      </c>
      <c r="AF276" s="14"/>
      <c r="AG276" s="14">
        <v>8.0027011754168306E-2</v>
      </c>
      <c r="AH276" s="14">
        <v>0.30566655457999697</v>
      </c>
      <c r="AI276" s="14"/>
      <c r="AJ276" s="14">
        <v>0.158888017595361</v>
      </c>
      <c r="AK276" s="14">
        <v>0.39378098170841502</v>
      </c>
      <c r="AL276" s="14"/>
      <c r="AM276" s="14">
        <v>2.0865877071291301E-2</v>
      </c>
      <c r="AN276" s="14">
        <v>0.54051650709742705</v>
      </c>
    </row>
    <row r="277" spans="2:40" x14ac:dyDescent="0.35">
      <c r="B277" t="s">
        <v>132</v>
      </c>
      <c r="C277" s="14">
        <v>0.100200762821814</v>
      </c>
      <c r="D277" s="14">
        <v>7.0780472483024395E-2</v>
      </c>
      <c r="E277" s="14">
        <v>0.12953991200968601</v>
      </c>
      <c r="F277" s="14"/>
      <c r="G277" s="14">
        <v>4.1812904609358402E-2</v>
      </c>
      <c r="H277" s="14">
        <v>7.0956064770402699E-2</v>
      </c>
      <c r="I277" s="14">
        <v>0.14074593489781301</v>
      </c>
      <c r="J277" s="14"/>
      <c r="K277" s="14">
        <v>5.4955140392092199E-2</v>
      </c>
      <c r="L277" s="14">
        <v>0.121737026724884</v>
      </c>
      <c r="M277" s="14">
        <v>0.17689584797202601</v>
      </c>
      <c r="N277" s="14"/>
      <c r="O277" s="14">
        <v>0.103767788030858</v>
      </c>
      <c r="P277" s="14">
        <v>4.9977642897021703E-2</v>
      </c>
      <c r="Q277" s="14"/>
      <c r="R277" s="14">
        <v>6.4674321965531703E-2</v>
      </c>
      <c r="S277" s="14">
        <v>0.114789916219821</v>
      </c>
      <c r="T277" s="14">
        <v>0.124564441096228</v>
      </c>
      <c r="U277" s="14">
        <v>9.2148875173072506E-2</v>
      </c>
      <c r="V277" s="14">
        <v>0.149096467409606</v>
      </c>
      <c r="W277" s="14">
        <v>9.5792575839497698E-2</v>
      </c>
      <c r="X277" s="14">
        <v>9.2916572721497601E-2</v>
      </c>
      <c r="Y277" s="14">
        <v>0.102969176684893</v>
      </c>
      <c r="Z277" s="14">
        <v>8.8138536110246593E-2</v>
      </c>
      <c r="AA277" s="14"/>
      <c r="AB277" s="14">
        <v>0.209185457766769</v>
      </c>
      <c r="AC277" s="14">
        <v>4.56512157627613E-2</v>
      </c>
      <c r="AD277" s="14">
        <v>0.21473631070681401</v>
      </c>
      <c r="AE277" s="14">
        <v>8.2461725517908799E-2</v>
      </c>
      <c r="AF277" s="14"/>
      <c r="AG277" s="14">
        <v>6.8850809418806794E-2</v>
      </c>
      <c r="AH277" s="14">
        <v>0.36225513384082197</v>
      </c>
      <c r="AI277" s="14"/>
      <c r="AJ277" s="14">
        <v>0.17139560211029101</v>
      </c>
      <c r="AK277" s="14">
        <v>0.165265161597863</v>
      </c>
      <c r="AL277" s="14"/>
      <c r="AM277" s="14">
        <v>3.0342285447518E-3</v>
      </c>
      <c r="AN277" s="14">
        <v>0.419503460861683</v>
      </c>
    </row>
    <row r="278" spans="2:40" x14ac:dyDescent="0.35">
      <c r="B278" t="s">
        <v>133</v>
      </c>
      <c r="C278" s="14">
        <v>4.6221441855302404E-3</v>
      </c>
      <c r="D278" s="14">
        <v>7.5242571419478297E-3</v>
      </c>
      <c r="E278" s="14">
        <v>1.75522483499315E-3</v>
      </c>
      <c r="F278" s="14"/>
      <c r="G278" s="14">
        <v>1.16804462452537E-2</v>
      </c>
      <c r="H278" s="14">
        <v>3.5787543149860602E-3</v>
      </c>
      <c r="I278" s="14">
        <v>1.5710523360949499E-3</v>
      </c>
      <c r="J278" s="14"/>
      <c r="K278" s="14">
        <v>8.0269527669118001E-3</v>
      </c>
      <c r="L278" s="14">
        <v>7.9455169024814499E-4</v>
      </c>
      <c r="M278" s="14">
        <v>3.0477510814447299E-3</v>
      </c>
      <c r="N278" s="14"/>
      <c r="O278" s="14">
        <v>4.2299734972740099E-3</v>
      </c>
      <c r="P278" s="14">
        <v>8.2069384016132899E-3</v>
      </c>
      <c r="Q278" s="14"/>
      <c r="R278" s="14">
        <v>2.7540422209049301E-3</v>
      </c>
      <c r="S278" s="14">
        <v>0</v>
      </c>
      <c r="T278" s="14">
        <v>8.0882743159715106E-3</v>
      </c>
      <c r="U278" s="14">
        <v>0</v>
      </c>
      <c r="V278" s="14">
        <v>5.3347939689473199E-3</v>
      </c>
      <c r="W278" s="14">
        <v>1.1969680726824E-2</v>
      </c>
      <c r="X278" s="14">
        <v>1.7016481834140899E-2</v>
      </c>
      <c r="Y278" s="14">
        <v>0</v>
      </c>
      <c r="Z278" s="14">
        <v>0</v>
      </c>
      <c r="AA278" s="14"/>
      <c r="AB278" s="14">
        <v>5.0409602895109696E-3</v>
      </c>
      <c r="AC278" s="14">
        <v>0</v>
      </c>
      <c r="AD278" s="14">
        <v>0</v>
      </c>
      <c r="AE278" s="14">
        <v>0</v>
      </c>
      <c r="AF278" s="14"/>
      <c r="AG278" s="14">
        <v>0</v>
      </c>
      <c r="AH278" s="14">
        <v>0</v>
      </c>
      <c r="AI278" s="14"/>
      <c r="AJ278" s="14">
        <v>0</v>
      </c>
      <c r="AK278" s="14">
        <v>0</v>
      </c>
      <c r="AL278" s="14"/>
      <c r="AM278" s="14">
        <v>1.60062416216129E-3</v>
      </c>
      <c r="AN278" s="14">
        <v>3.8823208508012002E-3</v>
      </c>
    </row>
    <row r="279" spans="2:40" x14ac:dyDescent="0.35">
      <c r="B279" t="s">
        <v>134</v>
      </c>
      <c r="C279" s="14">
        <v>0.53012048143577295</v>
      </c>
      <c r="D279" s="14">
        <v>0.60420850684517102</v>
      </c>
      <c r="E279" s="14">
        <v>0.45531707724109</v>
      </c>
      <c r="F279" s="14"/>
      <c r="G279" s="14">
        <v>0.66615597048199204</v>
      </c>
      <c r="H279" s="14">
        <v>0.54694387334942696</v>
      </c>
      <c r="I279" s="14">
        <v>0.45639167841818401</v>
      </c>
      <c r="J279" s="14"/>
      <c r="K279" s="14">
        <v>0.61239675288126805</v>
      </c>
      <c r="L279" s="14">
        <v>0.491936711680656</v>
      </c>
      <c r="M279" s="14">
        <v>0.38879443132913899</v>
      </c>
      <c r="N279" s="14"/>
      <c r="O279" s="14">
        <v>0.51438242682244195</v>
      </c>
      <c r="P279" s="14">
        <v>0.64903430933661099</v>
      </c>
      <c r="Q279" s="14"/>
      <c r="R279" s="14">
        <v>0.64459954493123295</v>
      </c>
      <c r="S279" s="14">
        <v>0.48211590709176499</v>
      </c>
      <c r="T279" s="14">
        <v>0.464003562136727</v>
      </c>
      <c r="U279" s="14">
        <v>0.48118240189051598</v>
      </c>
      <c r="V279" s="14">
        <v>0.48811002590911101</v>
      </c>
      <c r="W279" s="14">
        <v>0.513552438081049</v>
      </c>
      <c r="X279" s="14">
        <v>0.52541802506833302</v>
      </c>
      <c r="Y279" s="14">
        <v>0.56845562325120402</v>
      </c>
      <c r="Z279" s="14">
        <v>0.571058890425715</v>
      </c>
      <c r="AA279" s="14"/>
      <c r="AB279" s="14">
        <v>0.27932083347594899</v>
      </c>
      <c r="AC279" s="14">
        <v>0.72864657000823296</v>
      </c>
      <c r="AD279" s="14">
        <v>0.26279336314423002</v>
      </c>
      <c r="AE279" s="14">
        <v>0.56658648492608299</v>
      </c>
      <c r="AF279" s="14"/>
      <c r="AG279" s="14">
        <v>0.77960553592301995</v>
      </c>
      <c r="AH279" s="14">
        <v>0.22269190788651699</v>
      </c>
      <c r="AI279" s="14"/>
      <c r="AJ279" s="14">
        <v>0.58496425840754596</v>
      </c>
      <c r="AK279" s="14">
        <v>0.190898180905958</v>
      </c>
      <c r="AL279" s="14"/>
      <c r="AM279" s="14">
        <v>0.89574621417866696</v>
      </c>
      <c r="AN279" s="14">
        <v>8.7889278344530208E-3</v>
      </c>
    </row>
    <row r="280" spans="2:40" x14ac:dyDescent="0.35">
      <c r="B280" t="s">
        <v>135</v>
      </c>
      <c r="C280" s="14">
        <v>0.30154176886052297</v>
      </c>
      <c r="D280" s="14">
        <v>0.24016836039183301</v>
      </c>
      <c r="E280" s="14">
        <v>0.36255873045290898</v>
      </c>
      <c r="F280" s="14"/>
      <c r="G280" s="14">
        <v>0.18463144275117499</v>
      </c>
      <c r="H280" s="14">
        <v>0.27349837160069501</v>
      </c>
      <c r="I280" s="14">
        <v>0.37039493408239199</v>
      </c>
      <c r="J280" s="14"/>
      <c r="K280" s="14">
        <v>0.22470637373923499</v>
      </c>
      <c r="L280" s="14">
        <v>0.329000536181277</v>
      </c>
      <c r="M280" s="14">
        <v>0.44911612481420998</v>
      </c>
      <c r="N280" s="14"/>
      <c r="O280" s="14">
        <v>0.31493463906108099</v>
      </c>
      <c r="P280" s="14">
        <v>0.18435029306519701</v>
      </c>
      <c r="Q280" s="14"/>
      <c r="R280" s="14">
        <v>0.195546814316963</v>
      </c>
      <c r="S280" s="14">
        <v>0.33762825522365397</v>
      </c>
      <c r="T280" s="14">
        <v>0.37359238465253902</v>
      </c>
      <c r="U280" s="14">
        <v>0.33601575162054298</v>
      </c>
      <c r="V280" s="14">
        <v>0.377359969556879</v>
      </c>
      <c r="W280" s="14">
        <v>0.30909022011453002</v>
      </c>
      <c r="X280" s="14">
        <v>0.29493101063212301</v>
      </c>
      <c r="Y280" s="14">
        <v>0.29672857834604399</v>
      </c>
      <c r="Z280" s="14">
        <v>0.25177996453285101</v>
      </c>
      <c r="AA280" s="14"/>
      <c r="AB280" s="14">
        <v>0.47357377036599202</v>
      </c>
      <c r="AC280" s="14">
        <v>0.11219614879751</v>
      </c>
      <c r="AD280" s="14">
        <v>0.55965952924058404</v>
      </c>
      <c r="AE280" s="14">
        <v>0.27912234936281699</v>
      </c>
      <c r="AF280" s="14"/>
      <c r="AG280" s="14">
        <v>0.14887782117297499</v>
      </c>
      <c r="AH280" s="14">
        <v>0.667921688420818</v>
      </c>
      <c r="AI280" s="14"/>
      <c r="AJ280" s="14">
        <v>0.33028361970565201</v>
      </c>
      <c r="AK280" s="14">
        <v>0.559046143306278</v>
      </c>
      <c r="AL280" s="14"/>
      <c r="AM280" s="14">
        <v>2.39001056160431E-2</v>
      </c>
      <c r="AN280" s="14">
        <v>0.96001996795911004</v>
      </c>
    </row>
    <row r="281" spans="2:40" x14ac:dyDescent="0.35">
      <c r="B281" t="s">
        <v>136</v>
      </c>
      <c r="C281" s="14">
        <v>0.22857871257525</v>
      </c>
      <c r="D281" s="14">
        <v>0.36404014645333799</v>
      </c>
      <c r="E281" s="14">
        <v>9.2758346788180498E-2</v>
      </c>
      <c r="F281" s="14"/>
      <c r="G281" s="14">
        <v>0.481524527730817</v>
      </c>
      <c r="H281" s="14">
        <v>0.273445501748732</v>
      </c>
      <c r="I281" s="14">
        <v>8.5996744335792005E-2</v>
      </c>
      <c r="J281" s="14"/>
      <c r="K281" s="14">
        <v>0.38769037914203403</v>
      </c>
      <c r="L281" s="14">
        <v>0.162936175499379</v>
      </c>
      <c r="M281" s="14">
        <v>-6.0321693485070903E-2</v>
      </c>
      <c r="N281" s="14"/>
      <c r="O281" s="14">
        <v>0.19944778776136199</v>
      </c>
      <c r="P281" s="14">
        <v>0.46468401627141398</v>
      </c>
      <c r="Q281" s="14"/>
      <c r="R281" s="14">
        <v>0.44905273061426998</v>
      </c>
      <c r="S281" s="14">
        <v>0.14448765186811</v>
      </c>
      <c r="T281" s="14">
        <v>9.0411177484188601E-2</v>
      </c>
      <c r="U281" s="14">
        <v>0.145166650269973</v>
      </c>
      <c r="V281" s="14">
        <v>0.11075005635223199</v>
      </c>
      <c r="W281" s="14">
        <v>0.20446221796651901</v>
      </c>
      <c r="X281" s="14">
        <v>0.23048701443621</v>
      </c>
      <c r="Y281" s="14">
        <v>0.27172704490515998</v>
      </c>
      <c r="Z281" s="14">
        <v>0.319278925892864</v>
      </c>
      <c r="AA281" s="14"/>
      <c r="AB281" s="14">
        <v>-0.194252936890042</v>
      </c>
      <c r="AC281" s="14">
        <v>0.61645042121072302</v>
      </c>
      <c r="AD281" s="14">
        <v>-0.29686616609635402</v>
      </c>
      <c r="AE281" s="14">
        <v>0.287464135563266</v>
      </c>
      <c r="AF281" s="14"/>
      <c r="AG281" s="14">
        <v>0.63072771475004497</v>
      </c>
      <c r="AH281" s="14">
        <v>-0.44522978053430101</v>
      </c>
      <c r="AI281" s="14"/>
      <c r="AJ281" s="14">
        <v>0.254680638701894</v>
      </c>
      <c r="AK281" s="14">
        <v>-0.36814796240031999</v>
      </c>
      <c r="AL281" s="14"/>
      <c r="AM281" s="14">
        <v>0.87184610856262301</v>
      </c>
      <c r="AN281" s="14">
        <v>-0.95123104012465698</v>
      </c>
    </row>
    <row r="282" spans="2:40" x14ac:dyDescent="0.35"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</row>
    <row r="283" spans="2:40" x14ac:dyDescent="0.35">
      <c r="B283" s="6" t="s">
        <v>141</v>
      </c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</row>
    <row r="284" spans="2:40" x14ac:dyDescent="0.35">
      <c r="B284" s="24" t="s">
        <v>138</v>
      </c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</row>
    <row r="285" spans="2:40" x14ac:dyDescent="0.35">
      <c r="B285" t="s">
        <v>128</v>
      </c>
      <c r="C285" s="14">
        <v>0.25496129752850999</v>
      </c>
      <c r="D285" s="14">
        <v>0.30693885788070502</v>
      </c>
      <c r="E285" s="14">
        <v>0.203121799572378</v>
      </c>
      <c r="F285" s="14"/>
      <c r="G285" s="14">
        <v>0.31551930781903398</v>
      </c>
      <c r="H285" s="14">
        <v>0.29610627979777099</v>
      </c>
      <c r="I285" s="14">
        <v>0.208539421029106</v>
      </c>
      <c r="J285" s="14"/>
      <c r="K285" s="14">
        <v>0.306764917763103</v>
      </c>
      <c r="L285" s="14">
        <v>0.215744765610934</v>
      </c>
      <c r="M285" s="14">
        <v>0.19483676236332501</v>
      </c>
      <c r="N285" s="14"/>
      <c r="O285" s="14">
        <v>0.246350716525256</v>
      </c>
      <c r="P285" s="14">
        <v>0.32064242621689798</v>
      </c>
      <c r="Q285" s="14"/>
      <c r="R285" s="14">
        <v>0.35325830630722099</v>
      </c>
      <c r="S285" s="14">
        <v>0.21237501442315901</v>
      </c>
      <c r="T285" s="14">
        <v>0.25714844611614901</v>
      </c>
      <c r="U285" s="14">
        <v>0.218440594396241</v>
      </c>
      <c r="V285" s="14">
        <v>0.23468046093579001</v>
      </c>
      <c r="W285" s="14">
        <v>0.28348316580810401</v>
      </c>
      <c r="X285" s="14">
        <v>0.21586295229246399</v>
      </c>
      <c r="Y285" s="14">
        <v>0.25206303242004502</v>
      </c>
      <c r="Z285" s="14">
        <v>0.238841324781707</v>
      </c>
      <c r="AA285" s="14"/>
      <c r="AB285" s="14">
        <v>0.134625424226051</v>
      </c>
      <c r="AC285" s="14">
        <v>0.33070904841237703</v>
      </c>
      <c r="AD285" s="14">
        <v>0.11085088056659</v>
      </c>
      <c r="AE285" s="14">
        <v>0.301313589449001</v>
      </c>
      <c r="AF285" s="14"/>
      <c r="AG285" s="14">
        <v>0.43835890600808702</v>
      </c>
      <c r="AH285" s="14">
        <v>7.4158741524430097E-2</v>
      </c>
      <c r="AI285" s="14"/>
      <c r="AJ285" s="14">
        <v>0.31107097172575598</v>
      </c>
      <c r="AK285" s="14">
        <v>8.6324740477365006E-2</v>
      </c>
      <c r="AL285" s="14"/>
      <c r="AM285" s="14">
        <v>0.43778427046901802</v>
      </c>
      <c r="AN285" s="14">
        <v>5.3730689762767399E-3</v>
      </c>
    </row>
    <row r="286" spans="2:40" x14ac:dyDescent="0.35">
      <c r="B286" t="s">
        <v>129</v>
      </c>
      <c r="C286" s="14">
        <v>0.39395920509796201</v>
      </c>
      <c r="D286" s="14">
        <v>0.40770050448842199</v>
      </c>
      <c r="E286" s="14">
        <v>0.38129252855038398</v>
      </c>
      <c r="F286" s="14"/>
      <c r="G286" s="14">
        <v>0.45400657396657301</v>
      </c>
      <c r="H286" s="14">
        <v>0.40167067326269701</v>
      </c>
      <c r="I286" s="14">
        <v>0.361299247938208</v>
      </c>
      <c r="J286" s="14"/>
      <c r="K286" s="14">
        <v>0.43040547020324499</v>
      </c>
      <c r="L286" s="14">
        <v>0.38240549875473101</v>
      </c>
      <c r="M286" s="14">
        <v>0.32116074416940699</v>
      </c>
      <c r="N286" s="14"/>
      <c r="O286" s="14">
        <v>0.39243842380308103</v>
      </c>
      <c r="P286" s="14">
        <v>0.41597526109736499</v>
      </c>
      <c r="Q286" s="14"/>
      <c r="R286" s="14">
        <v>0.38982117092046897</v>
      </c>
      <c r="S286" s="14">
        <v>0.39505665501099202</v>
      </c>
      <c r="T286" s="14">
        <v>0.34200696232952699</v>
      </c>
      <c r="U286" s="14">
        <v>0.38074397769243001</v>
      </c>
      <c r="V286" s="14">
        <v>0.445977922610647</v>
      </c>
      <c r="W286" s="14">
        <v>0.372303903996834</v>
      </c>
      <c r="X286" s="14">
        <v>0.39925165493456899</v>
      </c>
      <c r="Y286" s="14">
        <v>0.41362749283740302</v>
      </c>
      <c r="Z286" s="14">
        <v>0.41771973933852702</v>
      </c>
      <c r="AA286" s="14"/>
      <c r="AB286" s="14">
        <v>0.32786814262579</v>
      </c>
      <c r="AC286" s="14">
        <v>0.50244760436406199</v>
      </c>
      <c r="AD286" s="14">
        <v>0.276942337585736</v>
      </c>
      <c r="AE286" s="14">
        <v>0.398441047936552</v>
      </c>
      <c r="AF286" s="14"/>
      <c r="AG286" s="14">
        <v>0.38121648953285098</v>
      </c>
      <c r="AH286" s="14">
        <v>0.25576738851726699</v>
      </c>
      <c r="AI286" s="14"/>
      <c r="AJ286" s="14">
        <v>0.33737203672078903</v>
      </c>
      <c r="AK286" s="14">
        <v>0.30792498516439198</v>
      </c>
      <c r="AL286" s="14"/>
      <c r="AM286" s="14">
        <v>0.53494639396394505</v>
      </c>
      <c r="AN286" s="14">
        <v>7.6258133813702306E-2</v>
      </c>
    </row>
    <row r="287" spans="2:40" x14ac:dyDescent="0.35">
      <c r="B287" t="s">
        <v>130</v>
      </c>
      <c r="C287" s="14">
        <v>0.187780363007961</v>
      </c>
      <c r="D287" s="14">
        <v>0.16177367895761599</v>
      </c>
      <c r="E287" s="14">
        <v>0.21347542094782401</v>
      </c>
      <c r="F287" s="14"/>
      <c r="G287" s="14">
        <v>0.12963831878561599</v>
      </c>
      <c r="H287" s="14">
        <v>0.168813429154167</v>
      </c>
      <c r="I287" s="14">
        <v>0.22405128779379299</v>
      </c>
      <c r="J287" s="14"/>
      <c r="K287" s="14">
        <v>0.14730450647538901</v>
      </c>
      <c r="L287" s="14">
        <v>0.22030668776057999</v>
      </c>
      <c r="M287" s="14">
        <v>0.231172526134621</v>
      </c>
      <c r="N287" s="14"/>
      <c r="O287" s="14">
        <v>0.19202144504461199</v>
      </c>
      <c r="P287" s="14">
        <v>0.17199674133854201</v>
      </c>
      <c r="Q287" s="14"/>
      <c r="R287" s="14">
        <v>0.16944191861782701</v>
      </c>
      <c r="S287" s="14">
        <v>0.20300159393013401</v>
      </c>
      <c r="T287" s="14">
        <v>0.22078254005949199</v>
      </c>
      <c r="U287" s="14">
        <v>0.19449631692616101</v>
      </c>
      <c r="V287" s="14">
        <v>0.122673727704217</v>
      </c>
      <c r="W287" s="14">
        <v>0.17977858460197099</v>
      </c>
      <c r="X287" s="14">
        <v>0.23758423553958699</v>
      </c>
      <c r="Y287" s="14">
        <v>0.170004660254339</v>
      </c>
      <c r="Z287" s="14">
        <v>0.180463582896911</v>
      </c>
      <c r="AA287" s="14"/>
      <c r="AB287" s="14">
        <v>0.27363597051724597</v>
      </c>
      <c r="AC287" s="14">
        <v>0.134884155205269</v>
      </c>
      <c r="AD287" s="14">
        <v>0.26458290148637997</v>
      </c>
      <c r="AE287" s="14">
        <v>0.20571727290893299</v>
      </c>
      <c r="AF287" s="14"/>
      <c r="AG287" s="14">
        <v>0.12407858022807799</v>
      </c>
      <c r="AH287" s="14">
        <v>0.18704789997605301</v>
      </c>
      <c r="AI287" s="14"/>
      <c r="AJ287" s="14">
        <v>0.14608635346795801</v>
      </c>
      <c r="AK287" s="14">
        <v>0.33101352176869903</v>
      </c>
      <c r="AL287" s="14"/>
      <c r="AM287" s="14">
        <v>2.2995563611835902E-2</v>
      </c>
      <c r="AN287" s="14">
        <v>0.233029983423653</v>
      </c>
    </row>
    <row r="288" spans="2:40" x14ac:dyDescent="0.35">
      <c r="B288" t="s">
        <v>131</v>
      </c>
      <c r="C288" s="14">
        <v>0.11779544689846599</v>
      </c>
      <c r="D288" s="14">
        <v>8.7533748980638898E-2</v>
      </c>
      <c r="E288" s="14">
        <v>0.146877019578564</v>
      </c>
      <c r="F288" s="14"/>
      <c r="G288" s="14">
        <v>6.7896787136035502E-2</v>
      </c>
      <c r="H288" s="14">
        <v>0.110346509462678</v>
      </c>
      <c r="I288" s="14">
        <v>0.145356081037884</v>
      </c>
      <c r="J288" s="14"/>
      <c r="K288" s="14">
        <v>8.7039675437971906E-2</v>
      </c>
      <c r="L288" s="14">
        <v>0.129515044034269</v>
      </c>
      <c r="M288" s="14">
        <v>0.175481541452368</v>
      </c>
      <c r="N288" s="14"/>
      <c r="O288" s="14">
        <v>0.12513332893333801</v>
      </c>
      <c r="P288" s="14">
        <v>6.3582619508069302E-2</v>
      </c>
      <c r="Q288" s="14"/>
      <c r="R288" s="14">
        <v>5.8386081313721E-2</v>
      </c>
      <c r="S288" s="14">
        <v>0.117257221610315</v>
      </c>
      <c r="T288" s="14">
        <v>0.15031837430321199</v>
      </c>
      <c r="U288" s="14">
        <v>0.157166332168198</v>
      </c>
      <c r="V288" s="14">
        <v>0.160357695780207</v>
      </c>
      <c r="W288" s="14">
        <v>0.112916849947758</v>
      </c>
      <c r="X288" s="14">
        <v>8.3713073738299296E-2</v>
      </c>
      <c r="Y288" s="14">
        <v>0.11971572751611</v>
      </c>
      <c r="Z288" s="14">
        <v>0.133048059338576</v>
      </c>
      <c r="AA288" s="14"/>
      <c r="AB288" s="14">
        <v>0.17604724192058799</v>
      </c>
      <c r="AC288" s="14">
        <v>2.5357963381616999E-2</v>
      </c>
      <c r="AD288" s="14">
        <v>0.23733551105693701</v>
      </c>
      <c r="AE288" s="14">
        <v>6.96162590769695E-2</v>
      </c>
      <c r="AF288" s="14"/>
      <c r="AG288" s="14">
        <v>4.9370927232070601E-2</v>
      </c>
      <c r="AH288" s="14">
        <v>0.300540365289583</v>
      </c>
      <c r="AI288" s="14"/>
      <c r="AJ288" s="14">
        <v>0.137154629830121</v>
      </c>
      <c r="AK288" s="14">
        <v>0.187971327649156</v>
      </c>
      <c r="AL288" s="14"/>
      <c r="AM288" s="14">
        <v>2.2634327899354501E-3</v>
      </c>
      <c r="AN288" s="14">
        <v>0.50115155089566898</v>
      </c>
    </row>
    <row r="289" spans="2:40" x14ac:dyDescent="0.35">
      <c r="B289" t="s">
        <v>132</v>
      </c>
      <c r="C289" s="14">
        <v>4.14777506425974E-2</v>
      </c>
      <c r="D289" s="14">
        <v>3.0126752590461998E-2</v>
      </c>
      <c r="E289" s="14">
        <v>5.3078272811001997E-2</v>
      </c>
      <c r="F289" s="14"/>
      <c r="G289" s="14">
        <v>2.1437133889482599E-2</v>
      </c>
      <c r="H289" s="14">
        <v>2.30631083226869E-2</v>
      </c>
      <c r="I289" s="14">
        <v>5.8779333840235197E-2</v>
      </c>
      <c r="J289" s="14"/>
      <c r="K289" s="14">
        <v>2.2170374185311301E-2</v>
      </c>
      <c r="L289" s="14">
        <v>4.9015045756908703E-2</v>
      </c>
      <c r="M289" s="14">
        <v>7.7348425880278196E-2</v>
      </c>
      <c r="N289" s="14"/>
      <c r="O289" s="14">
        <v>4.0198354064890501E-2</v>
      </c>
      <c r="P289" s="14">
        <v>2.1880819877716801E-2</v>
      </c>
      <c r="Q289" s="14"/>
      <c r="R289" s="14">
        <v>2.9092522840762299E-2</v>
      </c>
      <c r="S289" s="14">
        <v>5.8874726581978801E-2</v>
      </c>
      <c r="T289" s="14">
        <v>2.97436771916199E-2</v>
      </c>
      <c r="U289" s="14">
        <v>4.9152778816969799E-2</v>
      </c>
      <c r="V289" s="14">
        <v>3.6310192969138601E-2</v>
      </c>
      <c r="W289" s="14">
        <v>4.8255025775203603E-2</v>
      </c>
      <c r="X289" s="14">
        <v>5.2121241401752297E-2</v>
      </c>
      <c r="Y289" s="14">
        <v>4.4589086972103301E-2</v>
      </c>
      <c r="Z289" s="14">
        <v>2.68199229117781E-2</v>
      </c>
      <c r="AA289" s="14"/>
      <c r="AB289" s="14">
        <v>8.7823220710324904E-2</v>
      </c>
      <c r="AC289" s="14">
        <v>6.6012286366745696E-3</v>
      </c>
      <c r="AD289" s="14">
        <v>0.11028836930435799</v>
      </c>
      <c r="AE289" s="14">
        <v>2.4911830628544102E-2</v>
      </c>
      <c r="AF289" s="14"/>
      <c r="AG289" s="14">
        <v>6.9750969989137096E-3</v>
      </c>
      <c r="AH289" s="14">
        <v>0.182485604692668</v>
      </c>
      <c r="AI289" s="14"/>
      <c r="AJ289" s="14">
        <v>6.8316008255376107E-2</v>
      </c>
      <c r="AK289" s="14">
        <v>8.6765424940388206E-2</v>
      </c>
      <c r="AL289" s="14"/>
      <c r="AM289" s="14">
        <v>2.0103391652660199E-3</v>
      </c>
      <c r="AN289" s="14">
        <v>0.17756989488083999</v>
      </c>
    </row>
    <row r="290" spans="2:40" x14ac:dyDescent="0.35">
      <c r="B290" t="s">
        <v>133</v>
      </c>
      <c r="C290" s="14">
        <v>4.0259368245021496E-3</v>
      </c>
      <c r="D290" s="14">
        <v>5.9264571021556403E-3</v>
      </c>
      <c r="E290" s="14">
        <v>2.1549585398488499E-3</v>
      </c>
      <c r="F290" s="14"/>
      <c r="G290" s="14">
        <v>1.1501878403258999E-2</v>
      </c>
      <c r="H290" s="14">
        <v>0</v>
      </c>
      <c r="I290" s="14">
        <v>1.9746283607732199E-3</v>
      </c>
      <c r="J290" s="14"/>
      <c r="K290" s="14">
        <v>6.3150559349798002E-3</v>
      </c>
      <c r="L290" s="14">
        <v>3.0129580825775299E-3</v>
      </c>
      <c r="M290" s="14">
        <v>0</v>
      </c>
      <c r="N290" s="14"/>
      <c r="O290" s="14">
        <v>3.8577316288222999E-3</v>
      </c>
      <c r="P290" s="14">
        <v>5.9221319614083901E-3</v>
      </c>
      <c r="Q290" s="14"/>
      <c r="R290" s="14">
        <v>0</v>
      </c>
      <c r="S290" s="14">
        <v>1.3434788443421299E-2</v>
      </c>
      <c r="T290" s="14">
        <v>0</v>
      </c>
      <c r="U290" s="14">
        <v>0</v>
      </c>
      <c r="V290" s="14">
        <v>0</v>
      </c>
      <c r="W290" s="14">
        <v>3.26246987012941E-3</v>
      </c>
      <c r="X290" s="14">
        <v>1.1466842093329301E-2</v>
      </c>
      <c r="Y290" s="14">
        <v>0</v>
      </c>
      <c r="Z290" s="14">
        <v>3.1073707324997899E-3</v>
      </c>
      <c r="AA290" s="14"/>
      <c r="AB290" s="14">
        <v>0</v>
      </c>
      <c r="AC290" s="14">
        <v>0</v>
      </c>
      <c r="AD290" s="14">
        <v>0</v>
      </c>
      <c r="AE290" s="14">
        <v>0</v>
      </c>
      <c r="AF290" s="14"/>
      <c r="AG290" s="14">
        <v>0</v>
      </c>
      <c r="AH290" s="14">
        <v>0</v>
      </c>
      <c r="AI290" s="14"/>
      <c r="AJ290" s="14">
        <v>0</v>
      </c>
      <c r="AK290" s="14">
        <v>0</v>
      </c>
      <c r="AL290" s="14"/>
      <c r="AM290" s="14">
        <v>0</v>
      </c>
      <c r="AN290" s="14">
        <v>6.6173680098580304E-3</v>
      </c>
    </row>
    <row r="291" spans="2:40" x14ac:dyDescent="0.35">
      <c r="B291" t="s">
        <v>134</v>
      </c>
      <c r="C291" s="14">
        <v>0.64892050262647305</v>
      </c>
      <c r="D291" s="14">
        <v>0.71463936236912695</v>
      </c>
      <c r="E291" s="14">
        <v>0.58441432812276195</v>
      </c>
      <c r="F291" s="14"/>
      <c r="G291" s="14">
        <v>0.76952588178560699</v>
      </c>
      <c r="H291" s="14">
        <v>0.69777695306046805</v>
      </c>
      <c r="I291" s="14">
        <v>0.56983866896731405</v>
      </c>
      <c r="J291" s="14"/>
      <c r="K291" s="14">
        <v>0.73717038796634804</v>
      </c>
      <c r="L291" s="14">
        <v>0.59815026436566499</v>
      </c>
      <c r="M291" s="14">
        <v>0.51599750653273202</v>
      </c>
      <c r="N291" s="14"/>
      <c r="O291" s="14">
        <v>0.638789140328337</v>
      </c>
      <c r="P291" s="14">
        <v>0.73661768731426402</v>
      </c>
      <c r="Q291" s="14"/>
      <c r="R291" s="14">
        <v>0.74307947722768997</v>
      </c>
      <c r="S291" s="14">
        <v>0.60743166943415094</v>
      </c>
      <c r="T291" s="14">
        <v>0.59915540844567605</v>
      </c>
      <c r="U291" s="14">
        <v>0.59918457208867104</v>
      </c>
      <c r="V291" s="14">
        <v>0.68065838354643704</v>
      </c>
      <c r="W291" s="14">
        <v>0.65578706980493795</v>
      </c>
      <c r="X291" s="14">
        <v>0.61511460722703204</v>
      </c>
      <c r="Y291" s="14">
        <v>0.66569052525744798</v>
      </c>
      <c r="Z291" s="14">
        <v>0.65656106412023496</v>
      </c>
      <c r="AA291" s="14"/>
      <c r="AB291" s="14">
        <v>0.46249356685184101</v>
      </c>
      <c r="AC291" s="14">
        <v>0.83315665277644002</v>
      </c>
      <c r="AD291" s="14">
        <v>0.38779321815232598</v>
      </c>
      <c r="AE291" s="14">
        <v>0.69975463738555299</v>
      </c>
      <c r="AF291" s="14"/>
      <c r="AG291" s="14">
        <v>0.81957539554093795</v>
      </c>
      <c r="AH291" s="14">
        <v>0.32992613004169702</v>
      </c>
      <c r="AI291" s="14"/>
      <c r="AJ291" s="14">
        <v>0.64844300844654501</v>
      </c>
      <c r="AK291" s="14">
        <v>0.39424972564175698</v>
      </c>
      <c r="AL291" s="14"/>
      <c r="AM291" s="14">
        <v>0.97273066443296297</v>
      </c>
      <c r="AN291" s="14">
        <v>8.1631202789978999E-2</v>
      </c>
    </row>
    <row r="292" spans="2:40" x14ac:dyDescent="0.35">
      <c r="B292" t="s">
        <v>135</v>
      </c>
      <c r="C292" s="14">
        <v>0.159273197541064</v>
      </c>
      <c r="D292" s="14">
        <v>0.117660501571101</v>
      </c>
      <c r="E292" s="14">
        <v>0.199955292389566</v>
      </c>
      <c r="F292" s="14"/>
      <c r="G292" s="14">
        <v>8.9333921025518098E-2</v>
      </c>
      <c r="H292" s="14">
        <v>0.133409617785365</v>
      </c>
      <c r="I292" s="14">
        <v>0.20413541487812001</v>
      </c>
      <c r="J292" s="14"/>
      <c r="K292" s="14">
        <v>0.109210049623283</v>
      </c>
      <c r="L292" s="14">
        <v>0.17853008979117699</v>
      </c>
      <c r="M292" s="14">
        <v>0.25282996733264601</v>
      </c>
      <c r="N292" s="14"/>
      <c r="O292" s="14">
        <v>0.16533168299822801</v>
      </c>
      <c r="P292" s="14">
        <v>8.54634393857861E-2</v>
      </c>
      <c r="Q292" s="14"/>
      <c r="R292" s="14">
        <v>8.7478604154483205E-2</v>
      </c>
      <c r="S292" s="14">
        <v>0.176131948192294</v>
      </c>
      <c r="T292" s="14">
        <v>0.18006205149483201</v>
      </c>
      <c r="U292" s="14">
        <v>0.206319110985168</v>
      </c>
      <c r="V292" s="14">
        <v>0.19666788874934599</v>
      </c>
      <c r="W292" s="14">
        <v>0.16117187572296099</v>
      </c>
      <c r="X292" s="14">
        <v>0.13583431514005201</v>
      </c>
      <c r="Y292" s="14">
        <v>0.16430481448821299</v>
      </c>
      <c r="Z292" s="14">
        <v>0.15986798225035401</v>
      </c>
      <c r="AA292" s="14"/>
      <c r="AB292" s="14">
        <v>0.26387046263091302</v>
      </c>
      <c r="AC292" s="14">
        <v>3.1959192018291602E-2</v>
      </c>
      <c r="AD292" s="14">
        <v>0.34762388036129399</v>
      </c>
      <c r="AE292" s="14">
        <v>9.4528089705513602E-2</v>
      </c>
      <c r="AF292" s="14"/>
      <c r="AG292" s="14">
        <v>5.6346024230984303E-2</v>
      </c>
      <c r="AH292" s="14">
        <v>0.48302596998225</v>
      </c>
      <c r="AI292" s="14"/>
      <c r="AJ292" s="14">
        <v>0.20547063808549701</v>
      </c>
      <c r="AK292" s="14">
        <v>0.274736752589544</v>
      </c>
      <c r="AL292" s="14"/>
      <c r="AM292" s="14">
        <v>4.27377195520147E-3</v>
      </c>
      <c r="AN292" s="14">
        <v>0.67872144577650995</v>
      </c>
    </row>
    <row r="293" spans="2:40" x14ac:dyDescent="0.35">
      <c r="B293" t="s">
        <v>136</v>
      </c>
      <c r="C293" s="14">
        <v>0.48964730508540899</v>
      </c>
      <c r="D293" s="14">
        <v>0.59697886079802598</v>
      </c>
      <c r="E293" s="14">
        <v>0.38445903573319601</v>
      </c>
      <c r="F293" s="14"/>
      <c r="G293" s="14">
        <v>0.68019196076008903</v>
      </c>
      <c r="H293" s="14">
        <v>0.56436733527510297</v>
      </c>
      <c r="I293" s="14">
        <v>0.36570325408919402</v>
      </c>
      <c r="J293" s="14"/>
      <c r="K293" s="14">
        <v>0.62796033834306497</v>
      </c>
      <c r="L293" s="14">
        <v>0.41962017457448703</v>
      </c>
      <c r="M293" s="14">
        <v>0.26316753920008601</v>
      </c>
      <c r="N293" s="14"/>
      <c r="O293" s="14">
        <v>0.47345745733010802</v>
      </c>
      <c r="P293" s="14">
        <v>0.65115424792847698</v>
      </c>
      <c r="Q293" s="14"/>
      <c r="R293" s="14">
        <v>0.65560087307320702</v>
      </c>
      <c r="S293" s="14">
        <v>0.431299721241857</v>
      </c>
      <c r="T293" s="14">
        <v>0.41909335695084399</v>
      </c>
      <c r="U293" s="14">
        <v>0.39286546110350301</v>
      </c>
      <c r="V293" s="14">
        <v>0.483990494797091</v>
      </c>
      <c r="W293" s="14">
        <v>0.49461519408197602</v>
      </c>
      <c r="X293" s="14">
        <v>0.47928029208698097</v>
      </c>
      <c r="Y293" s="14">
        <v>0.50138571076923499</v>
      </c>
      <c r="Z293" s="14">
        <v>0.49669308186988098</v>
      </c>
      <c r="AA293" s="14"/>
      <c r="AB293" s="14">
        <v>0.19862310422092799</v>
      </c>
      <c r="AC293" s="14">
        <v>0.80119746075814802</v>
      </c>
      <c r="AD293" s="14">
        <v>4.01693377910314E-2</v>
      </c>
      <c r="AE293" s="14">
        <v>0.60522654768003903</v>
      </c>
      <c r="AF293" s="14"/>
      <c r="AG293" s="14">
        <v>0.76322937130995305</v>
      </c>
      <c r="AH293" s="14">
        <v>-0.15309983994055301</v>
      </c>
      <c r="AI293" s="14"/>
      <c r="AJ293" s="14">
        <v>0.44297237036104697</v>
      </c>
      <c r="AK293" s="14">
        <v>0.11951297305221301</v>
      </c>
      <c r="AL293" s="14"/>
      <c r="AM293" s="14">
        <v>0.96845689247776101</v>
      </c>
      <c r="AN293" s="14">
        <v>-0.59709024298653102</v>
      </c>
    </row>
    <row r="294" spans="2:40" x14ac:dyDescent="0.35"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</row>
    <row r="295" spans="2:40" x14ac:dyDescent="0.35">
      <c r="B295" s="6" t="s">
        <v>142</v>
      </c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</row>
    <row r="296" spans="2:40" x14ac:dyDescent="0.35">
      <c r="B296" s="24" t="s">
        <v>138</v>
      </c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</row>
    <row r="297" spans="2:40" x14ac:dyDescent="0.35">
      <c r="B297" t="s">
        <v>128</v>
      </c>
      <c r="C297" s="14">
        <v>0.17230716082349901</v>
      </c>
      <c r="D297" s="14">
        <v>0.13167190038267601</v>
      </c>
      <c r="E297" s="14">
        <v>0.21326886720411301</v>
      </c>
      <c r="F297" s="14"/>
      <c r="G297" s="14">
        <v>0.168877179042703</v>
      </c>
      <c r="H297" s="14">
        <v>0.178854379668345</v>
      </c>
      <c r="I297" s="14">
        <v>0.17134896504518499</v>
      </c>
      <c r="J297" s="14"/>
      <c r="K297" s="14">
        <v>0.17337644138588201</v>
      </c>
      <c r="L297" s="14">
        <v>0.16616183823411501</v>
      </c>
      <c r="M297" s="14">
        <v>0.18121350758593699</v>
      </c>
      <c r="N297" s="14"/>
      <c r="O297" s="14">
        <v>0.167933796218735</v>
      </c>
      <c r="P297" s="14">
        <v>0.19972219509682801</v>
      </c>
      <c r="Q297" s="14"/>
      <c r="R297" s="14">
        <v>0.19034636360873</v>
      </c>
      <c r="S297" s="14">
        <v>0.159343236483585</v>
      </c>
      <c r="T297" s="14">
        <v>0.18988510052194299</v>
      </c>
      <c r="U297" s="14">
        <v>0.18634851924557799</v>
      </c>
      <c r="V297" s="14">
        <v>0.103089155544469</v>
      </c>
      <c r="W297" s="14">
        <v>0.198066199914432</v>
      </c>
      <c r="X297" s="14">
        <v>0.15225349337688901</v>
      </c>
      <c r="Y297" s="14">
        <v>0.22980833807173001</v>
      </c>
      <c r="Z297" s="14">
        <v>0.16206959241525601</v>
      </c>
      <c r="AA297" s="14"/>
      <c r="AB297" s="14">
        <v>0.27052111620647201</v>
      </c>
      <c r="AC297" s="14">
        <v>0.13603557606613001</v>
      </c>
      <c r="AD297" s="14">
        <v>0.202454808632061</v>
      </c>
      <c r="AE297" s="14">
        <v>0.10783773314230199</v>
      </c>
      <c r="AF297" s="14"/>
      <c r="AG297" s="14">
        <v>0.110807369480036</v>
      </c>
      <c r="AH297" s="14">
        <v>0.154872160131176</v>
      </c>
      <c r="AI297" s="14"/>
      <c r="AJ297" s="14">
        <v>0.12620801100505799</v>
      </c>
      <c r="AK297" s="14">
        <v>0.214147067824525</v>
      </c>
      <c r="AL297" s="14"/>
      <c r="AM297" s="14">
        <v>0.13693896146402201</v>
      </c>
      <c r="AN297" s="14">
        <v>0.29887875138533199</v>
      </c>
    </row>
    <row r="298" spans="2:40" x14ac:dyDescent="0.35">
      <c r="B298" t="s">
        <v>129</v>
      </c>
      <c r="C298" s="14">
        <v>0.311729386234673</v>
      </c>
      <c r="D298" s="14">
        <v>0.27984867838378202</v>
      </c>
      <c r="E298" s="14">
        <v>0.34333841215504302</v>
      </c>
      <c r="F298" s="14"/>
      <c r="G298" s="14">
        <v>0.27328616085897001</v>
      </c>
      <c r="H298" s="14">
        <v>0.33674164071547702</v>
      </c>
      <c r="I298" s="14">
        <v>0.32053611077826299</v>
      </c>
      <c r="J298" s="14"/>
      <c r="K298" s="14">
        <v>0.30190168756823399</v>
      </c>
      <c r="L298" s="14">
        <v>0.32090946586312702</v>
      </c>
      <c r="M298" s="14">
        <v>0.319826088206695</v>
      </c>
      <c r="N298" s="14"/>
      <c r="O298" s="14">
        <v>0.31343979018625301</v>
      </c>
      <c r="P298" s="14">
        <v>0.31188923428166898</v>
      </c>
      <c r="Q298" s="14"/>
      <c r="R298" s="14">
        <v>0.27652714118113297</v>
      </c>
      <c r="S298" s="14">
        <v>0.32736941220586302</v>
      </c>
      <c r="T298" s="14">
        <v>0.33548783649480102</v>
      </c>
      <c r="U298" s="14">
        <v>0.32116928584854798</v>
      </c>
      <c r="V298" s="14">
        <v>0.34107831553244</v>
      </c>
      <c r="W298" s="14">
        <v>0.32655292595096902</v>
      </c>
      <c r="X298" s="14">
        <v>0.30088285043086299</v>
      </c>
      <c r="Y298" s="14">
        <v>0.278767611454936</v>
      </c>
      <c r="Z298" s="14">
        <v>0.29892498008062501</v>
      </c>
      <c r="AA298" s="14"/>
      <c r="AB298" s="14">
        <v>0.37510679914870998</v>
      </c>
      <c r="AC298" s="14">
        <v>0.30716808111473298</v>
      </c>
      <c r="AD298" s="14">
        <v>0.39644942156833601</v>
      </c>
      <c r="AE298" s="14">
        <v>0.20709561790710301</v>
      </c>
      <c r="AF298" s="14"/>
      <c r="AG298" s="14">
        <v>0.20899170997709099</v>
      </c>
      <c r="AH298" s="14">
        <v>0.38713084328027603</v>
      </c>
      <c r="AI298" s="14"/>
      <c r="AJ298" s="14">
        <v>0.27125132571656901</v>
      </c>
      <c r="AK298" s="14">
        <v>0.367384386333514</v>
      </c>
      <c r="AL298" s="14"/>
      <c r="AM298" s="14">
        <v>0.225853246955632</v>
      </c>
      <c r="AN298" s="14">
        <v>0.44323974982339298</v>
      </c>
    </row>
    <row r="299" spans="2:40" x14ac:dyDescent="0.35">
      <c r="B299" t="s">
        <v>130</v>
      </c>
      <c r="C299" s="14">
        <v>0.249230838386021</v>
      </c>
      <c r="D299" s="14">
        <v>0.25970416383739398</v>
      </c>
      <c r="E299" s="14">
        <v>0.23802930448709</v>
      </c>
      <c r="F299" s="14"/>
      <c r="G299" s="14">
        <v>0.25612840316368501</v>
      </c>
      <c r="H299" s="14">
        <v>0.19440677520118599</v>
      </c>
      <c r="I299" s="14">
        <v>0.26799191780383802</v>
      </c>
      <c r="J299" s="14"/>
      <c r="K299" s="14">
        <v>0.228294764563928</v>
      </c>
      <c r="L299" s="14">
        <v>0.269528293429035</v>
      </c>
      <c r="M299" s="14">
        <v>0.26507013793121398</v>
      </c>
      <c r="N299" s="14"/>
      <c r="O299" s="14">
        <v>0.24715162456885201</v>
      </c>
      <c r="P299" s="14">
        <v>0.2647763307514</v>
      </c>
      <c r="Q299" s="14"/>
      <c r="R299" s="14">
        <v>0.27509362522750402</v>
      </c>
      <c r="S299" s="14">
        <v>0.25195734414239901</v>
      </c>
      <c r="T299" s="14">
        <v>0.254138511659531</v>
      </c>
      <c r="U299" s="14">
        <v>0.19500861423515201</v>
      </c>
      <c r="V299" s="14">
        <v>0.247479175328368</v>
      </c>
      <c r="W299" s="14">
        <v>0.241270628926327</v>
      </c>
      <c r="X299" s="14">
        <v>0.23863319175252301</v>
      </c>
      <c r="Y299" s="14">
        <v>0.291692376285975</v>
      </c>
      <c r="Z299" s="14">
        <v>0.255217007096608</v>
      </c>
      <c r="AA299" s="14"/>
      <c r="AB299" s="14">
        <v>0.207268909555898</v>
      </c>
      <c r="AC299" s="14">
        <v>0.27722336872926601</v>
      </c>
      <c r="AD299" s="14">
        <v>0.24995481904957301</v>
      </c>
      <c r="AE299" s="14">
        <v>0.30805009259717198</v>
      </c>
      <c r="AF299" s="14"/>
      <c r="AG299" s="14">
        <v>0.31763223981139499</v>
      </c>
      <c r="AH299" s="14">
        <v>0.289529147903895</v>
      </c>
      <c r="AI299" s="14"/>
      <c r="AJ299" s="14">
        <v>0.30781021098028899</v>
      </c>
      <c r="AK299" s="14">
        <v>0.23808488860642199</v>
      </c>
      <c r="AL299" s="14"/>
      <c r="AM299" s="14">
        <v>0.28561372770193399</v>
      </c>
      <c r="AN299" s="14">
        <v>0.123482244244547</v>
      </c>
    </row>
    <row r="300" spans="2:40" x14ac:dyDescent="0.35">
      <c r="B300" t="s">
        <v>131</v>
      </c>
      <c r="C300" s="14">
        <v>0.203685950411954</v>
      </c>
      <c r="D300" s="14">
        <v>0.248048186644904</v>
      </c>
      <c r="E300" s="14">
        <v>0.159555946733304</v>
      </c>
      <c r="F300" s="14"/>
      <c r="G300" s="14">
        <v>0.221867440367576</v>
      </c>
      <c r="H300" s="14">
        <v>0.22924563531689901</v>
      </c>
      <c r="I300" s="14">
        <v>0.18441171616959501</v>
      </c>
      <c r="J300" s="14"/>
      <c r="K300" s="14">
        <v>0.225194669711928</v>
      </c>
      <c r="L300" s="14">
        <v>0.18805457077461801</v>
      </c>
      <c r="M300" s="14">
        <v>0.17748397070859401</v>
      </c>
      <c r="N300" s="14"/>
      <c r="O300" s="14">
        <v>0.20428898615709501</v>
      </c>
      <c r="P300" s="14">
        <v>0.19384007953684701</v>
      </c>
      <c r="Q300" s="14"/>
      <c r="R300" s="14">
        <v>0.21823696953382801</v>
      </c>
      <c r="S300" s="14">
        <v>0.19055806230809999</v>
      </c>
      <c r="T300" s="14">
        <v>0.175675452359705</v>
      </c>
      <c r="U300" s="14">
        <v>0.245377649213564</v>
      </c>
      <c r="V300" s="14">
        <v>0.234101396581188</v>
      </c>
      <c r="W300" s="14">
        <v>0.16385534286793799</v>
      </c>
      <c r="X300" s="14">
        <v>0.206573852367997</v>
      </c>
      <c r="Y300" s="14">
        <v>0.19171623716199501</v>
      </c>
      <c r="Z300" s="14">
        <v>0.20006151606375</v>
      </c>
      <c r="AA300" s="14"/>
      <c r="AB300" s="14">
        <v>0.14184345253901501</v>
      </c>
      <c r="AC300" s="14">
        <v>0.194903340431021</v>
      </c>
      <c r="AD300" s="14">
        <v>0.11699383471451801</v>
      </c>
      <c r="AE300" s="14">
        <v>0.28166935886274602</v>
      </c>
      <c r="AF300" s="14"/>
      <c r="AG300" s="14">
        <v>0.273569669800662</v>
      </c>
      <c r="AH300" s="14">
        <v>0.100647968842667</v>
      </c>
      <c r="AI300" s="14"/>
      <c r="AJ300" s="14">
        <v>0.21313354633340301</v>
      </c>
      <c r="AK300" s="14">
        <v>0.140389794797215</v>
      </c>
      <c r="AL300" s="14"/>
      <c r="AM300" s="14">
        <v>0.27471436478422601</v>
      </c>
      <c r="AN300" s="14">
        <v>7.8638864676394096E-2</v>
      </c>
    </row>
    <row r="301" spans="2:40" x14ac:dyDescent="0.35">
      <c r="B301" t="s">
        <v>132</v>
      </c>
      <c r="C301" s="14">
        <v>4.4814951760972603E-2</v>
      </c>
      <c r="D301" s="14">
        <v>5.5492338104050597E-2</v>
      </c>
      <c r="E301" s="14">
        <v>3.4447837428684597E-2</v>
      </c>
      <c r="F301" s="14"/>
      <c r="G301" s="14">
        <v>4.2813445064071698E-2</v>
      </c>
      <c r="H301" s="14">
        <v>4.8104254183096197E-2</v>
      </c>
      <c r="I301" s="14">
        <v>4.4470479932425103E-2</v>
      </c>
      <c r="J301" s="14"/>
      <c r="K301" s="14">
        <v>4.5199358621126597E-2</v>
      </c>
      <c r="L301" s="14">
        <v>4.5287213049996201E-2</v>
      </c>
      <c r="M301" s="14">
        <v>4.2917269672454898E-2</v>
      </c>
      <c r="N301" s="14"/>
      <c r="O301" s="14">
        <v>4.8084175827748002E-2</v>
      </c>
      <c r="P301" s="14">
        <v>2.6337194833966699E-2</v>
      </c>
      <c r="Q301" s="14"/>
      <c r="R301" s="14">
        <v>2.5252300391628402E-2</v>
      </c>
      <c r="S301" s="14">
        <v>5.1484250020344603E-2</v>
      </c>
      <c r="T301" s="14">
        <v>2.4517527595870701E-2</v>
      </c>
      <c r="U301" s="14">
        <v>3.9884617175165303E-2</v>
      </c>
      <c r="V301" s="14">
        <v>5.50314348857519E-2</v>
      </c>
      <c r="W301" s="14">
        <v>4.6270176004010698E-2</v>
      </c>
      <c r="X301" s="14">
        <v>7.1305863118697105E-2</v>
      </c>
      <c r="Y301" s="14">
        <v>8.0154370253643897E-3</v>
      </c>
      <c r="Z301" s="14">
        <v>6.6116997625270096E-2</v>
      </c>
      <c r="AA301" s="14"/>
      <c r="AB301" s="14">
        <v>5.25972254990471E-3</v>
      </c>
      <c r="AC301" s="14">
        <v>8.4669633658849802E-2</v>
      </c>
      <c r="AD301" s="14">
        <v>2.40307505264672E-2</v>
      </c>
      <c r="AE301" s="14">
        <v>8.3390127335153705E-2</v>
      </c>
      <c r="AF301" s="14"/>
      <c r="AG301" s="14">
        <v>8.8999010930816302E-2</v>
      </c>
      <c r="AH301" s="14">
        <v>3.3838157907967598E-2</v>
      </c>
      <c r="AI301" s="14"/>
      <c r="AJ301" s="14">
        <v>6.9720296313858093E-2</v>
      </c>
      <c r="AK301" s="14">
        <v>2.2994895365555001E-2</v>
      </c>
      <c r="AL301" s="14"/>
      <c r="AM301" s="14">
        <v>6.0471395542529699E-2</v>
      </c>
      <c r="AN301" s="14">
        <v>3.6024337491484197E-2</v>
      </c>
    </row>
    <row r="302" spans="2:40" x14ac:dyDescent="0.35">
      <c r="B302" t="s">
        <v>133</v>
      </c>
      <c r="C302" s="14">
        <v>1.82317123828796E-2</v>
      </c>
      <c r="D302" s="14">
        <v>2.52347326471931E-2</v>
      </c>
      <c r="E302" s="14">
        <v>1.13596319917655E-2</v>
      </c>
      <c r="F302" s="14"/>
      <c r="G302" s="14">
        <v>3.7027371502994198E-2</v>
      </c>
      <c r="H302" s="14">
        <v>1.26473149149964E-2</v>
      </c>
      <c r="I302" s="14">
        <v>1.1240810270693499E-2</v>
      </c>
      <c r="J302" s="14"/>
      <c r="K302" s="14">
        <v>2.6033078148900501E-2</v>
      </c>
      <c r="L302" s="14">
        <v>1.0058618649107801E-2</v>
      </c>
      <c r="M302" s="14">
        <v>1.34890258951052E-2</v>
      </c>
      <c r="N302" s="14"/>
      <c r="O302" s="14">
        <v>1.9101627041316401E-2</v>
      </c>
      <c r="P302" s="14">
        <v>3.4349654992893199E-3</v>
      </c>
      <c r="Q302" s="14"/>
      <c r="R302" s="14">
        <v>1.45436000571762E-2</v>
      </c>
      <c r="S302" s="14">
        <v>1.92876948397082E-2</v>
      </c>
      <c r="T302" s="14">
        <v>2.0295571368149998E-2</v>
      </c>
      <c r="U302" s="14">
        <v>1.2211314281992401E-2</v>
      </c>
      <c r="V302" s="14">
        <v>1.9220522127784301E-2</v>
      </c>
      <c r="W302" s="14">
        <v>2.3984726336324199E-2</v>
      </c>
      <c r="X302" s="14">
        <v>3.03507489530307E-2</v>
      </c>
      <c r="Y302" s="14">
        <v>0</v>
      </c>
      <c r="Z302" s="14">
        <v>1.76099067184897E-2</v>
      </c>
      <c r="AA302" s="14"/>
      <c r="AB302" s="14">
        <v>0</v>
      </c>
      <c r="AC302" s="14">
        <v>0</v>
      </c>
      <c r="AD302" s="14">
        <v>1.0116365509044699E-2</v>
      </c>
      <c r="AE302" s="14">
        <v>1.19570701555228E-2</v>
      </c>
      <c r="AF302" s="14"/>
      <c r="AG302" s="14">
        <v>0</v>
      </c>
      <c r="AH302" s="14">
        <v>3.3981721934019098E-2</v>
      </c>
      <c r="AI302" s="14"/>
      <c r="AJ302" s="14">
        <v>1.18766096508228E-2</v>
      </c>
      <c r="AK302" s="14">
        <v>1.6998967072768201E-2</v>
      </c>
      <c r="AL302" s="14"/>
      <c r="AM302" s="14">
        <v>1.6408303551656199E-2</v>
      </c>
      <c r="AN302" s="14">
        <v>1.97360523788494E-2</v>
      </c>
    </row>
    <row r="303" spans="2:40" x14ac:dyDescent="0.35">
      <c r="B303" t="s">
        <v>134</v>
      </c>
      <c r="C303" s="14">
        <v>0.48403654705817201</v>
      </c>
      <c r="D303" s="14">
        <v>0.41152057876645898</v>
      </c>
      <c r="E303" s="14">
        <v>0.55660727935915599</v>
      </c>
      <c r="F303" s="14"/>
      <c r="G303" s="14">
        <v>0.442163339901673</v>
      </c>
      <c r="H303" s="14">
        <v>0.51559602038382202</v>
      </c>
      <c r="I303" s="14">
        <v>0.49188507582344798</v>
      </c>
      <c r="J303" s="14"/>
      <c r="K303" s="14">
        <v>0.47527812895411697</v>
      </c>
      <c r="L303" s="14">
        <v>0.48707130409724197</v>
      </c>
      <c r="M303" s="14">
        <v>0.50103959579263102</v>
      </c>
      <c r="N303" s="14"/>
      <c r="O303" s="14">
        <v>0.48137358640498901</v>
      </c>
      <c r="P303" s="14">
        <v>0.51161142937849702</v>
      </c>
      <c r="Q303" s="14"/>
      <c r="R303" s="14">
        <v>0.466873504789863</v>
      </c>
      <c r="S303" s="14">
        <v>0.48671264868944802</v>
      </c>
      <c r="T303" s="14">
        <v>0.52537293701674304</v>
      </c>
      <c r="U303" s="14">
        <v>0.50751780509412703</v>
      </c>
      <c r="V303" s="14">
        <v>0.44416747107690802</v>
      </c>
      <c r="W303" s="14">
        <v>0.52461912586540005</v>
      </c>
      <c r="X303" s="14">
        <v>0.45313634380775197</v>
      </c>
      <c r="Y303" s="14">
        <v>0.50857594952666596</v>
      </c>
      <c r="Z303" s="14">
        <v>0.46099457249588099</v>
      </c>
      <c r="AA303" s="14"/>
      <c r="AB303" s="14">
        <v>0.64562791535518205</v>
      </c>
      <c r="AC303" s="14">
        <v>0.44320365718086302</v>
      </c>
      <c r="AD303" s="14">
        <v>0.59890423020039696</v>
      </c>
      <c r="AE303" s="14">
        <v>0.31493335104940501</v>
      </c>
      <c r="AF303" s="14"/>
      <c r="AG303" s="14">
        <v>0.31979907945712699</v>
      </c>
      <c r="AH303" s="14">
        <v>0.54200300341145202</v>
      </c>
      <c r="AI303" s="14"/>
      <c r="AJ303" s="14">
        <v>0.39745933672162698</v>
      </c>
      <c r="AK303" s="14">
        <v>0.58153145415803897</v>
      </c>
      <c r="AL303" s="14"/>
      <c r="AM303" s="14">
        <v>0.36279220841965398</v>
      </c>
      <c r="AN303" s="14">
        <v>0.74211850120872502</v>
      </c>
    </row>
    <row r="304" spans="2:40" x14ac:dyDescent="0.35">
      <c r="B304" t="s">
        <v>135</v>
      </c>
      <c r="C304" s="14">
        <v>0.248500902172927</v>
      </c>
      <c r="D304" s="14">
        <v>0.30354052474895399</v>
      </c>
      <c r="E304" s="14">
        <v>0.19400378416198899</v>
      </c>
      <c r="F304" s="14"/>
      <c r="G304" s="14">
        <v>0.26468088543164803</v>
      </c>
      <c r="H304" s="14">
        <v>0.27734988949999601</v>
      </c>
      <c r="I304" s="14">
        <v>0.22888219610202001</v>
      </c>
      <c r="J304" s="14"/>
      <c r="K304" s="14">
        <v>0.27039402833305498</v>
      </c>
      <c r="L304" s="14">
        <v>0.23334178382461501</v>
      </c>
      <c r="M304" s="14">
        <v>0.220401240381049</v>
      </c>
      <c r="N304" s="14"/>
      <c r="O304" s="14">
        <v>0.252373161984843</v>
      </c>
      <c r="P304" s="14">
        <v>0.220177274370814</v>
      </c>
      <c r="Q304" s="14"/>
      <c r="R304" s="14">
        <v>0.243489269925457</v>
      </c>
      <c r="S304" s="14">
        <v>0.242042312328445</v>
      </c>
      <c r="T304" s="14">
        <v>0.200192979955575</v>
      </c>
      <c r="U304" s="14">
        <v>0.28526226638872898</v>
      </c>
      <c r="V304" s="14">
        <v>0.28913283146693902</v>
      </c>
      <c r="W304" s="14">
        <v>0.210125518871949</v>
      </c>
      <c r="X304" s="14">
        <v>0.27787971548669399</v>
      </c>
      <c r="Y304" s="14">
        <v>0.19973167418735899</v>
      </c>
      <c r="Z304" s="14">
        <v>0.26617851368902101</v>
      </c>
      <c r="AA304" s="14"/>
      <c r="AB304" s="14">
        <v>0.14710317508892001</v>
      </c>
      <c r="AC304" s="14">
        <v>0.27957297408987097</v>
      </c>
      <c r="AD304" s="14">
        <v>0.14102458524098499</v>
      </c>
      <c r="AE304" s="14">
        <v>0.36505948619790002</v>
      </c>
      <c r="AF304" s="14"/>
      <c r="AG304" s="14">
        <v>0.36256868073147802</v>
      </c>
      <c r="AH304" s="14">
        <v>0.13448612675063401</v>
      </c>
      <c r="AI304" s="14"/>
      <c r="AJ304" s="14">
        <v>0.28285384264726099</v>
      </c>
      <c r="AK304" s="14">
        <v>0.16338469016276999</v>
      </c>
      <c r="AL304" s="14"/>
      <c r="AM304" s="14">
        <v>0.33518576032675501</v>
      </c>
      <c r="AN304" s="14">
        <v>0.114663202167878</v>
      </c>
    </row>
    <row r="305" spans="2:40" x14ac:dyDescent="0.35">
      <c r="B305" t="s">
        <v>136</v>
      </c>
      <c r="C305" s="14">
        <v>0.235535644885246</v>
      </c>
      <c r="D305" s="14">
        <v>0.107980054017505</v>
      </c>
      <c r="E305" s="14">
        <v>0.362603495197167</v>
      </c>
      <c r="F305" s="14"/>
      <c r="G305" s="14">
        <v>0.177482454470026</v>
      </c>
      <c r="H305" s="14">
        <v>0.23824613088382701</v>
      </c>
      <c r="I305" s="14">
        <v>0.263002879721428</v>
      </c>
      <c r="J305" s="14"/>
      <c r="K305" s="14">
        <v>0.20488410062106199</v>
      </c>
      <c r="L305" s="14">
        <v>0.25372952027262702</v>
      </c>
      <c r="M305" s="14">
        <v>0.280638355411582</v>
      </c>
      <c r="N305" s="14"/>
      <c r="O305" s="14">
        <v>0.22900042442014601</v>
      </c>
      <c r="P305" s="14">
        <v>0.29143415500768299</v>
      </c>
      <c r="Q305" s="14"/>
      <c r="R305" s="14">
        <v>0.22338423486440601</v>
      </c>
      <c r="S305" s="14">
        <v>0.24467033636100299</v>
      </c>
      <c r="T305" s="14">
        <v>0.32517995706116798</v>
      </c>
      <c r="U305" s="14">
        <v>0.22225553870539699</v>
      </c>
      <c r="V305" s="14">
        <v>0.15503463960996899</v>
      </c>
      <c r="W305" s="14">
        <v>0.31449360699345202</v>
      </c>
      <c r="X305" s="14">
        <v>0.17525662832105801</v>
      </c>
      <c r="Y305" s="14">
        <v>0.30884427533930597</v>
      </c>
      <c r="Z305" s="14">
        <v>0.19481605880686101</v>
      </c>
      <c r="AA305" s="14"/>
      <c r="AB305" s="14">
        <v>0.49852474026626298</v>
      </c>
      <c r="AC305" s="14">
        <v>0.16363068309099099</v>
      </c>
      <c r="AD305" s="14">
        <v>0.45787964495941202</v>
      </c>
      <c r="AE305" s="14">
        <v>-5.0126135148495399E-2</v>
      </c>
      <c r="AF305" s="14"/>
      <c r="AG305" s="14">
        <v>-4.2769601274350998E-2</v>
      </c>
      <c r="AH305" s="14">
        <v>0.40751687666081698</v>
      </c>
      <c r="AI305" s="14"/>
      <c r="AJ305" s="14">
        <v>0.114605494074366</v>
      </c>
      <c r="AK305" s="14">
        <v>0.41814676399526901</v>
      </c>
      <c r="AL305" s="14"/>
      <c r="AM305" s="14">
        <v>2.7606448092899E-2</v>
      </c>
      <c r="AN305" s="14">
        <v>0.62745529904084696</v>
      </c>
    </row>
    <row r="306" spans="2:40" x14ac:dyDescent="0.35"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</row>
    <row r="307" spans="2:40" x14ac:dyDescent="0.35">
      <c r="B307" s="6" t="s">
        <v>146</v>
      </c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</row>
    <row r="308" spans="2:40" x14ac:dyDescent="0.35">
      <c r="B308" s="24" t="s">
        <v>138</v>
      </c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</row>
    <row r="309" spans="2:40" x14ac:dyDescent="0.35">
      <c r="B309" t="s">
        <v>143</v>
      </c>
      <c r="C309" s="14">
        <v>0.210233374765909</v>
      </c>
      <c r="D309" s="14">
        <v>0.17325575377868499</v>
      </c>
      <c r="E309" s="14">
        <v>0.247110094353135</v>
      </c>
      <c r="F309" s="14"/>
      <c r="G309" s="14">
        <v>0.147351160458741</v>
      </c>
      <c r="H309" s="14">
        <v>0.203692595856138</v>
      </c>
      <c r="I309" s="14">
        <v>0.243815012418273</v>
      </c>
      <c r="J309" s="14"/>
      <c r="K309" s="14">
        <v>0.172758577644747</v>
      </c>
      <c r="L309" s="14">
        <v>0.23413584473269999</v>
      </c>
      <c r="M309" s="14">
        <v>0.262222227986946</v>
      </c>
      <c r="N309" s="14"/>
      <c r="O309" s="14">
        <v>0.218183234077648</v>
      </c>
      <c r="P309" s="14">
        <v>0.14334744271314301</v>
      </c>
      <c r="Q309" s="14"/>
      <c r="R309" s="14">
        <v>0.16856055780811099</v>
      </c>
      <c r="S309" s="14">
        <v>0.204995353653425</v>
      </c>
      <c r="T309" s="14">
        <v>0.25469894119389802</v>
      </c>
      <c r="U309" s="14">
        <v>0.23981051169731599</v>
      </c>
      <c r="V309" s="14">
        <v>0.22122669749335699</v>
      </c>
      <c r="W309" s="14">
        <v>0.18372868219937299</v>
      </c>
      <c r="X309" s="14">
        <v>0.23368662062110099</v>
      </c>
      <c r="Y309" s="14">
        <v>0.275614398305358</v>
      </c>
      <c r="Z309" s="14">
        <v>0.178363968166696</v>
      </c>
      <c r="AA309" s="14"/>
      <c r="AB309" s="14">
        <v>0.31013362564035302</v>
      </c>
      <c r="AC309" s="14">
        <v>0.13614741520611401</v>
      </c>
      <c r="AD309" s="14">
        <v>0.28100169451018803</v>
      </c>
      <c r="AE309" s="14">
        <v>0.229773811145906</v>
      </c>
      <c r="AF309" s="14"/>
      <c r="AG309" s="14">
        <v>0.23528676469641499</v>
      </c>
      <c r="AH309" s="14">
        <v>0.30478038365709798</v>
      </c>
      <c r="AI309" s="14"/>
      <c r="AJ309" s="14">
        <v>0.25957478009544599</v>
      </c>
      <c r="AK309" s="14">
        <v>0.24088472707646899</v>
      </c>
      <c r="AL309" s="14"/>
      <c r="AM309" s="14">
        <v>9.5463796495497993E-2</v>
      </c>
      <c r="AN309" s="14">
        <v>0.46752711677850201</v>
      </c>
    </row>
    <row r="310" spans="2:40" x14ac:dyDescent="0.35">
      <c r="B310" t="s">
        <v>144</v>
      </c>
      <c r="C310" s="14">
        <v>0.18517239018550399</v>
      </c>
      <c r="D310" s="14">
        <v>0.17855734763460099</v>
      </c>
      <c r="E310" s="14">
        <v>0.19297951422238399</v>
      </c>
      <c r="F310" s="14"/>
      <c r="G310" s="14">
        <v>0.19013953266605099</v>
      </c>
      <c r="H310" s="14">
        <v>0.193942016318745</v>
      </c>
      <c r="I310" s="14">
        <v>0.179184665170527</v>
      </c>
      <c r="J310" s="14"/>
      <c r="K310" s="14">
        <v>0.19185427933207899</v>
      </c>
      <c r="L310" s="14">
        <v>0.183355509252176</v>
      </c>
      <c r="M310" s="14">
        <v>0.17125282344526399</v>
      </c>
      <c r="N310" s="14"/>
      <c r="O310" s="14">
        <v>0.17903174596576299</v>
      </c>
      <c r="P310" s="14">
        <v>0.23122598290166299</v>
      </c>
      <c r="Q310" s="14"/>
      <c r="R310" s="14">
        <v>0.175305121528359</v>
      </c>
      <c r="S310" s="14">
        <v>0.175622712640877</v>
      </c>
      <c r="T310" s="14">
        <v>0.15484840539082001</v>
      </c>
      <c r="U310" s="14">
        <v>0.17419011399197801</v>
      </c>
      <c r="V310" s="14">
        <v>0.18005193366762501</v>
      </c>
      <c r="W310" s="14">
        <v>0.190602988392265</v>
      </c>
      <c r="X310" s="14">
        <v>0.188693787620478</v>
      </c>
      <c r="Y310" s="14">
        <v>0.16768864704365699</v>
      </c>
      <c r="Z310" s="14">
        <v>0.245094662265924</v>
      </c>
      <c r="AA310" s="14"/>
      <c r="AB310" s="14">
        <v>0.17569827357703</v>
      </c>
      <c r="AC310" s="14">
        <v>0.243193883689447</v>
      </c>
      <c r="AD310" s="14">
        <v>0.150549299158276</v>
      </c>
      <c r="AE310" s="14">
        <v>0.20468593028901999</v>
      </c>
      <c r="AF310" s="14"/>
      <c r="AG310" s="14">
        <v>0.26363973093291798</v>
      </c>
      <c r="AH310" s="14">
        <v>0.167377489054301</v>
      </c>
      <c r="AI310" s="14"/>
      <c r="AJ310" s="14">
        <v>0.22999608352960901</v>
      </c>
      <c r="AK310" s="14">
        <v>0.10982090583585601</v>
      </c>
      <c r="AL310" s="14"/>
      <c r="AM310" s="14">
        <v>0.24410816463728999</v>
      </c>
      <c r="AN310" s="14">
        <v>6.9496007721531305E-2</v>
      </c>
    </row>
    <row r="311" spans="2:40" x14ac:dyDescent="0.35">
      <c r="B311" t="s">
        <v>145</v>
      </c>
      <c r="C311" s="14">
        <v>0.54289092554931195</v>
      </c>
      <c r="D311" s="14">
        <v>0.58803828014979298</v>
      </c>
      <c r="E311" s="14">
        <v>0.49742459301841502</v>
      </c>
      <c r="F311" s="14"/>
      <c r="G311" s="14">
        <v>0.567883535772157</v>
      </c>
      <c r="H311" s="14">
        <v>0.53857304350039803</v>
      </c>
      <c r="I311" s="14">
        <v>0.53233927566502803</v>
      </c>
      <c r="J311" s="14"/>
      <c r="K311" s="14">
        <v>0.55466584084083104</v>
      </c>
      <c r="L311" s="14">
        <v>0.53828184642432297</v>
      </c>
      <c r="M311" s="14">
        <v>0.52103807864563101</v>
      </c>
      <c r="N311" s="14"/>
      <c r="O311" s="14">
        <v>0.53863032467540894</v>
      </c>
      <c r="P311" s="14">
        <v>0.58819201236312901</v>
      </c>
      <c r="Q311" s="14"/>
      <c r="R311" s="14">
        <v>0.62358101335885097</v>
      </c>
      <c r="S311" s="14">
        <v>0.54751591532973598</v>
      </c>
      <c r="T311" s="14">
        <v>0.50979531402861999</v>
      </c>
      <c r="U311" s="14">
        <v>0.514010086343475</v>
      </c>
      <c r="V311" s="14">
        <v>0.52022643086454901</v>
      </c>
      <c r="W311" s="14">
        <v>0.53727868305239401</v>
      </c>
      <c r="X311" s="14">
        <v>0.53456564295984699</v>
      </c>
      <c r="Y311" s="14">
        <v>0.49354309412502001</v>
      </c>
      <c r="Z311" s="14">
        <v>0.53306828217367297</v>
      </c>
      <c r="AA311" s="14"/>
      <c r="AB311" s="14">
        <v>0.49120116740082798</v>
      </c>
      <c r="AC311" s="14">
        <v>0.60920986802411903</v>
      </c>
      <c r="AD311" s="14">
        <v>0.51399101268499303</v>
      </c>
      <c r="AE311" s="14">
        <v>0.56554025856507395</v>
      </c>
      <c r="AF311" s="14"/>
      <c r="AG311" s="14">
        <v>0.47757698677799698</v>
      </c>
      <c r="AH311" s="14">
        <v>0.48165870895189</v>
      </c>
      <c r="AI311" s="14"/>
      <c r="AJ311" s="14">
        <v>0.47900354841770898</v>
      </c>
      <c r="AK311" s="14">
        <v>0.61412972741841698</v>
      </c>
      <c r="AL311" s="14"/>
      <c r="AM311" s="14">
        <v>0.61665060951566397</v>
      </c>
      <c r="AN311" s="14">
        <v>0.373850031614538</v>
      </c>
    </row>
    <row r="312" spans="2:40" x14ac:dyDescent="0.35">
      <c r="B312" t="s">
        <v>70</v>
      </c>
      <c r="C312" s="14">
        <v>6.17033094992753E-2</v>
      </c>
      <c r="D312" s="14">
        <v>6.0148618436920501E-2</v>
      </c>
      <c r="E312" s="14">
        <v>6.24857984060661E-2</v>
      </c>
      <c r="F312" s="14"/>
      <c r="G312" s="14">
        <v>9.4625771103052106E-2</v>
      </c>
      <c r="H312" s="14">
        <v>6.3792344324718905E-2</v>
      </c>
      <c r="I312" s="14">
        <v>4.4661046746172002E-2</v>
      </c>
      <c r="J312" s="14"/>
      <c r="K312" s="14">
        <v>8.0721302182342206E-2</v>
      </c>
      <c r="L312" s="14">
        <v>4.4226799590800503E-2</v>
      </c>
      <c r="M312" s="14">
        <v>4.5486869922158599E-2</v>
      </c>
      <c r="N312" s="14"/>
      <c r="O312" s="14">
        <v>6.4154695281180896E-2</v>
      </c>
      <c r="P312" s="14">
        <v>3.7234562022064897E-2</v>
      </c>
      <c r="Q312" s="14"/>
      <c r="R312" s="14">
        <v>3.2553307304679098E-2</v>
      </c>
      <c r="S312" s="14">
        <v>7.1866018375962598E-2</v>
      </c>
      <c r="T312" s="14">
        <v>8.0657339386662294E-2</v>
      </c>
      <c r="U312" s="14">
        <v>7.1989287967231794E-2</v>
      </c>
      <c r="V312" s="14">
        <v>7.8494937974469395E-2</v>
      </c>
      <c r="W312" s="14">
        <v>8.8389646355968493E-2</v>
      </c>
      <c r="X312" s="14">
        <v>4.3053948798574999E-2</v>
      </c>
      <c r="Y312" s="14">
        <v>6.3153860525965E-2</v>
      </c>
      <c r="Z312" s="14">
        <v>4.3473087393707699E-2</v>
      </c>
      <c r="AA312" s="14"/>
      <c r="AB312" s="14">
        <v>2.2966933381789501E-2</v>
      </c>
      <c r="AC312" s="14">
        <v>1.14488330803207E-2</v>
      </c>
      <c r="AD312" s="14">
        <v>5.44579936465426E-2</v>
      </c>
      <c r="AE312" s="14">
        <v>0</v>
      </c>
      <c r="AF312" s="14"/>
      <c r="AG312" s="14">
        <v>2.3496517592670799E-2</v>
      </c>
      <c r="AH312" s="14">
        <v>4.6183418336712197E-2</v>
      </c>
      <c r="AI312" s="14"/>
      <c r="AJ312" s="14">
        <v>3.1425587957236503E-2</v>
      </c>
      <c r="AK312" s="14">
        <v>3.51646396692585E-2</v>
      </c>
      <c r="AL312" s="14"/>
      <c r="AM312" s="14">
        <v>4.3777429351548297E-2</v>
      </c>
      <c r="AN312" s="14">
        <v>8.91268438854287E-2</v>
      </c>
    </row>
    <row r="313" spans="2:40" x14ac:dyDescent="0.35"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</row>
    <row r="314" spans="2:40" x14ac:dyDescent="0.35">
      <c r="B314" s="6" t="s">
        <v>152</v>
      </c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</row>
    <row r="315" spans="2:40" x14ac:dyDescent="0.35">
      <c r="B315" s="24" t="s">
        <v>138</v>
      </c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</row>
    <row r="316" spans="2:40" x14ac:dyDescent="0.35">
      <c r="B316" t="s">
        <v>149</v>
      </c>
      <c r="C316" s="14">
        <v>0.58269352814749498</v>
      </c>
      <c r="D316" s="14">
        <v>0.55820321900395098</v>
      </c>
      <c r="E316" s="14">
        <v>0.60868679981631901</v>
      </c>
      <c r="F316" s="14"/>
      <c r="G316" s="14">
        <v>0.59388082929497399</v>
      </c>
      <c r="H316" s="14">
        <v>0.63947228093179098</v>
      </c>
      <c r="I316" s="14">
        <v>0.55424467205418104</v>
      </c>
      <c r="J316" s="14"/>
      <c r="K316" s="14">
        <v>0.614440494196692</v>
      </c>
      <c r="L316" s="14">
        <v>0.62852956356423195</v>
      </c>
      <c r="M316" s="14">
        <v>0.41297446619143002</v>
      </c>
      <c r="N316" s="14"/>
      <c r="O316" s="14">
        <v>0.59082135830999605</v>
      </c>
      <c r="P316" s="14">
        <v>0.53880574855150198</v>
      </c>
      <c r="Q316" s="14"/>
      <c r="R316" s="14">
        <v>0.52153773005722304</v>
      </c>
      <c r="S316" s="14">
        <v>0.58533363950702999</v>
      </c>
      <c r="T316" s="14">
        <v>0.59851056506297196</v>
      </c>
      <c r="U316" s="14">
        <v>0.633163672933022</v>
      </c>
      <c r="V316" s="14">
        <v>0.61472234744912302</v>
      </c>
      <c r="W316" s="14">
        <v>0.59798470306142304</v>
      </c>
      <c r="X316" s="14">
        <v>0.57371114667717804</v>
      </c>
      <c r="Y316" s="14">
        <v>0.57334055932834405</v>
      </c>
      <c r="Z316" s="14">
        <v>0.576500541147141</v>
      </c>
      <c r="AA316" s="14"/>
      <c r="AB316" s="14">
        <v>0.774204654947522</v>
      </c>
      <c r="AC316" s="14">
        <v>0.53336728376916098</v>
      </c>
      <c r="AD316" s="14">
        <v>0.39439208550063598</v>
      </c>
      <c r="AE316" s="14">
        <v>0.40373073681649901</v>
      </c>
      <c r="AF316" s="14"/>
      <c r="AG316" s="14">
        <v>0.51532905828786602</v>
      </c>
      <c r="AH316" s="14">
        <v>0.72273336759541396</v>
      </c>
      <c r="AI316" s="14"/>
      <c r="AJ316" s="14">
        <v>0.58781685117626203</v>
      </c>
      <c r="AK316" s="14">
        <v>0.230294851673498</v>
      </c>
      <c r="AL316" s="14"/>
      <c r="AM316" s="14">
        <v>0.493964746846911</v>
      </c>
      <c r="AN316" s="14">
        <v>0.77303128912876795</v>
      </c>
    </row>
    <row r="317" spans="2:40" x14ac:dyDescent="0.35">
      <c r="B317" t="s">
        <v>150</v>
      </c>
      <c r="C317" s="14">
        <v>0.38048226222119003</v>
      </c>
      <c r="D317" s="14">
        <v>0.40453576668619401</v>
      </c>
      <c r="E317" s="14">
        <v>0.35468562603360199</v>
      </c>
      <c r="F317" s="14"/>
      <c r="G317" s="14">
        <v>0.35781627927588999</v>
      </c>
      <c r="H317" s="14">
        <v>0.32011517339206902</v>
      </c>
      <c r="I317" s="14">
        <v>0.41602877435426</v>
      </c>
      <c r="J317" s="14"/>
      <c r="K317" s="14">
        <v>0.34081480036773498</v>
      </c>
      <c r="L317" s="14">
        <v>0.34334300888546099</v>
      </c>
      <c r="M317" s="14">
        <v>0.55425786565850499</v>
      </c>
      <c r="N317" s="14"/>
      <c r="O317" s="14">
        <v>0.373882146550297</v>
      </c>
      <c r="P317" s="14">
        <v>0.42620251862986602</v>
      </c>
      <c r="Q317" s="14"/>
      <c r="R317" s="14">
        <v>0.45711226080124601</v>
      </c>
      <c r="S317" s="14">
        <v>0.36096635078248301</v>
      </c>
      <c r="T317" s="14">
        <v>0.349204753536282</v>
      </c>
      <c r="U317" s="14">
        <v>0.32385328786998702</v>
      </c>
      <c r="V317" s="14">
        <v>0.37641384726404697</v>
      </c>
      <c r="W317" s="14">
        <v>0.35589900101836502</v>
      </c>
      <c r="X317" s="14">
        <v>0.379565168307195</v>
      </c>
      <c r="Y317" s="14">
        <v>0.40310605041792702</v>
      </c>
      <c r="Z317" s="14">
        <v>0.39573173102693099</v>
      </c>
      <c r="AA317" s="14"/>
      <c r="AB317" s="14">
        <v>0.21033187733620301</v>
      </c>
      <c r="AC317" s="14">
        <v>0.43978976668320202</v>
      </c>
      <c r="AD317" s="14">
        <v>0.56272776226664201</v>
      </c>
      <c r="AE317" s="14">
        <v>0.59626926318350104</v>
      </c>
      <c r="AF317" s="14"/>
      <c r="AG317" s="14">
        <v>0.47934257378388201</v>
      </c>
      <c r="AH317" s="14">
        <v>0.21739891038282499</v>
      </c>
      <c r="AI317" s="14"/>
      <c r="AJ317" s="14">
        <v>0.38779328011473302</v>
      </c>
      <c r="AK317" s="14">
        <v>0.72406801480328797</v>
      </c>
      <c r="AL317" s="14"/>
      <c r="AM317" s="14">
        <v>0.48085111910059403</v>
      </c>
      <c r="AN317" s="14">
        <v>0.17315781049537801</v>
      </c>
    </row>
    <row r="318" spans="2:40" x14ac:dyDescent="0.35">
      <c r="B318" t="s">
        <v>70</v>
      </c>
      <c r="C318" s="14">
        <v>3.6824209631315899E-2</v>
      </c>
      <c r="D318" s="14">
        <v>3.7261014309855303E-2</v>
      </c>
      <c r="E318" s="14">
        <v>3.66275741500795E-2</v>
      </c>
      <c r="F318" s="14"/>
      <c r="G318" s="14">
        <v>4.83028914291352E-2</v>
      </c>
      <c r="H318" s="14">
        <v>4.0412545676140402E-2</v>
      </c>
      <c r="I318" s="14">
        <v>2.9726553591559499E-2</v>
      </c>
      <c r="J318" s="14"/>
      <c r="K318" s="14">
        <v>4.4744705435573601E-2</v>
      </c>
      <c r="L318" s="14">
        <v>2.8127427550306901E-2</v>
      </c>
      <c r="M318" s="14">
        <v>3.2767668150065203E-2</v>
      </c>
      <c r="N318" s="14"/>
      <c r="O318" s="14">
        <v>3.5296495139707298E-2</v>
      </c>
      <c r="P318" s="14">
        <v>3.49917328186315E-2</v>
      </c>
      <c r="Q318" s="14"/>
      <c r="R318" s="14">
        <v>2.1350009141531401E-2</v>
      </c>
      <c r="S318" s="14">
        <v>5.37000097104866E-2</v>
      </c>
      <c r="T318" s="14">
        <v>5.2284681400745998E-2</v>
      </c>
      <c r="U318" s="14">
        <v>4.2983039196991098E-2</v>
      </c>
      <c r="V318" s="14">
        <v>8.8638052868293994E-3</v>
      </c>
      <c r="W318" s="14">
        <v>4.6116295920212498E-2</v>
      </c>
      <c r="X318" s="14">
        <v>4.6723685015627098E-2</v>
      </c>
      <c r="Y318" s="14">
        <v>2.35533902537296E-2</v>
      </c>
      <c r="Z318" s="14">
        <v>2.77677278259282E-2</v>
      </c>
      <c r="AA318" s="14"/>
      <c r="AB318" s="14">
        <v>1.5463467716274701E-2</v>
      </c>
      <c r="AC318" s="14">
        <v>2.6842949547637E-2</v>
      </c>
      <c r="AD318" s="14">
        <v>4.2880152232721402E-2</v>
      </c>
      <c r="AE318" s="14">
        <v>0</v>
      </c>
      <c r="AF318" s="14"/>
      <c r="AG318" s="14">
        <v>5.3283679282518396E-3</v>
      </c>
      <c r="AH318" s="14">
        <v>5.9867722021761001E-2</v>
      </c>
      <c r="AI318" s="14"/>
      <c r="AJ318" s="14">
        <v>2.4389868709004101E-2</v>
      </c>
      <c r="AK318" s="14">
        <v>4.5637133523214399E-2</v>
      </c>
      <c r="AL318" s="14"/>
      <c r="AM318" s="14">
        <v>2.5184134052495099E-2</v>
      </c>
      <c r="AN318" s="14">
        <v>5.3810900375853801E-2</v>
      </c>
    </row>
    <row r="319" spans="2:40" x14ac:dyDescent="0.35"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</row>
    <row r="320" spans="2:40" x14ac:dyDescent="0.35">
      <c r="B320" s="6" t="s">
        <v>153</v>
      </c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</row>
    <row r="321" spans="2:40" x14ac:dyDescent="0.35">
      <c r="B321" s="24" t="s">
        <v>138</v>
      </c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</row>
    <row r="322" spans="2:40" x14ac:dyDescent="0.35">
      <c r="B322" t="s">
        <v>149</v>
      </c>
      <c r="C322" s="14">
        <v>0.486048175950269</v>
      </c>
      <c r="D322" s="14">
        <v>0.483265263914538</v>
      </c>
      <c r="E322" s="14">
        <v>0.48862411718976201</v>
      </c>
      <c r="F322" s="14"/>
      <c r="G322" s="14">
        <v>0.58292758057883898</v>
      </c>
      <c r="H322" s="14">
        <v>0.57655518346259804</v>
      </c>
      <c r="I322" s="14">
        <v>0.40180844465611398</v>
      </c>
      <c r="J322" s="14"/>
      <c r="K322" s="14">
        <v>0.58005392017481705</v>
      </c>
      <c r="L322" s="14">
        <v>0.49564054824366499</v>
      </c>
      <c r="M322" s="14">
        <v>0.22336461414240999</v>
      </c>
      <c r="N322" s="14"/>
      <c r="O322" s="14">
        <v>0.48447585953026401</v>
      </c>
      <c r="P322" s="14">
        <v>0.51446191437131294</v>
      </c>
      <c r="Q322" s="14"/>
      <c r="R322" s="14">
        <v>0.55098816257930605</v>
      </c>
      <c r="S322" s="14">
        <v>0.48473048239476102</v>
      </c>
      <c r="T322" s="14">
        <v>0.47654504210116699</v>
      </c>
      <c r="U322" s="14">
        <v>0.47059358812330099</v>
      </c>
      <c r="V322" s="14">
        <v>0.47886823811784901</v>
      </c>
      <c r="W322" s="14">
        <v>0.47638682569018298</v>
      </c>
      <c r="X322" s="14">
        <v>0.41956739807825599</v>
      </c>
      <c r="Y322" s="14">
        <v>0.44605442195777001</v>
      </c>
      <c r="Z322" s="14">
        <v>0.50690178886815196</v>
      </c>
      <c r="AA322" s="14"/>
      <c r="AB322" s="14">
        <v>0.53982325114531604</v>
      </c>
      <c r="AC322" s="14">
        <v>0.32976035590715302</v>
      </c>
      <c r="AD322" s="14">
        <v>0.21722523678493699</v>
      </c>
      <c r="AE322" s="14">
        <v>0.167319801506808</v>
      </c>
      <c r="AF322" s="14"/>
      <c r="AG322" s="14">
        <v>0.286102724001363</v>
      </c>
      <c r="AH322" s="14">
        <v>0.25133073012149099</v>
      </c>
      <c r="AI322" s="14"/>
      <c r="AJ322" s="14">
        <v>0.273949914355816</v>
      </c>
      <c r="AK322" s="14">
        <v>0.16027342483812901</v>
      </c>
      <c r="AL322" s="14"/>
      <c r="AM322" s="14">
        <v>0.46403910513769397</v>
      </c>
      <c r="AN322" s="14">
        <v>0.53418581453381497</v>
      </c>
    </row>
    <row r="323" spans="2:40" x14ac:dyDescent="0.35">
      <c r="B323" t="s">
        <v>150</v>
      </c>
      <c r="C323" s="14">
        <v>0.48110502257931298</v>
      </c>
      <c r="D323" s="14">
        <v>0.49470007614683698</v>
      </c>
      <c r="E323" s="14">
        <v>0.46752257033571998</v>
      </c>
      <c r="F323" s="14"/>
      <c r="G323" s="14">
        <v>0.36143850973104003</v>
      </c>
      <c r="H323" s="14">
        <v>0.39427274914536697</v>
      </c>
      <c r="I323" s="14">
        <v>0.57507118190135298</v>
      </c>
      <c r="J323" s="14"/>
      <c r="K323" s="14">
        <v>0.37624525387770402</v>
      </c>
      <c r="L323" s="14">
        <v>0.48182020164741801</v>
      </c>
      <c r="M323" s="14">
        <v>0.75240986961545298</v>
      </c>
      <c r="N323" s="14"/>
      <c r="O323" s="14">
        <v>0.48258150644006698</v>
      </c>
      <c r="P323" s="14">
        <v>0.46791359704365099</v>
      </c>
      <c r="Q323" s="14"/>
      <c r="R323" s="14">
        <v>0.44009369528061798</v>
      </c>
      <c r="S323" s="14">
        <v>0.48585635518714798</v>
      </c>
      <c r="T323" s="14">
        <v>0.48495400262611199</v>
      </c>
      <c r="U323" s="14">
        <v>0.48735548341551499</v>
      </c>
      <c r="V323" s="14">
        <v>0.476357379719761</v>
      </c>
      <c r="W323" s="14">
        <v>0.487833886474065</v>
      </c>
      <c r="X323" s="14">
        <v>0.50591897497874805</v>
      </c>
      <c r="Y323" s="14">
        <v>0.52887870053479302</v>
      </c>
      <c r="Z323" s="14">
        <v>0.47817855057347602</v>
      </c>
      <c r="AA323" s="14"/>
      <c r="AB323" s="14">
        <v>0.44223703157478</v>
      </c>
      <c r="AC323" s="14">
        <v>0.63673757210343995</v>
      </c>
      <c r="AD323" s="14">
        <v>0.74143845219479698</v>
      </c>
      <c r="AE323" s="14">
        <v>0.82735585727485805</v>
      </c>
      <c r="AF323" s="14"/>
      <c r="AG323" s="14">
        <v>0.71389727599863695</v>
      </c>
      <c r="AH323" s="14">
        <v>0.74866926987850901</v>
      </c>
      <c r="AI323" s="14"/>
      <c r="AJ323" s="14">
        <v>0.72605008564418405</v>
      </c>
      <c r="AK323" s="14">
        <v>0.80371666832947697</v>
      </c>
      <c r="AL323" s="14"/>
      <c r="AM323" s="14">
        <v>0.508252904330182</v>
      </c>
      <c r="AN323" s="14">
        <v>0.42465444631486299</v>
      </c>
    </row>
    <row r="324" spans="2:40" x14ac:dyDescent="0.35">
      <c r="B324" t="s">
        <v>70</v>
      </c>
      <c r="C324" s="14">
        <v>3.2846801470418102E-2</v>
      </c>
      <c r="D324" s="14">
        <v>2.2034659938624902E-2</v>
      </c>
      <c r="E324" s="14">
        <v>4.3853312474517299E-2</v>
      </c>
      <c r="F324" s="14"/>
      <c r="G324" s="14">
        <v>5.5633909690120997E-2</v>
      </c>
      <c r="H324" s="14">
        <v>2.91720673920354E-2</v>
      </c>
      <c r="I324" s="14">
        <v>2.31203734425331E-2</v>
      </c>
      <c r="J324" s="14"/>
      <c r="K324" s="14">
        <v>4.3700825947479399E-2</v>
      </c>
      <c r="L324" s="14">
        <v>2.2539250108916501E-2</v>
      </c>
      <c r="M324" s="14">
        <v>2.4225516242136501E-2</v>
      </c>
      <c r="N324" s="14"/>
      <c r="O324" s="14">
        <v>3.29426340296693E-2</v>
      </c>
      <c r="P324" s="14">
        <v>1.7624488585035701E-2</v>
      </c>
      <c r="Q324" s="14"/>
      <c r="R324" s="14">
        <v>8.9181421400754603E-3</v>
      </c>
      <c r="S324" s="14">
        <v>2.94131624180911E-2</v>
      </c>
      <c r="T324" s="14">
        <v>3.85009552727213E-2</v>
      </c>
      <c r="U324" s="14">
        <v>4.2050928461184203E-2</v>
      </c>
      <c r="V324" s="14">
        <v>4.47743821623897E-2</v>
      </c>
      <c r="W324" s="14">
        <v>3.5779287835751801E-2</v>
      </c>
      <c r="X324" s="14">
        <v>7.4513626942995598E-2</v>
      </c>
      <c r="Y324" s="14">
        <v>2.5066877507436799E-2</v>
      </c>
      <c r="Z324" s="14">
        <v>1.49196605583718E-2</v>
      </c>
      <c r="AA324" s="14"/>
      <c r="AB324" s="14">
        <v>1.7939717279903799E-2</v>
      </c>
      <c r="AC324" s="14">
        <v>3.35020719894073E-2</v>
      </c>
      <c r="AD324" s="14">
        <v>4.1336311020265901E-2</v>
      </c>
      <c r="AE324" s="14">
        <v>5.3243412183335698E-3</v>
      </c>
      <c r="AF324" s="14"/>
      <c r="AG324" s="14">
        <v>0</v>
      </c>
      <c r="AH324" s="14">
        <v>0</v>
      </c>
      <c r="AI324" s="14"/>
      <c r="AJ324" s="14">
        <v>0</v>
      </c>
      <c r="AK324" s="14">
        <v>3.6009906832394099E-2</v>
      </c>
      <c r="AL324" s="14"/>
      <c r="AM324" s="14">
        <v>2.7707990532123999E-2</v>
      </c>
      <c r="AN324" s="14">
        <v>4.1159739151322101E-2</v>
      </c>
    </row>
    <row r="325" spans="2:40" x14ac:dyDescent="0.35"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</row>
    <row r="326" spans="2:40" x14ac:dyDescent="0.35">
      <c r="B326" s="6" t="s">
        <v>154</v>
      </c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</row>
    <row r="327" spans="2:40" x14ac:dyDescent="0.35">
      <c r="B327" s="26" t="s">
        <v>389</v>
      </c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</row>
    <row r="328" spans="2:40" x14ac:dyDescent="0.35">
      <c r="B328" t="s">
        <v>44</v>
      </c>
      <c r="C328" s="14">
        <v>0.89087356283612296</v>
      </c>
      <c r="D328" s="14">
        <v>0.88854441732809397</v>
      </c>
      <c r="E328" s="14">
        <v>0.89347614762588501</v>
      </c>
      <c r="F328" s="14"/>
      <c r="G328" s="14">
        <v>0.89087356283612296</v>
      </c>
      <c r="H328" s="14" t="s">
        <v>76</v>
      </c>
      <c r="I328" s="14" t="s">
        <v>76</v>
      </c>
      <c r="J328" s="14"/>
      <c r="K328" s="14">
        <v>0.89087356283612296</v>
      </c>
      <c r="L328" s="14" t="s">
        <v>76</v>
      </c>
      <c r="M328" s="14" t="s">
        <v>76</v>
      </c>
      <c r="N328" s="14"/>
      <c r="O328" s="14">
        <v>0.89106610218786697</v>
      </c>
      <c r="P328" s="14">
        <v>0.87527059188870704</v>
      </c>
      <c r="Q328" s="14"/>
      <c r="R328" s="14">
        <v>0.86345318406231397</v>
      </c>
      <c r="S328" s="14">
        <v>0.95137348815068801</v>
      </c>
      <c r="T328" s="14">
        <v>0.88223019343076103</v>
      </c>
      <c r="U328" s="14">
        <v>0.91745090290629305</v>
      </c>
      <c r="V328" s="14">
        <v>1</v>
      </c>
      <c r="W328" s="14">
        <v>0.83746959560205003</v>
      </c>
      <c r="X328" s="14">
        <v>0.74206590733227296</v>
      </c>
      <c r="Y328" s="14">
        <v>0.884853028481424</v>
      </c>
      <c r="Z328" s="14">
        <v>0.92634588479107804</v>
      </c>
      <c r="AA328" s="14"/>
      <c r="AB328" s="14" t="s">
        <v>76</v>
      </c>
      <c r="AC328" s="14" t="s">
        <v>76</v>
      </c>
      <c r="AD328" s="14" t="s">
        <v>76</v>
      </c>
      <c r="AE328" s="14" t="s">
        <v>76</v>
      </c>
      <c r="AF328" s="14"/>
      <c r="AG328" s="14" t="s">
        <v>76</v>
      </c>
      <c r="AH328" s="14" t="s">
        <v>76</v>
      </c>
      <c r="AI328" s="14"/>
      <c r="AJ328" s="14" t="s">
        <v>76</v>
      </c>
      <c r="AK328" s="14" t="s">
        <v>76</v>
      </c>
      <c r="AL328" s="14"/>
      <c r="AM328" s="14">
        <v>0.90277506431447496</v>
      </c>
      <c r="AN328" s="14">
        <v>0.89504438706603395</v>
      </c>
    </row>
    <row r="329" spans="2:40" x14ac:dyDescent="0.35">
      <c r="B329" t="s">
        <v>45</v>
      </c>
      <c r="C329" s="14">
        <v>9.5304512800289995E-2</v>
      </c>
      <c r="D329" s="14">
        <v>9.6135313399861297E-2</v>
      </c>
      <c r="E329" s="14">
        <v>9.4376177066727795E-2</v>
      </c>
      <c r="F329" s="14"/>
      <c r="G329" s="14">
        <v>9.5304512800289995E-2</v>
      </c>
      <c r="H329" s="14" t="s">
        <v>76</v>
      </c>
      <c r="I329" s="14" t="s">
        <v>76</v>
      </c>
      <c r="J329" s="14"/>
      <c r="K329" s="14">
        <v>9.5304512800289995E-2</v>
      </c>
      <c r="L329" s="14" t="s">
        <v>76</v>
      </c>
      <c r="M329" s="14" t="s">
        <v>76</v>
      </c>
      <c r="N329" s="14"/>
      <c r="O329" s="14">
        <v>9.3468462858425694E-2</v>
      </c>
      <c r="P329" s="14">
        <v>0.124729408111293</v>
      </c>
      <c r="Q329" s="14"/>
      <c r="R329" s="14">
        <v>0.136546815937686</v>
      </c>
      <c r="S329" s="14">
        <v>4.8626511849312402E-2</v>
      </c>
      <c r="T329" s="14">
        <v>0.11776980656923899</v>
      </c>
      <c r="U329" s="14">
        <v>0</v>
      </c>
      <c r="V329" s="14">
        <v>0</v>
      </c>
      <c r="W329" s="14">
        <v>0.13996836740461099</v>
      </c>
      <c r="X329" s="14">
        <v>0.25793409266772699</v>
      </c>
      <c r="Y329" s="14">
        <v>0.115146971518576</v>
      </c>
      <c r="Z329" s="14">
        <v>5.4903468159594501E-2</v>
      </c>
      <c r="AA329" s="14"/>
      <c r="AB329" s="14" t="s">
        <v>76</v>
      </c>
      <c r="AC329" s="14" t="s">
        <v>76</v>
      </c>
      <c r="AD329" s="14" t="s">
        <v>76</v>
      </c>
      <c r="AE329" s="14" t="s">
        <v>76</v>
      </c>
      <c r="AF329" s="14"/>
      <c r="AG329" s="14" t="s">
        <v>76</v>
      </c>
      <c r="AH329" s="14" t="s">
        <v>76</v>
      </c>
      <c r="AI329" s="14"/>
      <c r="AJ329" s="14" t="s">
        <v>76</v>
      </c>
      <c r="AK329" s="14" t="s">
        <v>76</v>
      </c>
      <c r="AL329" s="14"/>
      <c r="AM329" s="14">
        <v>8.9218494728075595E-2</v>
      </c>
      <c r="AN329" s="14">
        <v>6.3353756602809494E-2</v>
      </c>
    </row>
    <row r="330" spans="2:40" x14ac:dyDescent="0.35">
      <c r="B330" t="s">
        <v>70</v>
      </c>
      <c r="C330" s="14">
        <v>1.3821924363586899E-2</v>
      </c>
      <c r="D330" s="14">
        <v>1.53202692720449E-2</v>
      </c>
      <c r="E330" s="14">
        <v>1.2147675307387E-2</v>
      </c>
      <c r="F330" s="14"/>
      <c r="G330" s="14">
        <v>1.3821924363586899E-2</v>
      </c>
      <c r="H330" s="14" t="s">
        <v>76</v>
      </c>
      <c r="I330" s="14" t="s">
        <v>76</v>
      </c>
      <c r="J330" s="14"/>
      <c r="K330" s="14">
        <v>1.3821924363586899E-2</v>
      </c>
      <c r="L330" s="14" t="s">
        <v>76</v>
      </c>
      <c r="M330" s="14" t="s">
        <v>76</v>
      </c>
      <c r="N330" s="14"/>
      <c r="O330" s="14">
        <v>1.54654349537074E-2</v>
      </c>
      <c r="P330" s="14">
        <v>0</v>
      </c>
      <c r="Q330" s="14"/>
      <c r="R330" s="14">
        <v>0</v>
      </c>
      <c r="S330" s="14">
        <v>0</v>
      </c>
      <c r="T330" s="14">
        <v>0</v>
      </c>
      <c r="U330" s="14">
        <v>8.2549097093707294E-2</v>
      </c>
      <c r="V330" s="14">
        <v>0</v>
      </c>
      <c r="W330" s="14">
        <v>2.25620369933387E-2</v>
      </c>
      <c r="X330" s="14">
        <v>0</v>
      </c>
      <c r="Y330" s="14">
        <v>0</v>
      </c>
      <c r="Z330" s="14">
        <v>1.8750647049327399E-2</v>
      </c>
      <c r="AA330" s="14"/>
      <c r="AB330" s="14" t="s">
        <v>76</v>
      </c>
      <c r="AC330" s="14" t="s">
        <v>76</v>
      </c>
      <c r="AD330" s="14" t="s">
        <v>76</v>
      </c>
      <c r="AE330" s="14" t="s">
        <v>76</v>
      </c>
      <c r="AF330" s="14"/>
      <c r="AG330" s="14" t="s">
        <v>76</v>
      </c>
      <c r="AH330" s="14" t="s">
        <v>76</v>
      </c>
      <c r="AI330" s="14"/>
      <c r="AJ330" s="14" t="s">
        <v>76</v>
      </c>
      <c r="AK330" s="14" t="s">
        <v>76</v>
      </c>
      <c r="AL330" s="14"/>
      <c r="AM330" s="14">
        <v>8.0064409574498001E-3</v>
      </c>
      <c r="AN330" s="14">
        <v>4.1601856331156602E-2</v>
      </c>
    </row>
    <row r="331" spans="2:40" x14ac:dyDescent="0.35"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</row>
    <row r="332" spans="2:40" x14ac:dyDescent="0.35">
      <c r="B332" s="6" t="s">
        <v>159</v>
      </c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</row>
    <row r="333" spans="2:40" x14ac:dyDescent="0.35">
      <c r="B333" s="26" t="s">
        <v>395</v>
      </c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</row>
    <row r="334" spans="2:40" x14ac:dyDescent="0.35">
      <c r="B334" t="s">
        <v>155</v>
      </c>
      <c r="C334" s="14">
        <v>0.47875923742916099</v>
      </c>
      <c r="D334" s="14">
        <v>0.51603132750735503</v>
      </c>
      <c r="E334" s="14">
        <v>0.43734132619692501</v>
      </c>
      <c r="F334" s="14"/>
      <c r="G334" s="14">
        <v>0.47875923742916099</v>
      </c>
      <c r="H334" s="14" t="s">
        <v>76</v>
      </c>
      <c r="I334" s="14" t="s">
        <v>76</v>
      </c>
      <c r="J334" s="14"/>
      <c r="K334" s="14">
        <v>0.47875923742916099</v>
      </c>
      <c r="L334" s="14" t="s">
        <v>76</v>
      </c>
      <c r="M334" s="14" t="s">
        <v>76</v>
      </c>
      <c r="N334" s="14"/>
      <c r="O334" s="14">
        <v>0.49065356976626701</v>
      </c>
      <c r="P334" s="14">
        <v>0.40835362076272402</v>
      </c>
      <c r="Q334" s="14"/>
      <c r="R334" s="14">
        <v>0.47390037426117698</v>
      </c>
      <c r="S334" s="14">
        <v>0.38048449211187502</v>
      </c>
      <c r="T334" s="14">
        <v>0.46978948190299002</v>
      </c>
      <c r="U334" s="14">
        <v>0.46675605002498599</v>
      </c>
      <c r="V334" s="14">
        <v>0.45928662864468001</v>
      </c>
      <c r="W334" s="14">
        <v>0.58675400846407899</v>
      </c>
      <c r="X334" s="14">
        <v>0.504996509662895</v>
      </c>
      <c r="Y334" s="14">
        <v>0.62984033779122095</v>
      </c>
      <c r="Z334" s="14">
        <v>0.48014572359844099</v>
      </c>
      <c r="AA334" s="14"/>
      <c r="AB334" s="14" t="s">
        <v>76</v>
      </c>
      <c r="AC334" s="14" t="s">
        <v>76</v>
      </c>
      <c r="AD334" s="14" t="s">
        <v>76</v>
      </c>
      <c r="AE334" s="14" t="s">
        <v>76</v>
      </c>
      <c r="AF334" s="14"/>
      <c r="AG334" s="14" t="s">
        <v>76</v>
      </c>
      <c r="AH334" s="14" t="s">
        <v>76</v>
      </c>
      <c r="AI334" s="14"/>
      <c r="AJ334" s="14" t="s">
        <v>76</v>
      </c>
      <c r="AK334" s="14" t="s">
        <v>76</v>
      </c>
      <c r="AL334" s="14"/>
      <c r="AM334" s="14">
        <v>0.51355789771086702</v>
      </c>
      <c r="AN334" s="14">
        <v>0.52187602831042801</v>
      </c>
    </row>
    <row r="335" spans="2:40" x14ac:dyDescent="0.35">
      <c r="B335" t="s">
        <v>156</v>
      </c>
      <c r="C335" s="14">
        <v>0.40261063784965501</v>
      </c>
      <c r="D335" s="14">
        <v>0.39025319804407499</v>
      </c>
      <c r="E335" s="14">
        <v>0.41634261112648002</v>
      </c>
      <c r="F335" s="14"/>
      <c r="G335" s="14">
        <v>0.40261063784965501</v>
      </c>
      <c r="H335" s="14" t="s">
        <v>76</v>
      </c>
      <c r="I335" s="14" t="s">
        <v>76</v>
      </c>
      <c r="J335" s="14"/>
      <c r="K335" s="14">
        <v>0.40261063784965501</v>
      </c>
      <c r="L335" s="14" t="s">
        <v>76</v>
      </c>
      <c r="M335" s="14" t="s">
        <v>76</v>
      </c>
      <c r="N335" s="14"/>
      <c r="O335" s="14">
        <v>0.39339490586867198</v>
      </c>
      <c r="P335" s="14">
        <v>0.50397300744074103</v>
      </c>
      <c r="Q335" s="14"/>
      <c r="R335" s="14">
        <v>0.43752517178113498</v>
      </c>
      <c r="S335" s="14">
        <v>0.46412518312129403</v>
      </c>
      <c r="T335" s="14">
        <v>0.37641597693739598</v>
      </c>
      <c r="U335" s="14">
        <v>0.36307110115833002</v>
      </c>
      <c r="V335" s="14">
        <v>0.43281013552356901</v>
      </c>
      <c r="W335" s="14">
        <v>0.35789028240043802</v>
      </c>
      <c r="X335" s="14">
        <v>0.43264438161166302</v>
      </c>
      <c r="Y335" s="14">
        <v>0.18435772622640501</v>
      </c>
      <c r="Z335" s="14">
        <v>0.410059015627602</v>
      </c>
      <c r="AA335" s="14"/>
      <c r="AB335" s="14" t="s">
        <v>76</v>
      </c>
      <c r="AC335" s="14" t="s">
        <v>76</v>
      </c>
      <c r="AD335" s="14" t="s">
        <v>76</v>
      </c>
      <c r="AE335" s="14" t="s">
        <v>76</v>
      </c>
      <c r="AF335" s="14"/>
      <c r="AG335" s="14" t="s">
        <v>76</v>
      </c>
      <c r="AH335" s="14" t="s">
        <v>76</v>
      </c>
      <c r="AI335" s="14"/>
      <c r="AJ335" s="14" t="s">
        <v>76</v>
      </c>
      <c r="AK335" s="14" t="s">
        <v>76</v>
      </c>
      <c r="AL335" s="14"/>
      <c r="AM335" s="14">
        <v>0.40505668823102697</v>
      </c>
      <c r="AN335" s="14">
        <v>0.26961633678840502</v>
      </c>
    </row>
    <row r="336" spans="2:40" x14ac:dyDescent="0.35">
      <c r="B336" t="s">
        <v>157</v>
      </c>
      <c r="C336" s="14">
        <v>5.7282563237369501E-2</v>
      </c>
      <c r="D336" s="14">
        <v>2.3930705287361499E-2</v>
      </c>
      <c r="E336" s="14">
        <v>9.43441900231375E-2</v>
      </c>
      <c r="F336" s="14"/>
      <c r="G336" s="14">
        <v>5.7282563237369501E-2</v>
      </c>
      <c r="H336" s="14" t="s">
        <v>76</v>
      </c>
      <c r="I336" s="14" t="s">
        <v>76</v>
      </c>
      <c r="J336" s="14"/>
      <c r="K336" s="14">
        <v>5.7282563237369501E-2</v>
      </c>
      <c r="L336" s="14" t="s">
        <v>76</v>
      </c>
      <c r="M336" s="14" t="s">
        <v>76</v>
      </c>
      <c r="N336" s="14"/>
      <c r="O336" s="14">
        <v>5.0989019166787199E-2</v>
      </c>
      <c r="P336" s="14">
        <v>8.7673371796535199E-2</v>
      </c>
      <c r="Q336" s="14"/>
      <c r="R336" s="14">
        <v>5.1556943847070401E-2</v>
      </c>
      <c r="S336" s="14">
        <v>6.9766393355491299E-2</v>
      </c>
      <c r="T336" s="14">
        <v>0</v>
      </c>
      <c r="U336" s="14">
        <v>6.8433650997281006E-2</v>
      </c>
      <c r="V336" s="14">
        <v>0.107903235831751</v>
      </c>
      <c r="W336" s="14">
        <v>2.8414985422260799E-2</v>
      </c>
      <c r="X336" s="14">
        <v>6.2359108725442002E-2</v>
      </c>
      <c r="Y336" s="14">
        <v>0.113826106844393</v>
      </c>
      <c r="Z336" s="14">
        <v>4.2698349485531001E-2</v>
      </c>
      <c r="AA336" s="14"/>
      <c r="AB336" s="14" t="s">
        <v>76</v>
      </c>
      <c r="AC336" s="14" t="s">
        <v>76</v>
      </c>
      <c r="AD336" s="14" t="s">
        <v>76</v>
      </c>
      <c r="AE336" s="14" t="s">
        <v>76</v>
      </c>
      <c r="AF336" s="14"/>
      <c r="AG336" s="14" t="s">
        <v>76</v>
      </c>
      <c r="AH336" s="14" t="s">
        <v>76</v>
      </c>
      <c r="AI336" s="14"/>
      <c r="AJ336" s="14" t="s">
        <v>76</v>
      </c>
      <c r="AK336" s="14" t="s">
        <v>76</v>
      </c>
      <c r="AL336" s="14"/>
      <c r="AM336" s="14">
        <v>3.5316173708814201E-2</v>
      </c>
      <c r="AN336" s="14">
        <v>0.11127446718468301</v>
      </c>
    </row>
    <row r="337" spans="2:40" x14ac:dyDescent="0.35">
      <c r="B337" t="s">
        <v>158</v>
      </c>
      <c r="C337" s="14">
        <v>4.8533314817945303E-2</v>
      </c>
      <c r="D337" s="14">
        <v>6.26688693608249E-2</v>
      </c>
      <c r="E337" s="14">
        <v>3.2825444879684702E-2</v>
      </c>
      <c r="F337" s="14"/>
      <c r="G337" s="14">
        <v>4.8533314817945303E-2</v>
      </c>
      <c r="H337" s="14" t="s">
        <v>76</v>
      </c>
      <c r="I337" s="14" t="s">
        <v>76</v>
      </c>
      <c r="J337" s="14"/>
      <c r="K337" s="14">
        <v>4.8533314817945303E-2</v>
      </c>
      <c r="L337" s="14" t="s">
        <v>76</v>
      </c>
      <c r="M337" s="14" t="s">
        <v>76</v>
      </c>
      <c r="N337" s="14"/>
      <c r="O337" s="14">
        <v>5.06276650348194E-2</v>
      </c>
      <c r="P337" s="14">
        <v>0</v>
      </c>
      <c r="Q337" s="14"/>
      <c r="R337" s="14">
        <v>0</v>
      </c>
      <c r="S337" s="14">
        <v>6.3647849745176704E-2</v>
      </c>
      <c r="T337" s="14">
        <v>0.153794541159614</v>
      </c>
      <c r="U337" s="14">
        <v>0.10173919781940299</v>
      </c>
      <c r="V337" s="14">
        <v>0</v>
      </c>
      <c r="W337" s="14">
        <v>2.69407237132222E-2</v>
      </c>
      <c r="X337" s="14">
        <v>0</v>
      </c>
      <c r="Y337" s="14">
        <v>0</v>
      </c>
      <c r="Z337" s="14">
        <v>6.7096911288426903E-2</v>
      </c>
      <c r="AA337" s="14"/>
      <c r="AB337" s="14" t="s">
        <v>76</v>
      </c>
      <c r="AC337" s="14" t="s">
        <v>76</v>
      </c>
      <c r="AD337" s="14" t="s">
        <v>76</v>
      </c>
      <c r="AE337" s="14" t="s">
        <v>76</v>
      </c>
      <c r="AF337" s="14"/>
      <c r="AG337" s="14" t="s">
        <v>76</v>
      </c>
      <c r="AH337" s="14" t="s">
        <v>76</v>
      </c>
      <c r="AI337" s="14"/>
      <c r="AJ337" s="14" t="s">
        <v>76</v>
      </c>
      <c r="AK337" s="14" t="s">
        <v>76</v>
      </c>
      <c r="AL337" s="14"/>
      <c r="AM337" s="14">
        <v>2.82389944435366E-2</v>
      </c>
      <c r="AN337" s="14">
        <v>9.7233167716484506E-2</v>
      </c>
    </row>
    <row r="338" spans="2:40" x14ac:dyDescent="0.35">
      <c r="B338" t="s">
        <v>70</v>
      </c>
      <c r="C338" s="14">
        <v>1.28142466658696E-2</v>
      </c>
      <c r="D338" s="14">
        <v>7.1158998003828904E-3</v>
      </c>
      <c r="E338" s="14">
        <v>1.9146427773773102E-2</v>
      </c>
      <c r="F338" s="14"/>
      <c r="G338" s="14">
        <v>1.28142466658696E-2</v>
      </c>
      <c r="H338" s="14" t="s">
        <v>76</v>
      </c>
      <c r="I338" s="14" t="s">
        <v>76</v>
      </c>
      <c r="J338" s="14"/>
      <c r="K338" s="14">
        <v>1.28142466658696E-2</v>
      </c>
      <c r="L338" s="14" t="s">
        <v>76</v>
      </c>
      <c r="M338" s="14" t="s">
        <v>76</v>
      </c>
      <c r="N338" s="14"/>
      <c r="O338" s="14">
        <v>1.43348401634549E-2</v>
      </c>
      <c r="P338" s="14">
        <v>0</v>
      </c>
      <c r="Q338" s="14"/>
      <c r="R338" s="14">
        <v>3.7017510110618199E-2</v>
      </c>
      <c r="S338" s="14">
        <v>2.1976081666163001E-2</v>
      </c>
      <c r="T338" s="14">
        <v>0</v>
      </c>
      <c r="U338" s="14">
        <v>0</v>
      </c>
      <c r="V338" s="14">
        <v>0</v>
      </c>
      <c r="W338" s="14">
        <v>0</v>
      </c>
      <c r="X338" s="14">
        <v>0</v>
      </c>
      <c r="Y338" s="14">
        <v>7.1975829137981506E-2</v>
      </c>
      <c r="Z338" s="14">
        <v>0</v>
      </c>
      <c r="AA338" s="14"/>
      <c r="AB338" s="14" t="s">
        <v>76</v>
      </c>
      <c r="AC338" s="14" t="s">
        <v>76</v>
      </c>
      <c r="AD338" s="14" t="s">
        <v>76</v>
      </c>
      <c r="AE338" s="14" t="s">
        <v>76</v>
      </c>
      <c r="AF338" s="14"/>
      <c r="AG338" s="14" t="s">
        <v>76</v>
      </c>
      <c r="AH338" s="14" t="s">
        <v>76</v>
      </c>
      <c r="AI338" s="14"/>
      <c r="AJ338" s="14" t="s">
        <v>76</v>
      </c>
      <c r="AK338" s="14" t="s">
        <v>76</v>
      </c>
      <c r="AL338" s="14"/>
      <c r="AM338" s="14">
        <v>1.78302459057544E-2</v>
      </c>
      <c r="AN338" s="14">
        <v>0</v>
      </c>
    </row>
    <row r="339" spans="2:40" x14ac:dyDescent="0.35"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</row>
    <row r="340" spans="2:40" x14ac:dyDescent="0.35">
      <c r="B340" s="6" t="s">
        <v>165</v>
      </c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</row>
    <row r="341" spans="2:40" x14ac:dyDescent="0.35">
      <c r="B341" s="26" t="s">
        <v>395</v>
      </c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</row>
    <row r="342" spans="2:40" x14ac:dyDescent="0.35">
      <c r="B342" t="s">
        <v>160</v>
      </c>
      <c r="C342" s="14">
        <v>0.30124746503335897</v>
      </c>
      <c r="D342" s="14">
        <v>0.33965761933212901</v>
      </c>
      <c r="E342" s="14">
        <v>0.258564901275185</v>
      </c>
      <c r="F342" s="14"/>
      <c r="G342" s="14">
        <v>0.30124746503335897</v>
      </c>
      <c r="H342" s="14" t="s">
        <v>76</v>
      </c>
      <c r="I342" s="14" t="s">
        <v>76</v>
      </c>
      <c r="J342" s="14"/>
      <c r="K342" s="14">
        <v>0.30124746503335897</v>
      </c>
      <c r="L342" s="14" t="s">
        <v>76</v>
      </c>
      <c r="M342" s="14" t="s">
        <v>76</v>
      </c>
      <c r="N342" s="14"/>
      <c r="O342" s="14">
        <v>0.29690529685998601</v>
      </c>
      <c r="P342" s="14">
        <v>0.38657706531460001</v>
      </c>
      <c r="Q342" s="14"/>
      <c r="R342" s="14">
        <v>0.33312523778782499</v>
      </c>
      <c r="S342" s="14">
        <v>0.27169430460741301</v>
      </c>
      <c r="T342" s="14">
        <v>0.22234209626052201</v>
      </c>
      <c r="U342" s="14">
        <v>0.25952757573819302</v>
      </c>
      <c r="V342" s="14">
        <v>0.21739092098354901</v>
      </c>
      <c r="W342" s="14">
        <v>0.32667773069766298</v>
      </c>
      <c r="X342" s="14">
        <v>0.44587280351919401</v>
      </c>
      <c r="Y342" s="14">
        <v>0.47796126932550698</v>
      </c>
      <c r="Z342" s="14">
        <v>0.28736175113564699</v>
      </c>
      <c r="AA342" s="14"/>
      <c r="AB342" s="14" t="s">
        <v>76</v>
      </c>
      <c r="AC342" s="14" t="s">
        <v>76</v>
      </c>
      <c r="AD342" s="14" t="s">
        <v>76</v>
      </c>
      <c r="AE342" s="14" t="s">
        <v>76</v>
      </c>
      <c r="AF342" s="14"/>
      <c r="AG342" s="14" t="s">
        <v>76</v>
      </c>
      <c r="AH342" s="14" t="s">
        <v>76</v>
      </c>
      <c r="AI342" s="14"/>
      <c r="AJ342" s="14" t="s">
        <v>76</v>
      </c>
      <c r="AK342" s="14" t="s">
        <v>76</v>
      </c>
      <c r="AL342" s="14"/>
      <c r="AM342" s="14">
        <v>0.383086492921764</v>
      </c>
      <c r="AN342" s="14">
        <v>4.4298059818920502E-2</v>
      </c>
    </row>
    <row r="343" spans="2:40" x14ac:dyDescent="0.35">
      <c r="B343" t="s">
        <v>161</v>
      </c>
      <c r="C343" s="14">
        <v>0.50630669463605804</v>
      </c>
      <c r="D343" s="14">
        <v>0.49625984272796198</v>
      </c>
      <c r="E343" s="14">
        <v>0.51747107043628604</v>
      </c>
      <c r="F343" s="14"/>
      <c r="G343" s="14">
        <v>0.50630669463605804</v>
      </c>
      <c r="H343" s="14" t="s">
        <v>76</v>
      </c>
      <c r="I343" s="14" t="s">
        <v>76</v>
      </c>
      <c r="J343" s="14"/>
      <c r="K343" s="14">
        <v>0.50630669463605804</v>
      </c>
      <c r="L343" s="14" t="s">
        <v>76</v>
      </c>
      <c r="M343" s="14" t="s">
        <v>76</v>
      </c>
      <c r="N343" s="14"/>
      <c r="O343" s="14">
        <v>0.51335852329096698</v>
      </c>
      <c r="P343" s="14">
        <v>0.44098550114733998</v>
      </c>
      <c r="Q343" s="14"/>
      <c r="R343" s="14">
        <v>0.63855025795874198</v>
      </c>
      <c r="S343" s="14">
        <v>0.45973732658681099</v>
      </c>
      <c r="T343" s="14">
        <v>0.61047103051239204</v>
      </c>
      <c r="U343" s="14">
        <v>0.44214310517650302</v>
      </c>
      <c r="V343" s="14">
        <v>0.56308998861525705</v>
      </c>
      <c r="W343" s="14">
        <v>0.47966748646940999</v>
      </c>
      <c r="X343" s="14">
        <v>0.48411397891994001</v>
      </c>
      <c r="Y343" s="14">
        <v>0.260975312675224</v>
      </c>
      <c r="Z343" s="14">
        <v>0.44065844553108802</v>
      </c>
      <c r="AA343" s="14"/>
      <c r="AB343" s="14" t="s">
        <v>76</v>
      </c>
      <c r="AC343" s="14" t="s">
        <v>76</v>
      </c>
      <c r="AD343" s="14" t="s">
        <v>76</v>
      </c>
      <c r="AE343" s="14" t="s">
        <v>76</v>
      </c>
      <c r="AF343" s="14"/>
      <c r="AG343" s="14" t="s">
        <v>76</v>
      </c>
      <c r="AH343" s="14" t="s">
        <v>76</v>
      </c>
      <c r="AI343" s="14"/>
      <c r="AJ343" s="14" t="s">
        <v>76</v>
      </c>
      <c r="AK343" s="14" t="s">
        <v>76</v>
      </c>
      <c r="AL343" s="14"/>
      <c r="AM343" s="14">
        <v>0.52073826130417</v>
      </c>
      <c r="AN343" s="14">
        <v>0.445938659713631</v>
      </c>
    </row>
    <row r="344" spans="2:40" x14ac:dyDescent="0.35">
      <c r="B344" t="s">
        <v>162</v>
      </c>
      <c r="C344" s="14">
        <v>0.16310420132599299</v>
      </c>
      <c r="D344" s="14">
        <v>0.14045167325574301</v>
      </c>
      <c r="E344" s="14">
        <v>0.18827639839975499</v>
      </c>
      <c r="F344" s="14"/>
      <c r="G344" s="14">
        <v>0.16310420132599299</v>
      </c>
      <c r="H344" s="14" t="s">
        <v>76</v>
      </c>
      <c r="I344" s="14" t="s">
        <v>76</v>
      </c>
      <c r="J344" s="14"/>
      <c r="K344" s="14">
        <v>0.16310420132599299</v>
      </c>
      <c r="L344" s="14" t="s">
        <v>76</v>
      </c>
      <c r="M344" s="14" t="s">
        <v>76</v>
      </c>
      <c r="N344" s="14"/>
      <c r="O344" s="14">
        <v>0.160387413218821</v>
      </c>
      <c r="P344" s="14">
        <v>0.13893162771034501</v>
      </c>
      <c r="Q344" s="14"/>
      <c r="R344" s="14">
        <v>2.8324504253432699E-2</v>
      </c>
      <c r="S344" s="14">
        <v>0.21456014707582699</v>
      </c>
      <c r="T344" s="14">
        <v>0.167186873227086</v>
      </c>
      <c r="U344" s="14">
        <v>0.26320121221313297</v>
      </c>
      <c r="V344" s="14">
        <v>0.200074003920576</v>
      </c>
      <c r="W344" s="14">
        <v>0.16061102932152499</v>
      </c>
      <c r="X344" s="14">
        <v>7.00132175608663E-2</v>
      </c>
      <c r="Y344" s="14">
        <v>0.18908758886128799</v>
      </c>
      <c r="Z344" s="14">
        <v>0.20698381962273099</v>
      </c>
      <c r="AA344" s="14"/>
      <c r="AB344" s="14" t="s">
        <v>76</v>
      </c>
      <c r="AC344" s="14" t="s">
        <v>76</v>
      </c>
      <c r="AD344" s="14" t="s">
        <v>76</v>
      </c>
      <c r="AE344" s="14" t="s">
        <v>76</v>
      </c>
      <c r="AF344" s="14"/>
      <c r="AG344" s="14" t="s">
        <v>76</v>
      </c>
      <c r="AH344" s="14" t="s">
        <v>76</v>
      </c>
      <c r="AI344" s="14"/>
      <c r="AJ344" s="14" t="s">
        <v>76</v>
      </c>
      <c r="AK344" s="14" t="s">
        <v>76</v>
      </c>
      <c r="AL344" s="14"/>
      <c r="AM344" s="14">
        <v>6.8166390380996394E-2</v>
      </c>
      <c r="AN344" s="14">
        <v>0.48625644656664202</v>
      </c>
    </row>
    <row r="345" spans="2:40" x14ac:dyDescent="0.35">
      <c r="B345" t="s">
        <v>163</v>
      </c>
      <c r="C345" s="14">
        <v>1.1074432180687399E-2</v>
      </c>
      <c r="D345" s="14">
        <v>1.4549451119652199E-2</v>
      </c>
      <c r="E345" s="14">
        <v>7.2128825428101496E-3</v>
      </c>
      <c r="F345" s="14"/>
      <c r="G345" s="14">
        <v>1.1074432180687399E-2</v>
      </c>
      <c r="H345" s="14" t="s">
        <v>76</v>
      </c>
      <c r="I345" s="14" t="s">
        <v>76</v>
      </c>
      <c r="J345" s="14"/>
      <c r="K345" s="14">
        <v>1.1074432180687399E-2</v>
      </c>
      <c r="L345" s="14" t="s">
        <v>76</v>
      </c>
      <c r="M345" s="14" t="s">
        <v>76</v>
      </c>
      <c r="N345" s="14"/>
      <c r="O345" s="14">
        <v>8.9138946567624E-3</v>
      </c>
      <c r="P345" s="14">
        <v>3.3505805827715902E-2</v>
      </c>
      <c r="Q345" s="14"/>
      <c r="R345" s="14">
        <v>0</v>
      </c>
      <c r="S345" s="14">
        <v>3.2032140063785797E-2</v>
      </c>
      <c r="T345" s="14">
        <v>0</v>
      </c>
      <c r="U345" s="14">
        <v>0</v>
      </c>
      <c r="V345" s="14">
        <v>0</v>
      </c>
      <c r="W345" s="14">
        <v>3.3043753511401999E-2</v>
      </c>
      <c r="X345" s="14">
        <v>0</v>
      </c>
      <c r="Y345" s="14">
        <v>0</v>
      </c>
      <c r="Z345" s="14">
        <v>2.3405297007339902E-2</v>
      </c>
      <c r="AA345" s="14"/>
      <c r="AB345" s="14" t="s">
        <v>76</v>
      </c>
      <c r="AC345" s="14" t="s">
        <v>76</v>
      </c>
      <c r="AD345" s="14" t="s">
        <v>76</v>
      </c>
      <c r="AE345" s="14" t="s">
        <v>76</v>
      </c>
      <c r="AF345" s="14"/>
      <c r="AG345" s="14" t="s">
        <v>76</v>
      </c>
      <c r="AH345" s="14" t="s">
        <v>76</v>
      </c>
      <c r="AI345" s="14"/>
      <c r="AJ345" s="14" t="s">
        <v>76</v>
      </c>
      <c r="AK345" s="14" t="s">
        <v>76</v>
      </c>
      <c r="AL345" s="14"/>
      <c r="AM345" s="14">
        <v>6.5557210542349599E-3</v>
      </c>
      <c r="AN345" s="14">
        <v>2.35068339008071E-2</v>
      </c>
    </row>
    <row r="346" spans="2:40" x14ac:dyDescent="0.35">
      <c r="B346" t="s">
        <v>70</v>
      </c>
      <c r="C346" s="14">
        <v>1.8267206823902701E-2</v>
      </c>
      <c r="D346" s="14">
        <v>9.0814135645131602E-3</v>
      </c>
      <c r="E346" s="14">
        <v>2.8474747345963398E-2</v>
      </c>
      <c r="F346" s="14"/>
      <c r="G346" s="14">
        <v>1.8267206823902701E-2</v>
      </c>
      <c r="H346" s="14" t="s">
        <v>76</v>
      </c>
      <c r="I346" s="14" t="s">
        <v>76</v>
      </c>
      <c r="J346" s="14"/>
      <c r="K346" s="14">
        <v>1.8267206823902701E-2</v>
      </c>
      <c r="L346" s="14" t="s">
        <v>76</v>
      </c>
      <c r="M346" s="14" t="s">
        <v>76</v>
      </c>
      <c r="N346" s="14"/>
      <c r="O346" s="14">
        <v>2.04348719734627E-2</v>
      </c>
      <c r="P346" s="14">
        <v>0</v>
      </c>
      <c r="Q346" s="14"/>
      <c r="R346" s="14">
        <v>0</v>
      </c>
      <c r="S346" s="14">
        <v>2.1976081666163001E-2</v>
      </c>
      <c r="T346" s="14">
        <v>0</v>
      </c>
      <c r="U346" s="14">
        <v>3.5128106872170398E-2</v>
      </c>
      <c r="V346" s="14">
        <v>1.9445086480618101E-2</v>
      </c>
      <c r="W346" s="14">
        <v>0</v>
      </c>
      <c r="X346" s="14">
        <v>0</v>
      </c>
      <c r="Y346" s="14">
        <v>7.1975829137981506E-2</v>
      </c>
      <c r="Z346" s="14">
        <v>4.1590686703193699E-2</v>
      </c>
      <c r="AA346" s="14"/>
      <c r="AB346" s="14" t="s">
        <v>76</v>
      </c>
      <c r="AC346" s="14" t="s">
        <v>76</v>
      </c>
      <c r="AD346" s="14" t="s">
        <v>76</v>
      </c>
      <c r="AE346" s="14" t="s">
        <v>76</v>
      </c>
      <c r="AF346" s="14"/>
      <c r="AG346" s="14" t="s">
        <v>76</v>
      </c>
      <c r="AH346" s="14" t="s">
        <v>76</v>
      </c>
      <c r="AI346" s="14"/>
      <c r="AJ346" s="14" t="s">
        <v>76</v>
      </c>
      <c r="AK346" s="14" t="s">
        <v>76</v>
      </c>
      <c r="AL346" s="14"/>
      <c r="AM346" s="14">
        <v>2.14531343388355E-2</v>
      </c>
      <c r="AN346" s="14">
        <v>0</v>
      </c>
    </row>
    <row r="347" spans="2:40" x14ac:dyDescent="0.35">
      <c r="B347" t="s">
        <v>164</v>
      </c>
      <c r="C347" s="14">
        <v>0.80755415966941702</v>
      </c>
      <c r="D347" s="14">
        <v>0.83591746206009099</v>
      </c>
      <c r="E347" s="14">
        <v>0.77603597171147098</v>
      </c>
      <c r="F347" s="14"/>
      <c r="G347" s="14">
        <v>0.80755415966941702</v>
      </c>
      <c r="H347" s="14" t="s">
        <v>76</v>
      </c>
      <c r="I347" s="14" t="s">
        <v>76</v>
      </c>
      <c r="J347" s="14"/>
      <c r="K347" s="14">
        <v>0.80755415966941702</v>
      </c>
      <c r="L347" s="14" t="s">
        <v>76</v>
      </c>
      <c r="M347" s="14" t="s">
        <v>76</v>
      </c>
      <c r="N347" s="14"/>
      <c r="O347" s="14">
        <v>0.810263820150954</v>
      </c>
      <c r="P347" s="14">
        <v>0.82756256646193904</v>
      </c>
      <c r="Q347" s="14"/>
      <c r="R347" s="14">
        <v>0.97167549574656698</v>
      </c>
      <c r="S347" s="14">
        <v>0.73143163119422505</v>
      </c>
      <c r="T347" s="14">
        <v>0.83281312677291397</v>
      </c>
      <c r="U347" s="14">
        <v>0.70167068091469598</v>
      </c>
      <c r="V347" s="14">
        <v>0.78048090959880601</v>
      </c>
      <c r="W347" s="14">
        <v>0.80634521716707297</v>
      </c>
      <c r="X347" s="14">
        <v>0.92998678243913402</v>
      </c>
      <c r="Y347" s="14">
        <v>0.73893658200073098</v>
      </c>
      <c r="Z347" s="14">
        <v>0.72802019666673501</v>
      </c>
      <c r="AA347" s="14"/>
      <c r="AB347" s="14" t="s">
        <v>76</v>
      </c>
      <c r="AC347" s="14" t="s">
        <v>76</v>
      </c>
      <c r="AD347" s="14" t="s">
        <v>76</v>
      </c>
      <c r="AE347" s="14" t="s">
        <v>76</v>
      </c>
      <c r="AF347" s="14"/>
      <c r="AG347" s="14" t="s">
        <v>76</v>
      </c>
      <c r="AH347" s="14" t="s">
        <v>76</v>
      </c>
      <c r="AI347" s="14"/>
      <c r="AJ347" s="14" t="s">
        <v>76</v>
      </c>
      <c r="AK347" s="14" t="s">
        <v>76</v>
      </c>
      <c r="AL347" s="14"/>
      <c r="AM347" s="14">
        <v>0.903824754225933</v>
      </c>
      <c r="AN347" s="14">
        <v>0.49023671953255099</v>
      </c>
    </row>
    <row r="348" spans="2:40" x14ac:dyDescent="0.35"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</row>
    <row r="349" spans="2:40" x14ac:dyDescent="0.35">
      <c r="B349" s="6" t="s">
        <v>170</v>
      </c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</row>
    <row r="350" spans="2:40" x14ac:dyDescent="0.35">
      <c r="B350" s="26" t="s">
        <v>395</v>
      </c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</row>
    <row r="351" spans="2:40" x14ac:dyDescent="0.35">
      <c r="B351" t="s">
        <v>166</v>
      </c>
      <c r="C351" s="14">
        <v>0.33660450664421798</v>
      </c>
      <c r="D351" s="14">
        <v>0.37573150027309998</v>
      </c>
      <c r="E351" s="14">
        <v>0.29312536862149102</v>
      </c>
      <c r="F351" s="14"/>
      <c r="G351" s="14">
        <v>0.33660450664421798</v>
      </c>
      <c r="H351" s="14" t="s">
        <v>76</v>
      </c>
      <c r="I351" s="14" t="s">
        <v>76</v>
      </c>
      <c r="J351" s="14"/>
      <c r="K351" s="14">
        <v>0.33660450664421798</v>
      </c>
      <c r="L351" s="14" t="s">
        <v>76</v>
      </c>
      <c r="M351" s="14" t="s">
        <v>76</v>
      </c>
      <c r="N351" s="14"/>
      <c r="O351" s="14">
        <v>0.33719796557895698</v>
      </c>
      <c r="P351" s="14">
        <v>0.354663972772714</v>
      </c>
      <c r="Q351" s="14"/>
      <c r="R351" s="14">
        <v>0.43568180855039201</v>
      </c>
      <c r="S351" s="14">
        <v>0.28989158172384299</v>
      </c>
      <c r="T351" s="14">
        <v>0.21162127265163799</v>
      </c>
      <c r="U351" s="14">
        <v>0.28781564420455902</v>
      </c>
      <c r="V351" s="14">
        <v>0.301314764381931</v>
      </c>
      <c r="W351" s="14">
        <v>0.36957019237514899</v>
      </c>
      <c r="X351" s="14">
        <v>0.58273341490071096</v>
      </c>
      <c r="Y351" s="14">
        <v>0.29589369664759602</v>
      </c>
      <c r="Z351" s="14">
        <v>0.26805638769360102</v>
      </c>
      <c r="AA351" s="14"/>
      <c r="AB351" s="14" t="s">
        <v>76</v>
      </c>
      <c r="AC351" s="14" t="s">
        <v>76</v>
      </c>
      <c r="AD351" s="14" t="s">
        <v>76</v>
      </c>
      <c r="AE351" s="14" t="s">
        <v>76</v>
      </c>
      <c r="AF351" s="14"/>
      <c r="AG351" s="14" t="s">
        <v>76</v>
      </c>
      <c r="AH351" s="14" t="s">
        <v>76</v>
      </c>
      <c r="AI351" s="14"/>
      <c r="AJ351" s="14" t="s">
        <v>76</v>
      </c>
      <c r="AK351" s="14" t="s">
        <v>76</v>
      </c>
      <c r="AL351" s="14"/>
      <c r="AM351" s="14">
        <v>0.43204456253096202</v>
      </c>
      <c r="AN351" s="14">
        <v>0.111078855707597</v>
      </c>
    </row>
    <row r="352" spans="2:40" x14ac:dyDescent="0.35">
      <c r="B352" t="s">
        <v>167</v>
      </c>
      <c r="C352" s="14">
        <v>0.43615968917532599</v>
      </c>
      <c r="D352" s="14">
        <v>0.40459613000085698</v>
      </c>
      <c r="E352" s="14">
        <v>0.47123410247812098</v>
      </c>
      <c r="F352" s="14"/>
      <c r="G352" s="14">
        <v>0.43615968917532599</v>
      </c>
      <c r="H352" s="14" t="s">
        <v>76</v>
      </c>
      <c r="I352" s="14" t="s">
        <v>76</v>
      </c>
      <c r="J352" s="14"/>
      <c r="K352" s="14">
        <v>0.43615968917532599</v>
      </c>
      <c r="L352" s="14" t="s">
        <v>76</v>
      </c>
      <c r="M352" s="14" t="s">
        <v>76</v>
      </c>
      <c r="N352" s="14"/>
      <c r="O352" s="14">
        <v>0.435119955297117</v>
      </c>
      <c r="P352" s="14">
        <v>0.48407000029292302</v>
      </c>
      <c r="Q352" s="14"/>
      <c r="R352" s="14">
        <v>0.44817358759436798</v>
      </c>
      <c r="S352" s="14">
        <v>0.415984094447788</v>
      </c>
      <c r="T352" s="14">
        <v>0.48201728087622803</v>
      </c>
      <c r="U352" s="14">
        <v>0.57531705015997503</v>
      </c>
      <c r="V352" s="14">
        <v>0.47198330330611199</v>
      </c>
      <c r="W352" s="14">
        <v>0.40282715170562799</v>
      </c>
      <c r="X352" s="14">
        <v>0.220100602742104</v>
      </c>
      <c r="Y352" s="14">
        <v>0.47316842724139202</v>
      </c>
      <c r="Z352" s="14">
        <v>0.40749624107661298</v>
      </c>
      <c r="AA352" s="14"/>
      <c r="AB352" s="14" t="s">
        <v>76</v>
      </c>
      <c r="AC352" s="14" t="s">
        <v>76</v>
      </c>
      <c r="AD352" s="14" t="s">
        <v>76</v>
      </c>
      <c r="AE352" s="14" t="s">
        <v>76</v>
      </c>
      <c r="AF352" s="14"/>
      <c r="AG352" s="14" t="s">
        <v>76</v>
      </c>
      <c r="AH352" s="14" t="s">
        <v>76</v>
      </c>
      <c r="AI352" s="14"/>
      <c r="AJ352" s="14" t="s">
        <v>76</v>
      </c>
      <c r="AK352" s="14" t="s">
        <v>76</v>
      </c>
      <c r="AL352" s="14"/>
      <c r="AM352" s="14">
        <v>0.47490261921787102</v>
      </c>
      <c r="AN352" s="14">
        <v>0.209074762706777</v>
      </c>
    </row>
    <row r="353" spans="2:40" x14ac:dyDescent="0.35">
      <c r="B353" t="s">
        <v>168</v>
      </c>
      <c r="C353" s="14">
        <v>0.16912275755452499</v>
      </c>
      <c r="D353" s="14">
        <v>0.164711377102082</v>
      </c>
      <c r="E353" s="14">
        <v>0.17402482136708899</v>
      </c>
      <c r="F353" s="14"/>
      <c r="G353" s="14">
        <v>0.16912275755452499</v>
      </c>
      <c r="H353" s="14" t="s">
        <v>76</v>
      </c>
      <c r="I353" s="14" t="s">
        <v>76</v>
      </c>
      <c r="J353" s="14"/>
      <c r="K353" s="14">
        <v>0.16912275755452499</v>
      </c>
      <c r="L353" s="14" t="s">
        <v>76</v>
      </c>
      <c r="M353" s="14" t="s">
        <v>76</v>
      </c>
      <c r="N353" s="14"/>
      <c r="O353" s="14">
        <v>0.169812587365296</v>
      </c>
      <c r="P353" s="14">
        <v>0.127760221106646</v>
      </c>
      <c r="Q353" s="14"/>
      <c r="R353" s="14">
        <v>0.11614460385524</v>
      </c>
      <c r="S353" s="14">
        <v>0.18452615502343001</v>
      </c>
      <c r="T353" s="14">
        <v>0.250870189013219</v>
      </c>
      <c r="U353" s="14">
        <v>6.8433653694292093E-2</v>
      </c>
      <c r="V353" s="14">
        <v>0.18674767055247199</v>
      </c>
      <c r="W353" s="14">
        <v>0.111358350645045</v>
      </c>
      <c r="X353" s="14">
        <v>0.19716598235718499</v>
      </c>
      <c r="Y353" s="14">
        <v>0.186797421235707</v>
      </c>
      <c r="Z353" s="14">
        <v>0.243989106072414</v>
      </c>
      <c r="AA353" s="14"/>
      <c r="AB353" s="14" t="s">
        <v>76</v>
      </c>
      <c r="AC353" s="14" t="s">
        <v>76</v>
      </c>
      <c r="AD353" s="14" t="s">
        <v>76</v>
      </c>
      <c r="AE353" s="14" t="s">
        <v>76</v>
      </c>
      <c r="AF353" s="14"/>
      <c r="AG353" s="14" t="s">
        <v>76</v>
      </c>
      <c r="AH353" s="14" t="s">
        <v>76</v>
      </c>
      <c r="AI353" s="14"/>
      <c r="AJ353" s="14" t="s">
        <v>76</v>
      </c>
      <c r="AK353" s="14" t="s">
        <v>76</v>
      </c>
      <c r="AL353" s="14"/>
      <c r="AM353" s="14">
        <v>8.4559463221071704E-2</v>
      </c>
      <c r="AN353" s="14">
        <v>0.41500987639940001</v>
      </c>
    </row>
    <row r="354" spans="2:40" x14ac:dyDescent="0.35">
      <c r="B354" t="s">
        <v>169</v>
      </c>
      <c r="C354" s="14">
        <v>4.6411793966830497E-2</v>
      </c>
      <c r="D354" s="14">
        <v>4.51781750375621E-2</v>
      </c>
      <c r="E354" s="14">
        <v>4.7782629871113098E-2</v>
      </c>
      <c r="F354" s="14"/>
      <c r="G354" s="14">
        <v>4.6411793966830497E-2</v>
      </c>
      <c r="H354" s="14" t="s">
        <v>76</v>
      </c>
      <c r="I354" s="14" t="s">
        <v>76</v>
      </c>
      <c r="J354" s="14"/>
      <c r="K354" s="14">
        <v>4.6411793966830497E-2</v>
      </c>
      <c r="L354" s="14" t="s">
        <v>76</v>
      </c>
      <c r="M354" s="14" t="s">
        <v>76</v>
      </c>
      <c r="N354" s="14"/>
      <c r="O354" s="14">
        <v>4.8444539431358E-2</v>
      </c>
      <c r="P354" s="14">
        <v>3.3505805827715902E-2</v>
      </c>
      <c r="Q354" s="14"/>
      <c r="R354" s="14">
        <v>0</v>
      </c>
      <c r="S354" s="14">
        <v>6.56460054726139E-2</v>
      </c>
      <c r="T354" s="14">
        <v>2.1795394697742401E-2</v>
      </c>
      <c r="U354" s="14">
        <v>6.8433651941173596E-2</v>
      </c>
      <c r="V354" s="14">
        <v>3.9954261759485202E-2</v>
      </c>
      <c r="W354" s="14">
        <v>0.11624430527417801</v>
      </c>
      <c r="X354" s="14">
        <v>0</v>
      </c>
      <c r="Y354" s="14">
        <v>4.4140454875305997E-2</v>
      </c>
      <c r="Z354" s="14">
        <v>6.8044800810177802E-2</v>
      </c>
      <c r="AA354" s="14"/>
      <c r="AB354" s="14" t="s">
        <v>76</v>
      </c>
      <c r="AC354" s="14" t="s">
        <v>76</v>
      </c>
      <c r="AD354" s="14" t="s">
        <v>76</v>
      </c>
      <c r="AE354" s="14" t="s">
        <v>76</v>
      </c>
      <c r="AF354" s="14"/>
      <c r="AG354" s="14" t="s">
        <v>76</v>
      </c>
      <c r="AH354" s="14" t="s">
        <v>76</v>
      </c>
      <c r="AI354" s="14"/>
      <c r="AJ354" s="14" t="s">
        <v>76</v>
      </c>
      <c r="AK354" s="14" t="s">
        <v>76</v>
      </c>
      <c r="AL354" s="14"/>
      <c r="AM354" s="14">
        <v>3.9349042782618002E-3</v>
      </c>
      <c r="AN354" s="14">
        <v>0.26483650518622598</v>
      </c>
    </row>
    <row r="355" spans="2:40" x14ac:dyDescent="0.35">
      <c r="B355" t="s">
        <v>70</v>
      </c>
      <c r="C355" s="14">
        <v>1.1701252659100299E-2</v>
      </c>
      <c r="D355" s="14">
        <v>9.7828175863987794E-3</v>
      </c>
      <c r="E355" s="14">
        <v>1.38330776621861E-2</v>
      </c>
      <c r="F355" s="14"/>
      <c r="G355" s="14">
        <v>1.1701252659100299E-2</v>
      </c>
      <c r="H355" s="14" t="s">
        <v>76</v>
      </c>
      <c r="I355" s="14" t="s">
        <v>76</v>
      </c>
      <c r="J355" s="14"/>
      <c r="K355" s="14">
        <v>1.1701252659100299E-2</v>
      </c>
      <c r="L355" s="14" t="s">
        <v>76</v>
      </c>
      <c r="M355" s="14" t="s">
        <v>76</v>
      </c>
      <c r="N355" s="14"/>
      <c r="O355" s="14">
        <v>9.4249523272716598E-3</v>
      </c>
      <c r="P355" s="14">
        <v>0</v>
      </c>
      <c r="Q355" s="14"/>
      <c r="R355" s="14">
        <v>0</v>
      </c>
      <c r="S355" s="14">
        <v>4.3952163332326002E-2</v>
      </c>
      <c r="T355" s="14">
        <v>3.3695862761173E-2</v>
      </c>
      <c r="U355" s="14">
        <v>0</v>
      </c>
      <c r="V355" s="14">
        <v>0</v>
      </c>
      <c r="W355" s="14">
        <v>0</v>
      </c>
      <c r="X355" s="14">
        <v>0</v>
      </c>
      <c r="Y355" s="14">
        <v>0</v>
      </c>
      <c r="Z355" s="14">
        <v>1.2413464347193801E-2</v>
      </c>
      <c r="AA355" s="14"/>
      <c r="AB355" s="14" t="s">
        <v>76</v>
      </c>
      <c r="AC355" s="14" t="s">
        <v>76</v>
      </c>
      <c r="AD355" s="14" t="s">
        <v>76</v>
      </c>
      <c r="AE355" s="14" t="s">
        <v>76</v>
      </c>
      <c r="AF355" s="14"/>
      <c r="AG355" s="14" t="s">
        <v>76</v>
      </c>
      <c r="AH355" s="14" t="s">
        <v>76</v>
      </c>
      <c r="AI355" s="14"/>
      <c r="AJ355" s="14" t="s">
        <v>76</v>
      </c>
      <c r="AK355" s="14" t="s">
        <v>76</v>
      </c>
      <c r="AL355" s="14"/>
      <c r="AM355" s="14">
        <v>4.5584507518343304E-3</v>
      </c>
      <c r="AN355" s="14">
        <v>0</v>
      </c>
    </row>
    <row r="356" spans="2:40" x14ac:dyDescent="0.35"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</row>
    <row r="357" spans="2:40" x14ac:dyDescent="0.35">
      <c r="B357" s="6" t="s">
        <v>171</v>
      </c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</row>
    <row r="358" spans="2:40" x14ac:dyDescent="0.35">
      <c r="B358" s="26" t="s">
        <v>389</v>
      </c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</row>
    <row r="359" spans="2:40" x14ac:dyDescent="0.35">
      <c r="B359" t="s">
        <v>44</v>
      </c>
      <c r="C359" s="14">
        <v>0.58037710723179903</v>
      </c>
      <c r="D359" s="14">
        <v>0.63064166377273201</v>
      </c>
      <c r="E359" s="14">
        <v>0.524211543566238</v>
      </c>
      <c r="F359" s="14"/>
      <c r="G359" s="14">
        <v>0.58037710723179903</v>
      </c>
      <c r="H359" s="14" t="s">
        <v>76</v>
      </c>
      <c r="I359" s="14" t="s">
        <v>76</v>
      </c>
      <c r="J359" s="14"/>
      <c r="K359" s="14">
        <v>0.58037710723179903</v>
      </c>
      <c r="L359" s="14" t="s">
        <v>76</v>
      </c>
      <c r="M359" s="14" t="s">
        <v>76</v>
      </c>
      <c r="N359" s="14"/>
      <c r="O359" s="14">
        <v>0.56438153611264397</v>
      </c>
      <c r="P359" s="14">
        <v>0.74358311948552402</v>
      </c>
      <c r="Q359" s="14"/>
      <c r="R359" s="14">
        <v>0.69335205704173297</v>
      </c>
      <c r="S359" s="14">
        <v>0.43091643999729101</v>
      </c>
      <c r="T359" s="14">
        <v>0.50321857576975404</v>
      </c>
      <c r="U359" s="14">
        <v>0.56307750824165503</v>
      </c>
      <c r="V359" s="14">
        <v>0.58227694044469702</v>
      </c>
      <c r="W359" s="14">
        <v>0.69209408232205405</v>
      </c>
      <c r="X359" s="14">
        <v>0.68000165487637598</v>
      </c>
      <c r="Y359" s="14">
        <v>0.60749715810636395</v>
      </c>
      <c r="Z359" s="14">
        <v>0.49100958865910499</v>
      </c>
      <c r="AA359" s="14"/>
      <c r="AB359" s="14" t="s">
        <v>76</v>
      </c>
      <c r="AC359" s="14" t="s">
        <v>76</v>
      </c>
      <c r="AD359" s="14" t="s">
        <v>76</v>
      </c>
      <c r="AE359" s="14" t="s">
        <v>76</v>
      </c>
      <c r="AF359" s="14"/>
      <c r="AG359" s="14" t="s">
        <v>76</v>
      </c>
      <c r="AH359" s="14" t="s">
        <v>76</v>
      </c>
      <c r="AI359" s="14"/>
      <c r="AJ359" s="14" t="s">
        <v>76</v>
      </c>
      <c r="AK359" s="14" t="s">
        <v>76</v>
      </c>
      <c r="AL359" s="14"/>
      <c r="AM359" s="14">
        <v>0.60010232888890103</v>
      </c>
      <c r="AN359" s="14">
        <v>0.59678672274973799</v>
      </c>
    </row>
    <row r="360" spans="2:40" x14ac:dyDescent="0.35">
      <c r="B360" t="s">
        <v>45</v>
      </c>
      <c r="C360" s="14">
        <v>0.33463633572262702</v>
      </c>
      <c r="D360" s="14">
        <v>0.32266449979801898</v>
      </c>
      <c r="E360" s="14">
        <v>0.34801365284407998</v>
      </c>
      <c r="F360" s="14"/>
      <c r="G360" s="14">
        <v>0.33463633572262702</v>
      </c>
      <c r="H360" s="14" t="s">
        <v>76</v>
      </c>
      <c r="I360" s="14" t="s">
        <v>76</v>
      </c>
      <c r="J360" s="14"/>
      <c r="K360" s="14">
        <v>0.33463633572262702</v>
      </c>
      <c r="L360" s="14" t="s">
        <v>76</v>
      </c>
      <c r="M360" s="14" t="s">
        <v>76</v>
      </c>
      <c r="N360" s="14"/>
      <c r="O360" s="14">
        <v>0.353815010669289</v>
      </c>
      <c r="P360" s="14">
        <v>0.19523155692976499</v>
      </c>
      <c r="Q360" s="14"/>
      <c r="R360" s="14">
        <v>0.30664794295826697</v>
      </c>
      <c r="S360" s="14">
        <v>0.47371659743921601</v>
      </c>
      <c r="T360" s="14">
        <v>0.31730073998449199</v>
      </c>
      <c r="U360" s="14">
        <v>0.339109805460169</v>
      </c>
      <c r="V360" s="14">
        <v>0.29586704263665098</v>
      </c>
      <c r="W360" s="14">
        <v>0.30790591767794601</v>
      </c>
      <c r="X360" s="14">
        <v>0.206274356450102</v>
      </c>
      <c r="Y360" s="14">
        <v>0.26512678111322702</v>
      </c>
      <c r="Z360" s="14">
        <v>0.40728201965205302</v>
      </c>
      <c r="AA360" s="14"/>
      <c r="AB360" s="14" t="s">
        <v>76</v>
      </c>
      <c r="AC360" s="14" t="s">
        <v>76</v>
      </c>
      <c r="AD360" s="14" t="s">
        <v>76</v>
      </c>
      <c r="AE360" s="14" t="s">
        <v>76</v>
      </c>
      <c r="AF360" s="14"/>
      <c r="AG360" s="14" t="s">
        <v>76</v>
      </c>
      <c r="AH360" s="14" t="s">
        <v>76</v>
      </c>
      <c r="AI360" s="14"/>
      <c r="AJ360" s="14" t="s">
        <v>76</v>
      </c>
      <c r="AK360" s="14" t="s">
        <v>76</v>
      </c>
      <c r="AL360" s="14"/>
      <c r="AM360" s="14">
        <v>0.33099885019040798</v>
      </c>
      <c r="AN360" s="14">
        <v>0.32351698595121797</v>
      </c>
    </row>
    <row r="361" spans="2:40" x14ac:dyDescent="0.35">
      <c r="B361" t="s">
        <v>70</v>
      </c>
      <c r="C361" s="14">
        <v>8.4986557045573896E-2</v>
      </c>
      <c r="D361" s="14">
        <v>4.6693836429248799E-2</v>
      </c>
      <c r="E361" s="14">
        <v>0.12777480358968199</v>
      </c>
      <c r="F361" s="14"/>
      <c r="G361" s="14">
        <v>8.4986557045573896E-2</v>
      </c>
      <c r="H361" s="14" t="s">
        <v>76</v>
      </c>
      <c r="I361" s="14" t="s">
        <v>76</v>
      </c>
      <c r="J361" s="14"/>
      <c r="K361" s="14">
        <v>8.4986557045573896E-2</v>
      </c>
      <c r="L361" s="14" t="s">
        <v>76</v>
      </c>
      <c r="M361" s="14" t="s">
        <v>76</v>
      </c>
      <c r="N361" s="14"/>
      <c r="O361" s="14">
        <v>8.1803453218067104E-2</v>
      </c>
      <c r="P361" s="14">
        <v>6.1185323584711501E-2</v>
      </c>
      <c r="Q361" s="14"/>
      <c r="R361" s="14">
        <v>0</v>
      </c>
      <c r="S361" s="14">
        <v>9.5366962563492502E-2</v>
      </c>
      <c r="T361" s="14">
        <v>0.179480684245754</v>
      </c>
      <c r="U361" s="14">
        <v>9.7812686298176299E-2</v>
      </c>
      <c r="V361" s="14">
        <v>0.121856016918651</v>
      </c>
      <c r="W361" s="14">
        <v>0</v>
      </c>
      <c r="X361" s="14">
        <v>0.113723988673522</v>
      </c>
      <c r="Y361" s="14">
        <v>0.127376060780409</v>
      </c>
      <c r="Z361" s="14">
        <v>0.10170839168884201</v>
      </c>
      <c r="AA361" s="14"/>
      <c r="AB361" s="14" t="s">
        <v>76</v>
      </c>
      <c r="AC361" s="14" t="s">
        <v>76</v>
      </c>
      <c r="AD361" s="14" t="s">
        <v>76</v>
      </c>
      <c r="AE361" s="14" t="s">
        <v>76</v>
      </c>
      <c r="AF361" s="14"/>
      <c r="AG361" s="14" t="s">
        <v>76</v>
      </c>
      <c r="AH361" s="14" t="s">
        <v>76</v>
      </c>
      <c r="AI361" s="14"/>
      <c r="AJ361" s="14" t="s">
        <v>76</v>
      </c>
      <c r="AK361" s="14" t="s">
        <v>76</v>
      </c>
      <c r="AL361" s="14"/>
      <c r="AM361" s="14">
        <v>6.88988209206913E-2</v>
      </c>
      <c r="AN361" s="14">
        <v>7.9696291299043695E-2</v>
      </c>
    </row>
    <row r="362" spans="2:40" x14ac:dyDescent="0.35"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</row>
    <row r="363" spans="2:40" x14ac:dyDescent="0.35">
      <c r="B363" s="6" t="s">
        <v>172</v>
      </c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</row>
    <row r="364" spans="2:40" x14ac:dyDescent="0.35">
      <c r="B364" s="26" t="s">
        <v>395</v>
      </c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</row>
    <row r="365" spans="2:40" x14ac:dyDescent="0.35">
      <c r="B365" t="s">
        <v>155</v>
      </c>
      <c r="C365" s="14">
        <v>0.192563564939569</v>
      </c>
      <c r="D365" s="14">
        <v>0.21168624919370099</v>
      </c>
      <c r="E365" s="14">
        <v>0.16685764209589601</v>
      </c>
      <c r="F365" s="14"/>
      <c r="G365" s="14">
        <v>0.192563564939569</v>
      </c>
      <c r="H365" s="14" t="s">
        <v>76</v>
      </c>
      <c r="I365" s="14" t="s">
        <v>76</v>
      </c>
      <c r="J365" s="14"/>
      <c r="K365" s="14">
        <v>0.192563564939569</v>
      </c>
      <c r="L365" s="14" t="s">
        <v>76</v>
      </c>
      <c r="M365" s="14" t="s">
        <v>76</v>
      </c>
      <c r="N365" s="14"/>
      <c r="O365" s="14">
        <v>0.17992161830088901</v>
      </c>
      <c r="P365" s="14">
        <v>0.29939800594438298</v>
      </c>
      <c r="Q365" s="14"/>
      <c r="R365" s="14">
        <v>0.24790710610049799</v>
      </c>
      <c r="S365" s="14">
        <v>0.17684173455552199</v>
      </c>
      <c r="T365" s="14">
        <v>0.16711827006351099</v>
      </c>
      <c r="U365" s="14">
        <v>0.25412306636126503</v>
      </c>
      <c r="V365" s="14">
        <v>9.0828836972468796E-2</v>
      </c>
      <c r="W365" s="14">
        <v>0.189125281667086</v>
      </c>
      <c r="X365" s="14">
        <v>0.32149064818904499</v>
      </c>
      <c r="Y365" s="14">
        <v>0</v>
      </c>
      <c r="Z365" s="14">
        <v>0.10448257623596199</v>
      </c>
      <c r="AA365" s="14"/>
      <c r="AB365" s="14" t="s">
        <v>76</v>
      </c>
      <c r="AC365" s="14" t="s">
        <v>76</v>
      </c>
      <c r="AD365" s="14" t="s">
        <v>76</v>
      </c>
      <c r="AE365" s="14" t="s">
        <v>76</v>
      </c>
      <c r="AF365" s="14"/>
      <c r="AG365" s="14" t="s">
        <v>76</v>
      </c>
      <c r="AH365" s="14" t="s">
        <v>76</v>
      </c>
      <c r="AI365" s="14"/>
      <c r="AJ365" s="14" t="s">
        <v>76</v>
      </c>
      <c r="AK365" s="14" t="s">
        <v>76</v>
      </c>
      <c r="AL365" s="14"/>
      <c r="AM365" s="14">
        <v>0.20743977092547</v>
      </c>
      <c r="AN365" s="14">
        <v>0.202929140347656</v>
      </c>
    </row>
    <row r="366" spans="2:40" x14ac:dyDescent="0.35">
      <c r="B366" t="s">
        <v>156</v>
      </c>
      <c r="C366" s="14">
        <v>0.51994266389993105</v>
      </c>
      <c r="D366" s="14">
        <v>0.45529992691236398</v>
      </c>
      <c r="E366" s="14">
        <v>0.606839523531295</v>
      </c>
      <c r="F366" s="14"/>
      <c r="G366" s="14">
        <v>0.51994266389993105</v>
      </c>
      <c r="H366" s="14" t="s">
        <v>76</v>
      </c>
      <c r="I366" s="14" t="s">
        <v>76</v>
      </c>
      <c r="J366" s="14"/>
      <c r="K366" s="14">
        <v>0.51994266389993105</v>
      </c>
      <c r="L366" s="14" t="s">
        <v>76</v>
      </c>
      <c r="M366" s="14" t="s">
        <v>76</v>
      </c>
      <c r="N366" s="14"/>
      <c r="O366" s="14">
        <v>0.49926235957354598</v>
      </c>
      <c r="P366" s="14">
        <v>0.65304474403135204</v>
      </c>
      <c r="Q366" s="14"/>
      <c r="R366" s="14">
        <v>0.60933320134303104</v>
      </c>
      <c r="S366" s="14">
        <v>0.57659172837850503</v>
      </c>
      <c r="T366" s="14">
        <v>0.55247023748386304</v>
      </c>
      <c r="U366" s="14">
        <v>0.40460309402857397</v>
      </c>
      <c r="V366" s="14">
        <v>0.66809697548693103</v>
      </c>
      <c r="W366" s="14">
        <v>0.33708028230126902</v>
      </c>
      <c r="X366" s="14">
        <v>0.36408009086319099</v>
      </c>
      <c r="Y366" s="14">
        <v>0.77535231904963098</v>
      </c>
      <c r="Z366" s="14">
        <v>0.51128789149465903</v>
      </c>
      <c r="AA366" s="14"/>
      <c r="AB366" s="14" t="s">
        <v>76</v>
      </c>
      <c r="AC366" s="14" t="s">
        <v>76</v>
      </c>
      <c r="AD366" s="14" t="s">
        <v>76</v>
      </c>
      <c r="AE366" s="14" t="s">
        <v>76</v>
      </c>
      <c r="AF366" s="14"/>
      <c r="AG366" s="14" t="s">
        <v>76</v>
      </c>
      <c r="AH366" s="14" t="s">
        <v>76</v>
      </c>
      <c r="AI366" s="14"/>
      <c r="AJ366" s="14" t="s">
        <v>76</v>
      </c>
      <c r="AK366" s="14" t="s">
        <v>76</v>
      </c>
      <c r="AL366" s="14"/>
      <c r="AM366" s="14">
        <v>0.51585957312904895</v>
      </c>
      <c r="AN366" s="14">
        <v>0.54682022517736595</v>
      </c>
    </row>
    <row r="367" spans="2:40" x14ac:dyDescent="0.35">
      <c r="B367" t="s">
        <v>157</v>
      </c>
      <c r="C367" s="14">
        <v>0.187243508981766</v>
      </c>
      <c r="D367" s="14">
        <v>0.20455537010787</v>
      </c>
      <c r="E367" s="14">
        <v>0.16397180923115001</v>
      </c>
      <c r="F367" s="14"/>
      <c r="G367" s="14">
        <v>0.187243508981766</v>
      </c>
      <c r="H367" s="14" t="s">
        <v>76</v>
      </c>
      <c r="I367" s="14" t="s">
        <v>76</v>
      </c>
      <c r="J367" s="14"/>
      <c r="K367" s="14">
        <v>0.187243508981766</v>
      </c>
      <c r="L367" s="14" t="s">
        <v>76</v>
      </c>
      <c r="M367" s="14" t="s">
        <v>76</v>
      </c>
      <c r="N367" s="14"/>
      <c r="O367" s="14">
        <v>0.20883063649262901</v>
      </c>
      <c r="P367" s="14">
        <v>4.75572500242646E-2</v>
      </c>
      <c r="Q367" s="14"/>
      <c r="R367" s="14">
        <v>6.2326639565320502E-2</v>
      </c>
      <c r="S367" s="14">
        <v>0.160389459517434</v>
      </c>
      <c r="T367" s="14">
        <v>0.221336750475677</v>
      </c>
      <c r="U367" s="14">
        <v>0.248936825960477</v>
      </c>
      <c r="V367" s="14">
        <v>0.139062003825803</v>
      </c>
      <c r="W367" s="14">
        <v>0.29828126128532301</v>
      </c>
      <c r="X367" s="14">
        <v>0.21034126734806999</v>
      </c>
      <c r="Y367" s="14">
        <v>0.22464768095036999</v>
      </c>
      <c r="Z367" s="14">
        <v>0.23550566210091101</v>
      </c>
      <c r="AA367" s="14"/>
      <c r="AB367" s="14" t="s">
        <v>76</v>
      </c>
      <c r="AC367" s="14" t="s">
        <v>76</v>
      </c>
      <c r="AD367" s="14" t="s">
        <v>76</v>
      </c>
      <c r="AE367" s="14" t="s">
        <v>76</v>
      </c>
      <c r="AF367" s="14"/>
      <c r="AG367" s="14" t="s">
        <v>76</v>
      </c>
      <c r="AH367" s="14" t="s">
        <v>76</v>
      </c>
      <c r="AI367" s="14"/>
      <c r="AJ367" s="14" t="s">
        <v>76</v>
      </c>
      <c r="AK367" s="14" t="s">
        <v>76</v>
      </c>
      <c r="AL367" s="14"/>
      <c r="AM367" s="14">
        <v>0.16929206988331499</v>
      </c>
      <c r="AN367" s="14">
        <v>0.226520070799267</v>
      </c>
    </row>
    <row r="368" spans="2:40" x14ac:dyDescent="0.35">
      <c r="B368" t="s">
        <v>158</v>
      </c>
      <c r="C368" s="14">
        <v>6.0583726422980301E-2</v>
      </c>
      <c r="D368" s="14">
        <v>8.3035341407977498E-2</v>
      </c>
      <c r="E368" s="14">
        <v>3.0402844134163099E-2</v>
      </c>
      <c r="F368" s="14"/>
      <c r="G368" s="14">
        <v>6.0583726422980301E-2</v>
      </c>
      <c r="H368" s="14" t="s">
        <v>76</v>
      </c>
      <c r="I368" s="14" t="s">
        <v>76</v>
      </c>
      <c r="J368" s="14"/>
      <c r="K368" s="14">
        <v>6.0583726422980301E-2</v>
      </c>
      <c r="L368" s="14" t="s">
        <v>76</v>
      </c>
      <c r="M368" s="14" t="s">
        <v>76</v>
      </c>
      <c r="N368" s="14"/>
      <c r="O368" s="14">
        <v>6.9708716359839204E-2</v>
      </c>
      <c r="P368" s="14">
        <v>0</v>
      </c>
      <c r="Q368" s="14"/>
      <c r="R368" s="14">
        <v>6.2326639565320502E-2</v>
      </c>
      <c r="S368" s="14">
        <v>5.7965974897602399E-2</v>
      </c>
      <c r="T368" s="14">
        <v>0</v>
      </c>
      <c r="U368" s="14">
        <v>9.2337013649682997E-2</v>
      </c>
      <c r="V368" s="14">
        <v>6.6789821577916297E-2</v>
      </c>
      <c r="W368" s="14">
        <v>0.10518398942450199</v>
      </c>
      <c r="X368" s="14">
        <v>6.4519982729218897E-2</v>
      </c>
      <c r="Y368" s="14">
        <v>0</v>
      </c>
      <c r="Z368" s="14">
        <v>4.6838847467018802E-2</v>
      </c>
      <c r="AA368" s="14"/>
      <c r="AB368" s="14" t="s">
        <v>76</v>
      </c>
      <c r="AC368" s="14" t="s">
        <v>76</v>
      </c>
      <c r="AD368" s="14" t="s">
        <v>76</v>
      </c>
      <c r="AE368" s="14" t="s">
        <v>76</v>
      </c>
      <c r="AF368" s="14"/>
      <c r="AG368" s="14" t="s">
        <v>76</v>
      </c>
      <c r="AH368" s="14" t="s">
        <v>76</v>
      </c>
      <c r="AI368" s="14"/>
      <c r="AJ368" s="14" t="s">
        <v>76</v>
      </c>
      <c r="AK368" s="14" t="s">
        <v>76</v>
      </c>
      <c r="AL368" s="14"/>
      <c r="AM368" s="14">
        <v>6.9523905141132797E-2</v>
      </c>
      <c r="AN368" s="14">
        <v>0</v>
      </c>
    </row>
    <row r="369" spans="2:40" x14ac:dyDescent="0.35">
      <c r="B369" t="s">
        <v>70</v>
      </c>
      <c r="C369" s="14">
        <v>3.9666535755753199E-2</v>
      </c>
      <c r="D369" s="14">
        <v>4.54231123780863E-2</v>
      </c>
      <c r="E369" s="14">
        <v>3.1928181007495997E-2</v>
      </c>
      <c r="F369" s="14"/>
      <c r="G369" s="14">
        <v>3.9666535755753199E-2</v>
      </c>
      <c r="H369" s="14" t="s">
        <v>76</v>
      </c>
      <c r="I369" s="14" t="s">
        <v>76</v>
      </c>
      <c r="J369" s="14"/>
      <c r="K369" s="14">
        <v>3.9666535755753199E-2</v>
      </c>
      <c r="L369" s="14" t="s">
        <v>76</v>
      </c>
      <c r="M369" s="14" t="s">
        <v>76</v>
      </c>
      <c r="N369" s="14"/>
      <c r="O369" s="14">
        <v>4.2276669273096597E-2</v>
      </c>
      <c r="P369" s="14">
        <v>0</v>
      </c>
      <c r="Q369" s="14"/>
      <c r="R369" s="14">
        <v>1.81064134258303E-2</v>
      </c>
      <c r="S369" s="14">
        <v>2.8211102650936699E-2</v>
      </c>
      <c r="T369" s="14">
        <v>5.9074741976949202E-2</v>
      </c>
      <c r="U369" s="14">
        <v>0</v>
      </c>
      <c r="V369" s="14">
        <v>3.5222362136880903E-2</v>
      </c>
      <c r="W369" s="14">
        <v>7.0329185321820906E-2</v>
      </c>
      <c r="X369" s="14">
        <v>3.9568010870474797E-2</v>
      </c>
      <c r="Y369" s="14">
        <v>0</v>
      </c>
      <c r="Z369" s="14">
        <v>0.101885022701449</v>
      </c>
      <c r="AA369" s="14"/>
      <c r="AB369" s="14" t="s">
        <v>76</v>
      </c>
      <c r="AC369" s="14" t="s">
        <v>76</v>
      </c>
      <c r="AD369" s="14" t="s">
        <v>76</v>
      </c>
      <c r="AE369" s="14" t="s">
        <v>76</v>
      </c>
      <c r="AF369" s="14"/>
      <c r="AG369" s="14" t="s">
        <v>76</v>
      </c>
      <c r="AH369" s="14" t="s">
        <v>76</v>
      </c>
      <c r="AI369" s="14"/>
      <c r="AJ369" s="14" t="s">
        <v>76</v>
      </c>
      <c r="AK369" s="14" t="s">
        <v>76</v>
      </c>
      <c r="AL369" s="14"/>
      <c r="AM369" s="14">
        <v>3.7884680921033503E-2</v>
      </c>
      <c r="AN369" s="14">
        <v>2.3730563675710602E-2</v>
      </c>
    </row>
    <row r="370" spans="2:40" x14ac:dyDescent="0.35"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</row>
    <row r="371" spans="2:40" x14ac:dyDescent="0.35">
      <c r="B371" s="6" t="s">
        <v>174</v>
      </c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</row>
    <row r="372" spans="2:40" x14ac:dyDescent="0.35">
      <c r="B372" s="26" t="s">
        <v>395</v>
      </c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</row>
    <row r="373" spans="2:40" x14ac:dyDescent="0.35">
      <c r="B373" t="s">
        <v>160</v>
      </c>
      <c r="C373" s="14">
        <v>0.19134078162450999</v>
      </c>
      <c r="D373" s="14">
        <v>0.20861143576764701</v>
      </c>
      <c r="E373" s="14">
        <v>0.16812447490923901</v>
      </c>
      <c r="F373" s="14"/>
      <c r="G373" s="14">
        <v>0.19134078162450999</v>
      </c>
      <c r="H373" s="14" t="s">
        <v>76</v>
      </c>
      <c r="I373" s="14" t="s">
        <v>76</v>
      </c>
      <c r="J373" s="14"/>
      <c r="K373" s="14">
        <v>0.19134078162450999</v>
      </c>
      <c r="L373" s="14" t="s">
        <v>76</v>
      </c>
      <c r="M373" s="14" t="s">
        <v>76</v>
      </c>
      <c r="N373" s="14"/>
      <c r="O373" s="14">
        <v>0.17469773205956601</v>
      </c>
      <c r="P373" s="14">
        <v>0.32683872487459598</v>
      </c>
      <c r="Q373" s="14"/>
      <c r="R373" s="14">
        <v>0.31651374670676302</v>
      </c>
      <c r="S373" s="14">
        <v>0.16592503806995601</v>
      </c>
      <c r="T373" s="14">
        <v>2.69405987724444E-2</v>
      </c>
      <c r="U373" s="14">
        <v>0.18689067325992401</v>
      </c>
      <c r="V373" s="14">
        <v>0.14826275944591699</v>
      </c>
      <c r="W373" s="14">
        <v>0.15295683072351501</v>
      </c>
      <c r="X373" s="14">
        <v>0.24457799176514999</v>
      </c>
      <c r="Y373" s="14">
        <v>0.221311951112378</v>
      </c>
      <c r="Z373" s="14">
        <v>0.130248238132226</v>
      </c>
      <c r="AA373" s="14"/>
      <c r="AB373" s="14" t="s">
        <v>76</v>
      </c>
      <c r="AC373" s="14" t="s">
        <v>76</v>
      </c>
      <c r="AD373" s="14" t="s">
        <v>76</v>
      </c>
      <c r="AE373" s="14" t="s">
        <v>76</v>
      </c>
      <c r="AF373" s="14"/>
      <c r="AG373" s="14" t="s">
        <v>76</v>
      </c>
      <c r="AH373" s="14" t="s">
        <v>76</v>
      </c>
      <c r="AI373" s="14"/>
      <c r="AJ373" s="14" t="s">
        <v>76</v>
      </c>
      <c r="AK373" s="14" t="s">
        <v>76</v>
      </c>
      <c r="AL373" s="14"/>
      <c r="AM373" s="14">
        <v>0.24507080591720901</v>
      </c>
      <c r="AN373" s="14">
        <v>4.6880128132599098E-2</v>
      </c>
    </row>
    <row r="374" spans="2:40" x14ac:dyDescent="0.35">
      <c r="B374" t="s">
        <v>161</v>
      </c>
      <c r="C374" s="14">
        <v>0.53083969185730495</v>
      </c>
      <c r="D374" s="14">
        <v>0.51303754318546801</v>
      </c>
      <c r="E374" s="14">
        <v>0.55477046716731104</v>
      </c>
      <c r="F374" s="14"/>
      <c r="G374" s="14">
        <v>0.53083969185730495</v>
      </c>
      <c r="H374" s="14" t="s">
        <v>76</v>
      </c>
      <c r="I374" s="14" t="s">
        <v>76</v>
      </c>
      <c r="J374" s="14"/>
      <c r="K374" s="14">
        <v>0.53083969185730495</v>
      </c>
      <c r="L374" s="14" t="s">
        <v>76</v>
      </c>
      <c r="M374" s="14" t="s">
        <v>76</v>
      </c>
      <c r="N374" s="14"/>
      <c r="O374" s="14">
        <v>0.516051444518284</v>
      </c>
      <c r="P374" s="14">
        <v>0.62746331607533101</v>
      </c>
      <c r="Q374" s="14"/>
      <c r="R374" s="14">
        <v>0.56871922039897704</v>
      </c>
      <c r="S374" s="14">
        <v>0.570693032900216</v>
      </c>
      <c r="T374" s="14">
        <v>0.34902003166907503</v>
      </c>
      <c r="U374" s="14">
        <v>0.53501219127831201</v>
      </c>
      <c r="V374" s="14">
        <v>0.64223050874445498</v>
      </c>
      <c r="W374" s="14">
        <v>0.48603639908338497</v>
      </c>
      <c r="X374" s="14">
        <v>0.69090202550563096</v>
      </c>
      <c r="Y374" s="14">
        <v>0.66906556028498498</v>
      </c>
      <c r="Z374" s="14">
        <v>0.28483322145941897</v>
      </c>
      <c r="AA374" s="14"/>
      <c r="AB374" s="14" t="s">
        <v>76</v>
      </c>
      <c r="AC374" s="14" t="s">
        <v>76</v>
      </c>
      <c r="AD374" s="14" t="s">
        <v>76</v>
      </c>
      <c r="AE374" s="14" t="s">
        <v>76</v>
      </c>
      <c r="AF374" s="14"/>
      <c r="AG374" s="14" t="s">
        <v>76</v>
      </c>
      <c r="AH374" s="14" t="s">
        <v>76</v>
      </c>
      <c r="AI374" s="14"/>
      <c r="AJ374" s="14" t="s">
        <v>76</v>
      </c>
      <c r="AK374" s="14" t="s">
        <v>76</v>
      </c>
      <c r="AL374" s="14"/>
      <c r="AM374" s="14">
        <v>0.544805686011688</v>
      </c>
      <c r="AN374" s="14">
        <v>0.40270081845768402</v>
      </c>
    </row>
    <row r="375" spans="2:40" x14ac:dyDescent="0.35">
      <c r="B375" t="s">
        <v>162</v>
      </c>
      <c r="C375" s="14">
        <v>0.227827368184323</v>
      </c>
      <c r="D375" s="14">
        <v>0.24004540880045599</v>
      </c>
      <c r="E375" s="14">
        <v>0.21140310445621599</v>
      </c>
      <c r="F375" s="14"/>
      <c r="G375" s="14">
        <v>0.227827368184323</v>
      </c>
      <c r="H375" s="14" t="s">
        <v>76</v>
      </c>
      <c r="I375" s="14" t="s">
        <v>76</v>
      </c>
      <c r="J375" s="14"/>
      <c r="K375" s="14">
        <v>0.227827368184323</v>
      </c>
      <c r="L375" s="14" t="s">
        <v>76</v>
      </c>
      <c r="M375" s="14" t="s">
        <v>76</v>
      </c>
      <c r="N375" s="14"/>
      <c r="O375" s="14">
        <v>0.25172895424591701</v>
      </c>
      <c r="P375" s="14">
        <v>4.5697959050072699E-2</v>
      </c>
      <c r="Q375" s="14"/>
      <c r="R375" s="14">
        <v>8.6774368824979103E-2</v>
      </c>
      <c r="S375" s="14">
        <v>0.208908048447216</v>
      </c>
      <c r="T375" s="14">
        <v>0.54959960780761097</v>
      </c>
      <c r="U375" s="14">
        <v>0.24299613798311001</v>
      </c>
      <c r="V375" s="14">
        <v>0.13906200753586601</v>
      </c>
      <c r="W375" s="14">
        <v>0.25472875056357103</v>
      </c>
      <c r="X375" s="14">
        <v>6.4519982729218897E-2</v>
      </c>
      <c r="Y375" s="14">
        <v>4.5329487962585999E-2</v>
      </c>
      <c r="Z375" s="14">
        <v>0.53679812311905795</v>
      </c>
      <c r="AA375" s="14"/>
      <c r="AB375" s="14" t="s">
        <v>76</v>
      </c>
      <c r="AC375" s="14" t="s">
        <v>76</v>
      </c>
      <c r="AD375" s="14" t="s">
        <v>76</v>
      </c>
      <c r="AE375" s="14" t="s">
        <v>76</v>
      </c>
      <c r="AF375" s="14"/>
      <c r="AG375" s="14" t="s">
        <v>76</v>
      </c>
      <c r="AH375" s="14" t="s">
        <v>76</v>
      </c>
      <c r="AI375" s="14"/>
      <c r="AJ375" s="14" t="s">
        <v>76</v>
      </c>
      <c r="AK375" s="14" t="s">
        <v>76</v>
      </c>
      <c r="AL375" s="14"/>
      <c r="AM375" s="14">
        <v>0.18768616785532699</v>
      </c>
      <c r="AN375" s="14">
        <v>0.381611712178762</v>
      </c>
    </row>
    <row r="376" spans="2:40" x14ac:dyDescent="0.35">
      <c r="B376" t="s">
        <v>163</v>
      </c>
      <c r="C376" s="14">
        <v>3.9568916910530903E-2</v>
      </c>
      <c r="D376" s="14">
        <v>3.1374987106305402E-2</v>
      </c>
      <c r="E376" s="14">
        <v>5.0583716116263298E-2</v>
      </c>
      <c r="F376" s="14"/>
      <c r="G376" s="14">
        <v>3.9568916910530903E-2</v>
      </c>
      <c r="H376" s="14" t="s">
        <v>76</v>
      </c>
      <c r="I376" s="14" t="s">
        <v>76</v>
      </c>
      <c r="J376" s="14"/>
      <c r="K376" s="14">
        <v>3.9568916910530903E-2</v>
      </c>
      <c r="L376" s="14" t="s">
        <v>76</v>
      </c>
      <c r="M376" s="14" t="s">
        <v>76</v>
      </c>
      <c r="N376" s="14"/>
      <c r="O376" s="14">
        <v>4.5528701657017501E-2</v>
      </c>
      <c r="P376" s="14">
        <v>0</v>
      </c>
      <c r="Q376" s="14"/>
      <c r="R376" s="14">
        <v>2.7992664069280901E-2</v>
      </c>
      <c r="S376" s="14">
        <v>2.4718994587705601E-2</v>
      </c>
      <c r="T376" s="14">
        <v>7.4439761750869499E-2</v>
      </c>
      <c r="U376" s="14">
        <v>3.5100997478654999E-2</v>
      </c>
      <c r="V376" s="14">
        <v>3.5222362136880903E-2</v>
      </c>
      <c r="W376" s="14">
        <v>7.3678352084849894E-2</v>
      </c>
      <c r="X376" s="14">
        <v>0</v>
      </c>
      <c r="Y376" s="14">
        <v>6.4293000640051903E-2</v>
      </c>
      <c r="Z376" s="14">
        <v>4.8120417289296703E-2</v>
      </c>
      <c r="AA376" s="14"/>
      <c r="AB376" s="14" t="s">
        <v>76</v>
      </c>
      <c r="AC376" s="14" t="s">
        <v>76</v>
      </c>
      <c r="AD376" s="14" t="s">
        <v>76</v>
      </c>
      <c r="AE376" s="14" t="s">
        <v>76</v>
      </c>
      <c r="AF376" s="14"/>
      <c r="AG376" s="14" t="s">
        <v>76</v>
      </c>
      <c r="AH376" s="14" t="s">
        <v>76</v>
      </c>
      <c r="AI376" s="14"/>
      <c r="AJ376" s="14" t="s">
        <v>76</v>
      </c>
      <c r="AK376" s="14" t="s">
        <v>76</v>
      </c>
      <c r="AL376" s="14"/>
      <c r="AM376" s="14">
        <v>1.2428904892689699E-2</v>
      </c>
      <c r="AN376" s="14">
        <v>0.168807341230955</v>
      </c>
    </row>
    <row r="377" spans="2:40" x14ac:dyDescent="0.35">
      <c r="B377" t="s">
        <v>70</v>
      </c>
      <c r="C377" s="14">
        <v>1.0423241423330801E-2</v>
      </c>
      <c r="D377" s="14">
        <v>6.9306251401233098E-3</v>
      </c>
      <c r="E377" s="14">
        <v>1.51182373509702E-2</v>
      </c>
      <c r="F377" s="14"/>
      <c r="G377" s="14">
        <v>1.0423241423330801E-2</v>
      </c>
      <c r="H377" s="14" t="s">
        <v>76</v>
      </c>
      <c r="I377" s="14" t="s">
        <v>76</v>
      </c>
      <c r="J377" s="14"/>
      <c r="K377" s="14">
        <v>1.0423241423330801E-2</v>
      </c>
      <c r="L377" s="14" t="s">
        <v>76</v>
      </c>
      <c r="M377" s="14" t="s">
        <v>76</v>
      </c>
      <c r="N377" s="14"/>
      <c r="O377" s="14">
        <v>1.1993167519214899E-2</v>
      </c>
      <c r="P377" s="14">
        <v>0</v>
      </c>
      <c r="Q377" s="14"/>
      <c r="R377" s="14">
        <v>0</v>
      </c>
      <c r="S377" s="14">
        <v>2.97548859949067E-2</v>
      </c>
      <c r="T377" s="14">
        <v>0</v>
      </c>
      <c r="U377" s="14">
        <v>0</v>
      </c>
      <c r="V377" s="14">
        <v>3.5222362136880903E-2</v>
      </c>
      <c r="W377" s="14">
        <v>3.2599667544679099E-2</v>
      </c>
      <c r="X377" s="14">
        <v>0</v>
      </c>
      <c r="Y377" s="14">
        <v>0</v>
      </c>
      <c r="Z377" s="14">
        <v>0</v>
      </c>
      <c r="AA377" s="14"/>
      <c r="AB377" s="14" t="s">
        <v>76</v>
      </c>
      <c r="AC377" s="14" t="s">
        <v>76</v>
      </c>
      <c r="AD377" s="14" t="s">
        <v>76</v>
      </c>
      <c r="AE377" s="14" t="s">
        <v>76</v>
      </c>
      <c r="AF377" s="14"/>
      <c r="AG377" s="14" t="s">
        <v>76</v>
      </c>
      <c r="AH377" s="14" t="s">
        <v>76</v>
      </c>
      <c r="AI377" s="14"/>
      <c r="AJ377" s="14" t="s">
        <v>76</v>
      </c>
      <c r="AK377" s="14" t="s">
        <v>76</v>
      </c>
      <c r="AL377" s="14"/>
      <c r="AM377" s="14">
        <v>1.0008435323085801E-2</v>
      </c>
      <c r="AN377" s="14">
        <v>0</v>
      </c>
    </row>
    <row r="378" spans="2:40" x14ac:dyDescent="0.35">
      <c r="B378" t="s">
        <v>164</v>
      </c>
      <c r="C378" s="14">
        <v>0.72218047348181502</v>
      </c>
      <c r="D378" s="14">
        <v>0.72164897895311497</v>
      </c>
      <c r="E378" s="14">
        <v>0.72289494207655003</v>
      </c>
      <c r="F378" s="14"/>
      <c r="G378" s="14">
        <v>0.72218047348181502</v>
      </c>
      <c r="H378" s="14" t="s">
        <v>76</v>
      </c>
      <c r="I378" s="14" t="s">
        <v>76</v>
      </c>
      <c r="J378" s="14"/>
      <c r="K378" s="14">
        <v>0.72218047348181502</v>
      </c>
      <c r="L378" s="14" t="s">
        <v>76</v>
      </c>
      <c r="M378" s="14" t="s">
        <v>76</v>
      </c>
      <c r="N378" s="14"/>
      <c r="O378" s="14">
        <v>0.69074917657784995</v>
      </c>
      <c r="P378" s="14">
        <v>0.95430204094992699</v>
      </c>
      <c r="Q378" s="14"/>
      <c r="R378" s="14">
        <v>0.88523296710573995</v>
      </c>
      <c r="S378" s="14">
        <v>0.73661807097017196</v>
      </c>
      <c r="T378" s="14">
        <v>0.37596063044152001</v>
      </c>
      <c r="U378" s="14">
        <v>0.72190286453823505</v>
      </c>
      <c r="V378" s="14">
        <v>0.79049326819037202</v>
      </c>
      <c r="W378" s="14">
        <v>0.63899322980689999</v>
      </c>
      <c r="X378" s="14">
        <v>0.93548001727078101</v>
      </c>
      <c r="Y378" s="14">
        <v>0.89037751139736199</v>
      </c>
      <c r="Z378" s="14">
        <v>0.415081459591645</v>
      </c>
      <c r="AA378" s="14"/>
      <c r="AB378" s="14" t="s">
        <v>76</v>
      </c>
      <c r="AC378" s="14" t="s">
        <v>76</v>
      </c>
      <c r="AD378" s="14" t="s">
        <v>76</v>
      </c>
      <c r="AE378" s="14" t="s">
        <v>76</v>
      </c>
      <c r="AF378" s="14"/>
      <c r="AG378" s="14" t="s">
        <v>76</v>
      </c>
      <c r="AH378" s="14" t="s">
        <v>76</v>
      </c>
      <c r="AI378" s="14"/>
      <c r="AJ378" s="14" t="s">
        <v>76</v>
      </c>
      <c r="AK378" s="14" t="s">
        <v>76</v>
      </c>
      <c r="AL378" s="14"/>
      <c r="AM378" s="14">
        <v>0.78987649192889697</v>
      </c>
      <c r="AN378" s="14">
        <v>0.44958094659028303</v>
      </c>
    </row>
    <row r="379" spans="2:40" x14ac:dyDescent="0.35"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</row>
    <row r="380" spans="2:40" x14ac:dyDescent="0.35">
      <c r="B380" s="6" t="s">
        <v>175</v>
      </c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</row>
    <row r="381" spans="2:40" x14ac:dyDescent="0.35">
      <c r="B381" s="26" t="s">
        <v>395</v>
      </c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</row>
    <row r="382" spans="2:40" x14ac:dyDescent="0.35">
      <c r="B382" t="s">
        <v>166</v>
      </c>
      <c r="C382" s="14">
        <v>0.20163667190991799</v>
      </c>
      <c r="D382" s="14">
        <v>0.22171468869979499</v>
      </c>
      <c r="E382" s="14">
        <v>0.17464653058898699</v>
      </c>
      <c r="F382" s="14"/>
      <c r="G382" s="14">
        <v>0.20163667190991799</v>
      </c>
      <c r="H382" s="14" t="s">
        <v>76</v>
      </c>
      <c r="I382" s="14" t="s">
        <v>76</v>
      </c>
      <c r="J382" s="14"/>
      <c r="K382" s="14">
        <v>0.20163667190991799</v>
      </c>
      <c r="L382" s="14" t="s">
        <v>76</v>
      </c>
      <c r="M382" s="14" t="s">
        <v>76</v>
      </c>
      <c r="N382" s="14"/>
      <c r="O382" s="14">
        <v>0.18807332010496899</v>
      </c>
      <c r="P382" s="14">
        <v>0.31584675735179402</v>
      </c>
      <c r="Q382" s="14"/>
      <c r="R382" s="14">
        <v>0.27977048251387099</v>
      </c>
      <c r="S382" s="14">
        <v>0.194136140720892</v>
      </c>
      <c r="T382" s="14">
        <v>9.3566607327404197E-2</v>
      </c>
      <c r="U382" s="14">
        <v>0.198035494930207</v>
      </c>
      <c r="V382" s="14">
        <v>0.25027494316071403</v>
      </c>
      <c r="W382" s="14">
        <v>0.17294915537111399</v>
      </c>
      <c r="X382" s="14">
        <v>0.25343997762826598</v>
      </c>
      <c r="Y382" s="14">
        <v>0.17589070978558199</v>
      </c>
      <c r="Z382" s="14">
        <v>9.9795313095394605E-2</v>
      </c>
      <c r="AA382" s="14"/>
      <c r="AB382" s="14" t="s">
        <v>76</v>
      </c>
      <c r="AC382" s="14" t="s">
        <v>76</v>
      </c>
      <c r="AD382" s="14" t="s">
        <v>76</v>
      </c>
      <c r="AE382" s="14" t="s">
        <v>76</v>
      </c>
      <c r="AF382" s="14"/>
      <c r="AG382" s="14" t="s">
        <v>76</v>
      </c>
      <c r="AH382" s="14" t="s">
        <v>76</v>
      </c>
      <c r="AI382" s="14"/>
      <c r="AJ382" s="14" t="s">
        <v>76</v>
      </c>
      <c r="AK382" s="14" t="s">
        <v>76</v>
      </c>
      <c r="AL382" s="14"/>
      <c r="AM382" s="14">
        <v>0.268128091329076</v>
      </c>
      <c r="AN382" s="14">
        <v>1.8183959505993399E-2</v>
      </c>
    </row>
    <row r="383" spans="2:40" x14ac:dyDescent="0.35">
      <c r="B383" t="s">
        <v>167</v>
      </c>
      <c r="C383" s="14">
        <v>0.40755561994348299</v>
      </c>
      <c r="D383" s="14">
        <v>0.39765777388234702</v>
      </c>
      <c r="E383" s="14">
        <v>0.42086093125777302</v>
      </c>
      <c r="F383" s="14"/>
      <c r="G383" s="14">
        <v>0.40755561994348299</v>
      </c>
      <c r="H383" s="14" t="s">
        <v>76</v>
      </c>
      <c r="I383" s="14" t="s">
        <v>76</v>
      </c>
      <c r="J383" s="14"/>
      <c r="K383" s="14">
        <v>0.40755561994348299</v>
      </c>
      <c r="L383" s="14" t="s">
        <v>76</v>
      </c>
      <c r="M383" s="14" t="s">
        <v>76</v>
      </c>
      <c r="N383" s="14"/>
      <c r="O383" s="14">
        <v>0.387827362085019</v>
      </c>
      <c r="P383" s="14">
        <v>0.52948319837041102</v>
      </c>
      <c r="Q383" s="14"/>
      <c r="R383" s="14">
        <v>0.50964965894884395</v>
      </c>
      <c r="S383" s="14">
        <v>0.38532331365865802</v>
      </c>
      <c r="T383" s="14">
        <v>0.20398918695523899</v>
      </c>
      <c r="U383" s="14">
        <v>0.43153035310190002</v>
      </c>
      <c r="V383" s="14">
        <v>0.34597968771725701</v>
      </c>
      <c r="W383" s="14">
        <v>0.38832990736344603</v>
      </c>
      <c r="X383" s="14">
        <v>0.39392998514574701</v>
      </c>
      <c r="Y383" s="14">
        <v>0.48983912048933698</v>
      </c>
      <c r="Z383" s="14">
        <v>0.43531099304647303</v>
      </c>
      <c r="AA383" s="14"/>
      <c r="AB383" s="14" t="s">
        <v>76</v>
      </c>
      <c r="AC383" s="14" t="s">
        <v>76</v>
      </c>
      <c r="AD383" s="14" t="s">
        <v>76</v>
      </c>
      <c r="AE383" s="14" t="s">
        <v>76</v>
      </c>
      <c r="AF383" s="14"/>
      <c r="AG383" s="14" t="s">
        <v>76</v>
      </c>
      <c r="AH383" s="14" t="s">
        <v>76</v>
      </c>
      <c r="AI383" s="14"/>
      <c r="AJ383" s="14" t="s">
        <v>76</v>
      </c>
      <c r="AK383" s="14" t="s">
        <v>76</v>
      </c>
      <c r="AL383" s="14"/>
      <c r="AM383" s="14">
        <v>0.48837833178836298</v>
      </c>
      <c r="AN383" s="14">
        <v>0.11635722541669601</v>
      </c>
    </row>
    <row r="384" spans="2:40" x14ac:dyDescent="0.35">
      <c r="B384" t="s">
        <v>168</v>
      </c>
      <c r="C384" s="14">
        <v>0.31295421139511398</v>
      </c>
      <c r="D384" s="14">
        <v>0.28954725843911</v>
      </c>
      <c r="E384" s="14">
        <v>0.34441931946761101</v>
      </c>
      <c r="F384" s="14"/>
      <c r="G384" s="14">
        <v>0.31295421139511398</v>
      </c>
      <c r="H384" s="14" t="s">
        <v>76</v>
      </c>
      <c r="I384" s="14" t="s">
        <v>76</v>
      </c>
      <c r="J384" s="14"/>
      <c r="K384" s="14">
        <v>0.31295421139511398</v>
      </c>
      <c r="L384" s="14" t="s">
        <v>76</v>
      </c>
      <c r="M384" s="14" t="s">
        <v>76</v>
      </c>
      <c r="N384" s="14"/>
      <c r="O384" s="14">
        <v>0.33451969563919098</v>
      </c>
      <c r="P384" s="14">
        <v>0.15467004427779499</v>
      </c>
      <c r="Q384" s="14"/>
      <c r="R384" s="14">
        <v>0.193412870789265</v>
      </c>
      <c r="S384" s="14">
        <v>0.39582155103274302</v>
      </c>
      <c r="T384" s="14">
        <v>0.45261559196158002</v>
      </c>
      <c r="U384" s="14">
        <v>0.33533315448923801</v>
      </c>
      <c r="V384" s="14">
        <v>0.26468336158616301</v>
      </c>
      <c r="W384" s="14">
        <v>0.33244291763591099</v>
      </c>
      <c r="X384" s="14">
        <v>0.35263003722598801</v>
      </c>
      <c r="Y384" s="14">
        <v>0.26997716908503</v>
      </c>
      <c r="Z384" s="14">
        <v>0.31825954499169201</v>
      </c>
      <c r="AA384" s="14"/>
      <c r="AB384" s="14" t="s">
        <v>76</v>
      </c>
      <c r="AC384" s="14" t="s">
        <v>76</v>
      </c>
      <c r="AD384" s="14" t="s">
        <v>76</v>
      </c>
      <c r="AE384" s="14" t="s">
        <v>76</v>
      </c>
      <c r="AF384" s="14"/>
      <c r="AG384" s="14" t="s">
        <v>76</v>
      </c>
      <c r="AH384" s="14" t="s">
        <v>76</v>
      </c>
      <c r="AI384" s="14"/>
      <c r="AJ384" s="14" t="s">
        <v>76</v>
      </c>
      <c r="AK384" s="14" t="s">
        <v>76</v>
      </c>
      <c r="AL384" s="14"/>
      <c r="AM384" s="14">
        <v>0.22584221869547799</v>
      </c>
      <c r="AN384" s="14">
        <v>0.50085074654408801</v>
      </c>
    </row>
    <row r="385" spans="2:40" x14ac:dyDescent="0.35">
      <c r="B385" t="s">
        <v>169</v>
      </c>
      <c r="C385" s="14">
        <v>7.0514215594260493E-2</v>
      </c>
      <c r="D385" s="14">
        <v>8.4149652767141897E-2</v>
      </c>
      <c r="E385" s="14">
        <v>5.2184597678298E-2</v>
      </c>
      <c r="F385" s="14"/>
      <c r="G385" s="14">
        <v>7.0514215594260493E-2</v>
      </c>
      <c r="H385" s="14" t="s">
        <v>76</v>
      </c>
      <c r="I385" s="14" t="s">
        <v>76</v>
      </c>
      <c r="J385" s="14"/>
      <c r="K385" s="14">
        <v>7.0514215594260493E-2</v>
      </c>
      <c r="L385" s="14" t="s">
        <v>76</v>
      </c>
      <c r="M385" s="14" t="s">
        <v>76</v>
      </c>
      <c r="N385" s="14"/>
      <c r="O385" s="14">
        <v>8.1134914347763598E-2</v>
      </c>
      <c r="P385" s="14">
        <v>0</v>
      </c>
      <c r="Q385" s="14"/>
      <c r="R385" s="14">
        <v>1.71669877480198E-2</v>
      </c>
      <c r="S385" s="14">
        <v>2.4718994587705601E-2</v>
      </c>
      <c r="T385" s="14">
        <v>0.249828613755777</v>
      </c>
      <c r="U385" s="14">
        <v>3.5100997478654999E-2</v>
      </c>
      <c r="V385" s="14">
        <v>0.10383964539898501</v>
      </c>
      <c r="W385" s="14">
        <v>7.3678347044904696E-2</v>
      </c>
      <c r="X385" s="14">
        <v>0</v>
      </c>
      <c r="Y385" s="14">
        <v>6.4293000640051903E-2</v>
      </c>
      <c r="Z385" s="14">
        <v>0.146634148866439</v>
      </c>
      <c r="AA385" s="14"/>
      <c r="AB385" s="14" t="s">
        <v>76</v>
      </c>
      <c r="AC385" s="14" t="s">
        <v>76</v>
      </c>
      <c r="AD385" s="14" t="s">
        <v>76</v>
      </c>
      <c r="AE385" s="14" t="s">
        <v>76</v>
      </c>
      <c r="AF385" s="14"/>
      <c r="AG385" s="14" t="s">
        <v>76</v>
      </c>
      <c r="AH385" s="14" t="s">
        <v>76</v>
      </c>
      <c r="AI385" s="14"/>
      <c r="AJ385" s="14" t="s">
        <v>76</v>
      </c>
      <c r="AK385" s="14" t="s">
        <v>76</v>
      </c>
      <c r="AL385" s="14"/>
      <c r="AM385" s="14">
        <v>1.3062470808011E-2</v>
      </c>
      <c r="AN385" s="14">
        <v>0.36460806853322197</v>
      </c>
    </row>
    <row r="386" spans="2:40" x14ac:dyDescent="0.35">
      <c r="B386" t="s">
        <v>70</v>
      </c>
      <c r="C386" s="14">
        <v>7.3392811572253096E-3</v>
      </c>
      <c r="D386" s="14">
        <v>6.93062621160573E-3</v>
      </c>
      <c r="E386" s="14">
        <v>7.8886210073309294E-3</v>
      </c>
      <c r="F386" s="14"/>
      <c r="G386" s="14">
        <v>7.3392811572253096E-3</v>
      </c>
      <c r="H386" s="14" t="s">
        <v>76</v>
      </c>
      <c r="I386" s="14" t="s">
        <v>76</v>
      </c>
      <c r="J386" s="14"/>
      <c r="K386" s="14">
        <v>7.3392811572253096E-3</v>
      </c>
      <c r="L386" s="14" t="s">
        <v>76</v>
      </c>
      <c r="M386" s="14" t="s">
        <v>76</v>
      </c>
      <c r="N386" s="14"/>
      <c r="O386" s="14">
        <v>8.4447078230577392E-3</v>
      </c>
      <c r="P386" s="14">
        <v>0</v>
      </c>
      <c r="Q386" s="14"/>
      <c r="R386" s="14">
        <v>0</v>
      </c>
      <c r="S386" s="14">
        <v>0</v>
      </c>
      <c r="T386" s="14">
        <v>0</v>
      </c>
      <c r="U386" s="14">
        <v>0</v>
      </c>
      <c r="V386" s="14">
        <v>3.5222362136880903E-2</v>
      </c>
      <c r="W386" s="14">
        <v>3.2599672584624297E-2</v>
      </c>
      <c r="X386" s="14">
        <v>0</v>
      </c>
      <c r="Y386" s="14">
        <v>0</v>
      </c>
      <c r="Z386" s="14">
        <v>0</v>
      </c>
      <c r="AA386" s="14"/>
      <c r="AB386" s="14" t="s">
        <v>76</v>
      </c>
      <c r="AC386" s="14" t="s">
        <v>76</v>
      </c>
      <c r="AD386" s="14" t="s">
        <v>76</v>
      </c>
      <c r="AE386" s="14" t="s">
        <v>76</v>
      </c>
      <c r="AF386" s="14"/>
      <c r="AG386" s="14" t="s">
        <v>76</v>
      </c>
      <c r="AH386" s="14" t="s">
        <v>76</v>
      </c>
      <c r="AI386" s="14"/>
      <c r="AJ386" s="14" t="s">
        <v>76</v>
      </c>
      <c r="AK386" s="14" t="s">
        <v>76</v>
      </c>
      <c r="AL386" s="14"/>
      <c r="AM386" s="14">
        <v>4.5888873790726802E-3</v>
      </c>
      <c r="AN386" s="14">
        <v>0</v>
      </c>
    </row>
    <row r="387" spans="2:40" x14ac:dyDescent="0.35"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</row>
    <row r="388" spans="2:40" x14ac:dyDescent="0.35">
      <c r="B388" s="6" t="s">
        <v>176</v>
      </c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</row>
    <row r="389" spans="2:40" x14ac:dyDescent="0.35">
      <c r="B389" s="26" t="s">
        <v>389</v>
      </c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</row>
    <row r="390" spans="2:40" x14ac:dyDescent="0.35">
      <c r="B390" t="s">
        <v>44</v>
      </c>
      <c r="C390" s="14">
        <v>0.61985340894896501</v>
      </c>
      <c r="D390" s="14">
        <v>0.65028383343749496</v>
      </c>
      <c r="E390" s="14">
        <v>0.586006158170016</v>
      </c>
      <c r="F390" s="14"/>
      <c r="G390" s="14">
        <v>0.61985340894896501</v>
      </c>
      <c r="H390" s="14" t="s">
        <v>76</v>
      </c>
      <c r="I390" s="14" t="s">
        <v>76</v>
      </c>
      <c r="J390" s="14"/>
      <c r="K390" s="14">
        <v>0.61985340894896501</v>
      </c>
      <c r="L390" s="14" t="s">
        <v>76</v>
      </c>
      <c r="M390" s="14" t="s">
        <v>76</v>
      </c>
      <c r="N390" s="14"/>
      <c r="O390" s="14">
        <v>0.59326825578958498</v>
      </c>
      <c r="P390" s="14">
        <v>0.86092564128715499</v>
      </c>
      <c r="Q390" s="14"/>
      <c r="R390" s="14">
        <v>0.715433777101255</v>
      </c>
      <c r="S390" s="14">
        <v>0.66641543290010796</v>
      </c>
      <c r="T390" s="14">
        <v>0.55942245938073998</v>
      </c>
      <c r="U390" s="14">
        <v>0.54861331418625103</v>
      </c>
      <c r="V390" s="14">
        <v>0.62409547525164499</v>
      </c>
      <c r="W390" s="14">
        <v>0.69445226638207702</v>
      </c>
      <c r="X390" s="14">
        <v>0.59361081702593299</v>
      </c>
      <c r="Y390" s="14">
        <v>0.50589987469335795</v>
      </c>
      <c r="Z390" s="14">
        <v>0.54405318592783702</v>
      </c>
      <c r="AA390" s="14"/>
      <c r="AB390" s="14" t="s">
        <v>76</v>
      </c>
      <c r="AC390" s="14" t="s">
        <v>76</v>
      </c>
      <c r="AD390" s="14" t="s">
        <v>76</v>
      </c>
      <c r="AE390" s="14" t="s">
        <v>76</v>
      </c>
      <c r="AF390" s="14"/>
      <c r="AG390" s="14" t="s">
        <v>76</v>
      </c>
      <c r="AH390" s="14" t="s">
        <v>76</v>
      </c>
      <c r="AI390" s="14"/>
      <c r="AJ390" s="14" t="s">
        <v>76</v>
      </c>
      <c r="AK390" s="14" t="s">
        <v>76</v>
      </c>
      <c r="AL390" s="14"/>
      <c r="AM390" s="14">
        <v>0.62997579375926904</v>
      </c>
      <c r="AN390" s="14">
        <v>0.61982388704198599</v>
      </c>
    </row>
    <row r="391" spans="2:40" x14ac:dyDescent="0.35">
      <c r="B391" t="s">
        <v>45</v>
      </c>
      <c r="C391" s="14">
        <v>0.26518593519801098</v>
      </c>
      <c r="D391" s="14">
        <v>0.23960152978787699</v>
      </c>
      <c r="E391" s="14">
        <v>0.29364304023358101</v>
      </c>
      <c r="F391" s="14"/>
      <c r="G391" s="14">
        <v>0.26518593519801098</v>
      </c>
      <c r="H391" s="14" t="s">
        <v>76</v>
      </c>
      <c r="I391" s="14" t="s">
        <v>76</v>
      </c>
      <c r="J391" s="14"/>
      <c r="K391" s="14">
        <v>0.26518593519801098</v>
      </c>
      <c r="L391" s="14" t="s">
        <v>76</v>
      </c>
      <c r="M391" s="14" t="s">
        <v>76</v>
      </c>
      <c r="N391" s="14"/>
      <c r="O391" s="14">
        <v>0.28523791784978197</v>
      </c>
      <c r="P391" s="14">
        <v>0.122168984995951</v>
      </c>
      <c r="Q391" s="14"/>
      <c r="R391" s="14">
        <v>0.22805093987216499</v>
      </c>
      <c r="S391" s="14">
        <v>0.249231289716738</v>
      </c>
      <c r="T391" s="14">
        <v>0.34018742760076298</v>
      </c>
      <c r="U391" s="14">
        <v>0.27172015246039499</v>
      </c>
      <c r="V391" s="14">
        <v>0.186309000830472</v>
      </c>
      <c r="W391" s="14">
        <v>0.223334726249833</v>
      </c>
      <c r="X391" s="14">
        <v>0.35566357463663001</v>
      </c>
      <c r="Y391" s="14">
        <v>0.33624204934735002</v>
      </c>
      <c r="Z391" s="14">
        <v>0.26717254492537201</v>
      </c>
      <c r="AA391" s="14"/>
      <c r="AB391" s="14" t="s">
        <v>76</v>
      </c>
      <c r="AC391" s="14" t="s">
        <v>76</v>
      </c>
      <c r="AD391" s="14" t="s">
        <v>76</v>
      </c>
      <c r="AE391" s="14" t="s">
        <v>76</v>
      </c>
      <c r="AF391" s="14"/>
      <c r="AG391" s="14" t="s">
        <v>76</v>
      </c>
      <c r="AH391" s="14" t="s">
        <v>76</v>
      </c>
      <c r="AI391" s="14"/>
      <c r="AJ391" s="14" t="s">
        <v>76</v>
      </c>
      <c r="AK391" s="14" t="s">
        <v>76</v>
      </c>
      <c r="AL391" s="14"/>
      <c r="AM391" s="14">
        <v>0.26852788413281897</v>
      </c>
      <c r="AN391" s="14">
        <v>0.25039521511600299</v>
      </c>
    </row>
    <row r="392" spans="2:40" x14ac:dyDescent="0.35">
      <c r="B392" t="s">
        <v>70</v>
      </c>
      <c r="C392" s="14">
        <v>0.11496065585302399</v>
      </c>
      <c r="D392" s="14">
        <v>0.110114636774628</v>
      </c>
      <c r="E392" s="14">
        <v>0.120350801596403</v>
      </c>
      <c r="F392" s="14"/>
      <c r="G392" s="14">
        <v>0.11496065585302399</v>
      </c>
      <c r="H392" s="14" t="s">
        <v>76</v>
      </c>
      <c r="I392" s="14" t="s">
        <v>76</v>
      </c>
      <c r="J392" s="14"/>
      <c r="K392" s="14">
        <v>0.11496065585302399</v>
      </c>
      <c r="L392" s="14" t="s">
        <v>76</v>
      </c>
      <c r="M392" s="14" t="s">
        <v>76</v>
      </c>
      <c r="N392" s="14"/>
      <c r="O392" s="14">
        <v>0.12149382636063299</v>
      </c>
      <c r="P392" s="14">
        <v>1.6905373716893698E-2</v>
      </c>
      <c r="Q392" s="14"/>
      <c r="R392" s="14">
        <v>5.6515283026580203E-2</v>
      </c>
      <c r="S392" s="14">
        <v>8.4353277383154499E-2</v>
      </c>
      <c r="T392" s="14">
        <v>0.100390113018497</v>
      </c>
      <c r="U392" s="14">
        <v>0.179666533353354</v>
      </c>
      <c r="V392" s="14">
        <v>0.18959552391788301</v>
      </c>
      <c r="W392" s="14">
        <v>8.2213007368090701E-2</v>
      </c>
      <c r="X392" s="14">
        <v>5.0725608337437E-2</v>
      </c>
      <c r="Y392" s="14">
        <v>0.15785807595929199</v>
      </c>
      <c r="Z392" s="14">
        <v>0.18877426914679099</v>
      </c>
      <c r="AA392" s="14"/>
      <c r="AB392" s="14" t="s">
        <v>76</v>
      </c>
      <c r="AC392" s="14" t="s">
        <v>76</v>
      </c>
      <c r="AD392" s="14" t="s">
        <v>76</v>
      </c>
      <c r="AE392" s="14" t="s">
        <v>76</v>
      </c>
      <c r="AF392" s="14"/>
      <c r="AG392" s="14" t="s">
        <v>76</v>
      </c>
      <c r="AH392" s="14" t="s">
        <v>76</v>
      </c>
      <c r="AI392" s="14"/>
      <c r="AJ392" s="14" t="s">
        <v>76</v>
      </c>
      <c r="AK392" s="14" t="s">
        <v>76</v>
      </c>
      <c r="AL392" s="14"/>
      <c r="AM392" s="14">
        <v>0.101496322107912</v>
      </c>
      <c r="AN392" s="14">
        <v>0.12978089784201099</v>
      </c>
    </row>
    <row r="393" spans="2:40" x14ac:dyDescent="0.35"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</row>
    <row r="394" spans="2:40" x14ac:dyDescent="0.35">
      <c r="B394" s="6" t="s">
        <v>178</v>
      </c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</row>
    <row r="395" spans="2:40" x14ac:dyDescent="0.35">
      <c r="B395" s="26" t="s">
        <v>395</v>
      </c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</row>
    <row r="396" spans="2:40" x14ac:dyDescent="0.35">
      <c r="B396" t="s">
        <v>155</v>
      </c>
      <c r="C396" s="14">
        <v>0.17384464860847501</v>
      </c>
      <c r="D396" s="14">
        <v>0.15554773955088799</v>
      </c>
      <c r="E396" s="14">
        <v>0.19642828617328001</v>
      </c>
      <c r="F396" s="14"/>
      <c r="G396" s="14">
        <v>0.17384464860847501</v>
      </c>
      <c r="H396" s="14" t="s">
        <v>76</v>
      </c>
      <c r="I396" s="14" t="s">
        <v>76</v>
      </c>
      <c r="J396" s="14"/>
      <c r="K396" s="14">
        <v>0.17384464860847501</v>
      </c>
      <c r="L396" s="14" t="s">
        <v>76</v>
      </c>
      <c r="M396" s="14" t="s">
        <v>76</v>
      </c>
      <c r="N396" s="14"/>
      <c r="O396" s="14">
        <v>0.13737278876094</v>
      </c>
      <c r="P396" s="14">
        <v>0.414063814098656</v>
      </c>
      <c r="Q396" s="14"/>
      <c r="R396" s="14">
        <v>0.221550447054469</v>
      </c>
      <c r="S396" s="14">
        <v>0.124812906884585</v>
      </c>
      <c r="T396" s="14">
        <v>4.0736895376021098E-2</v>
      </c>
      <c r="U396" s="14">
        <v>0.33365033382128001</v>
      </c>
      <c r="V396" s="14">
        <v>0.183247501560619</v>
      </c>
      <c r="W396" s="14">
        <v>0.19938024131245199</v>
      </c>
      <c r="X396" s="14">
        <v>0.18754437593102999</v>
      </c>
      <c r="Y396" s="14">
        <v>8.8474091030445498E-2</v>
      </c>
      <c r="Z396" s="14">
        <v>9.7627399350118604E-2</v>
      </c>
      <c r="AA396" s="14"/>
      <c r="AB396" s="14" t="s">
        <v>76</v>
      </c>
      <c r="AC396" s="14" t="s">
        <v>76</v>
      </c>
      <c r="AD396" s="14" t="s">
        <v>76</v>
      </c>
      <c r="AE396" s="14" t="s">
        <v>76</v>
      </c>
      <c r="AF396" s="14"/>
      <c r="AG396" s="14" t="s">
        <v>76</v>
      </c>
      <c r="AH396" s="14" t="s">
        <v>76</v>
      </c>
      <c r="AI396" s="14"/>
      <c r="AJ396" s="14" t="s">
        <v>76</v>
      </c>
      <c r="AK396" s="14" t="s">
        <v>76</v>
      </c>
      <c r="AL396" s="14"/>
      <c r="AM396" s="14">
        <v>0.19907355321945799</v>
      </c>
      <c r="AN396" s="14">
        <v>0.163690737167795</v>
      </c>
    </row>
    <row r="397" spans="2:40" x14ac:dyDescent="0.35">
      <c r="B397" t="s">
        <v>156</v>
      </c>
      <c r="C397" s="14">
        <v>0.50412345134365799</v>
      </c>
      <c r="D397" s="14">
        <v>0.54338937928222497</v>
      </c>
      <c r="E397" s="14">
        <v>0.45565802571251102</v>
      </c>
      <c r="F397" s="14"/>
      <c r="G397" s="14">
        <v>0.50412345134365799</v>
      </c>
      <c r="H397" s="14" t="s">
        <v>76</v>
      </c>
      <c r="I397" s="14" t="s">
        <v>76</v>
      </c>
      <c r="J397" s="14"/>
      <c r="K397" s="14">
        <v>0.50412345134365799</v>
      </c>
      <c r="L397" s="14" t="s">
        <v>76</v>
      </c>
      <c r="M397" s="14" t="s">
        <v>76</v>
      </c>
      <c r="N397" s="14"/>
      <c r="O397" s="14">
        <v>0.52079694129995702</v>
      </c>
      <c r="P397" s="14">
        <v>0.39417557830292499</v>
      </c>
      <c r="Q397" s="14"/>
      <c r="R397" s="14">
        <v>0.58716057204209304</v>
      </c>
      <c r="S397" s="14">
        <v>0.42726970958855098</v>
      </c>
      <c r="T397" s="14">
        <v>0.74270807709567099</v>
      </c>
      <c r="U397" s="14">
        <v>0.310440490959491</v>
      </c>
      <c r="V397" s="14">
        <v>0.57909645858282599</v>
      </c>
      <c r="W397" s="14">
        <v>0.47208845404769201</v>
      </c>
      <c r="X397" s="14">
        <v>0.32268336192228297</v>
      </c>
      <c r="Y397" s="14">
        <v>0.59949168272078301</v>
      </c>
      <c r="Z397" s="14">
        <v>0.53639542210634406</v>
      </c>
      <c r="AA397" s="14"/>
      <c r="AB397" s="14" t="s">
        <v>76</v>
      </c>
      <c r="AC397" s="14" t="s">
        <v>76</v>
      </c>
      <c r="AD397" s="14" t="s">
        <v>76</v>
      </c>
      <c r="AE397" s="14" t="s">
        <v>76</v>
      </c>
      <c r="AF397" s="14"/>
      <c r="AG397" s="14" t="s">
        <v>76</v>
      </c>
      <c r="AH397" s="14" t="s">
        <v>76</v>
      </c>
      <c r="AI397" s="14"/>
      <c r="AJ397" s="14" t="s">
        <v>76</v>
      </c>
      <c r="AK397" s="14" t="s">
        <v>76</v>
      </c>
      <c r="AL397" s="14"/>
      <c r="AM397" s="14">
        <v>0.50736969193664405</v>
      </c>
      <c r="AN397" s="14">
        <v>0.50831001206506699</v>
      </c>
    </row>
    <row r="398" spans="2:40" x14ac:dyDescent="0.35">
      <c r="B398" t="s">
        <v>157</v>
      </c>
      <c r="C398" s="14">
        <v>0.218920541728018</v>
      </c>
      <c r="D398" s="14">
        <v>0.20824867029762101</v>
      </c>
      <c r="E398" s="14">
        <v>0.23209269423551099</v>
      </c>
      <c r="F398" s="14"/>
      <c r="G398" s="14">
        <v>0.218920541728018</v>
      </c>
      <c r="H398" s="14" t="s">
        <v>76</v>
      </c>
      <c r="I398" s="14" t="s">
        <v>76</v>
      </c>
      <c r="J398" s="14"/>
      <c r="K398" s="14">
        <v>0.218920541728018</v>
      </c>
      <c r="L398" s="14" t="s">
        <v>76</v>
      </c>
      <c r="M398" s="14" t="s">
        <v>76</v>
      </c>
      <c r="N398" s="14"/>
      <c r="O398" s="14">
        <v>0.25016264507096903</v>
      </c>
      <c r="P398" s="14">
        <v>4.7193918558530397E-2</v>
      </c>
      <c r="Q398" s="14"/>
      <c r="R398" s="14">
        <v>0.105220190171564</v>
      </c>
      <c r="S398" s="14">
        <v>0.31363722381640702</v>
      </c>
      <c r="T398" s="14">
        <v>8.3703027434355995E-2</v>
      </c>
      <c r="U398" s="14">
        <v>0.28962407050028</v>
      </c>
      <c r="V398" s="14">
        <v>0.12976809961261501</v>
      </c>
      <c r="W398" s="14">
        <v>0.25019009203065401</v>
      </c>
      <c r="X398" s="14">
        <v>0.44008589236859502</v>
      </c>
      <c r="Y398" s="14">
        <v>8.3883759594765905E-2</v>
      </c>
      <c r="Z398" s="14">
        <v>0.237687759484107</v>
      </c>
      <c r="AA398" s="14"/>
      <c r="AB398" s="14" t="s">
        <v>76</v>
      </c>
      <c r="AC398" s="14" t="s">
        <v>76</v>
      </c>
      <c r="AD398" s="14" t="s">
        <v>76</v>
      </c>
      <c r="AE398" s="14" t="s">
        <v>76</v>
      </c>
      <c r="AF398" s="14"/>
      <c r="AG398" s="14" t="s">
        <v>76</v>
      </c>
      <c r="AH398" s="14" t="s">
        <v>76</v>
      </c>
      <c r="AI398" s="14"/>
      <c r="AJ398" s="14" t="s">
        <v>76</v>
      </c>
      <c r="AK398" s="14" t="s">
        <v>76</v>
      </c>
      <c r="AL398" s="14"/>
      <c r="AM398" s="14">
        <v>0.21646654643150701</v>
      </c>
      <c r="AN398" s="14">
        <v>0.19785796106956499</v>
      </c>
    </row>
    <row r="399" spans="2:40" x14ac:dyDescent="0.35">
      <c r="B399" t="s">
        <v>158</v>
      </c>
      <c r="C399" s="14">
        <v>8.1214457633871501E-2</v>
      </c>
      <c r="D399" s="14">
        <v>7.6317226682807104E-2</v>
      </c>
      <c r="E399" s="14">
        <v>8.7259046286626799E-2</v>
      </c>
      <c r="F399" s="14"/>
      <c r="G399" s="14">
        <v>8.1214457633871501E-2</v>
      </c>
      <c r="H399" s="14" t="s">
        <v>76</v>
      </c>
      <c r="I399" s="14" t="s">
        <v>76</v>
      </c>
      <c r="J399" s="14"/>
      <c r="K399" s="14">
        <v>8.1214457633871501E-2</v>
      </c>
      <c r="L399" s="14" t="s">
        <v>76</v>
      </c>
      <c r="M399" s="14" t="s">
        <v>76</v>
      </c>
      <c r="N399" s="14"/>
      <c r="O399" s="14">
        <v>6.5877676023964701E-2</v>
      </c>
      <c r="P399" s="14">
        <v>0.14456668903988901</v>
      </c>
      <c r="Q399" s="14"/>
      <c r="R399" s="14">
        <v>6.6917388427076396E-2</v>
      </c>
      <c r="S399" s="14">
        <v>9.8418068405784806E-2</v>
      </c>
      <c r="T399" s="14">
        <v>0.13285200009395201</v>
      </c>
      <c r="U399" s="14">
        <v>6.6285104718949703E-2</v>
      </c>
      <c r="V399" s="14">
        <v>7.1292394629985198E-2</v>
      </c>
      <c r="W399" s="14">
        <v>4.20277323034004E-2</v>
      </c>
      <c r="X399" s="14">
        <v>0</v>
      </c>
      <c r="Y399" s="14">
        <v>0.22815046665400601</v>
      </c>
      <c r="Z399" s="14">
        <v>0.128289419059431</v>
      </c>
      <c r="AA399" s="14"/>
      <c r="AB399" s="14" t="s">
        <v>76</v>
      </c>
      <c r="AC399" s="14" t="s">
        <v>76</v>
      </c>
      <c r="AD399" s="14" t="s">
        <v>76</v>
      </c>
      <c r="AE399" s="14" t="s">
        <v>76</v>
      </c>
      <c r="AF399" s="14"/>
      <c r="AG399" s="14" t="s">
        <v>76</v>
      </c>
      <c r="AH399" s="14" t="s">
        <v>76</v>
      </c>
      <c r="AI399" s="14"/>
      <c r="AJ399" s="14" t="s">
        <v>76</v>
      </c>
      <c r="AK399" s="14" t="s">
        <v>76</v>
      </c>
      <c r="AL399" s="14"/>
      <c r="AM399" s="14">
        <v>5.2757705425009002E-2</v>
      </c>
      <c r="AN399" s="14">
        <v>0.10158796025898301</v>
      </c>
    </row>
    <row r="400" spans="2:40" x14ac:dyDescent="0.35">
      <c r="B400" t="s">
        <v>70</v>
      </c>
      <c r="C400" s="14">
        <v>2.1896900685977699E-2</v>
      </c>
      <c r="D400" s="14">
        <v>1.6496984186458799E-2</v>
      </c>
      <c r="E400" s="14">
        <v>2.8561947592071299E-2</v>
      </c>
      <c r="F400" s="14"/>
      <c r="G400" s="14">
        <v>2.1896900685977699E-2</v>
      </c>
      <c r="H400" s="14" t="s">
        <v>76</v>
      </c>
      <c r="I400" s="14" t="s">
        <v>76</v>
      </c>
      <c r="J400" s="14"/>
      <c r="K400" s="14">
        <v>2.1896900685977699E-2</v>
      </c>
      <c r="L400" s="14" t="s">
        <v>76</v>
      </c>
      <c r="M400" s="14" t="s">
        <v>76</v>
      </c>
      <c r="N400" s="14"/>
      <c r="O400" s="14">
        <v>2.5789948844169599E-2</v>
      </c>
      <c r="P400" s="14">
        <v>0</v>
      </c>
      <c r="Q400" s="14"/>
      <c r="R400" s="14">
        <v>1.9151402304797598E-2</v>
      </c>
      <c r="S400" s="14">
        <v>3.5862091304671398E-2</v>
      </c>
      <c r="T400" s="14">
        <v>0</v>
      </c>
      <c r="U400" s="14">
        <v>0</v>
      </c>
      <c r="V400" s="14">
        <v>3.6595545613955303E-2</v>
      </c>
      <c r="W400" s="14">
        <v>3.6313480305801601E-2</v>
      </c>
      <c r="X400" s="14">
        <v>4.9686369778092702E-2</v>
      </c>
      <c r="Y400" s="14">
        <v>0</v>
      </c>
      <c r="Z400" s="14">
        <v>0</v>
      </c>
      <c r="AA400" s="14"/>
      <c r="AB400" s="14" t="s">
        <v>76</v>
      </c>
      <c r="AC400" s="14" t="s">
        <v>76</v>
      </c>
      <c r="AD400" s="14" t="s">
        <v>76</v>
      </c>
      <c r="AE400" s="14" t="s">
        <v>76</v>
      </c>
      <c r="AF400" s="14"/>
      <c r="AG400" s="14" t="s">
        <v>76</v>
      </c>
      <c r="AH400" s="14" t="s">
        <v>76</v>
      </c>
      <c r="AI400" s="14"/>
      <c r="AJ400" s="14" t="s">
        <v>76</v>
      </c>
      <c r="AK400" s="14" t="s">
        <v>76</v>
      </c>
      <c r="AL400" s="14"/>
      <c r="AM400" s="14">
        <v>2.4332502987382001E-2</v>
      </c>
      <c r="AN400" s="14">
        <v>2.8553329438590201E-2</v>
      </c>
    </row>
    <row r="401" spans="2:40" x14ac:dyDescent="0.35"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</row>
    <row r="402" spans="2:40" x14ac:dyDescent="0.35">
      <c r="B402" s="6" t="s">
        <v>180</v>
      </c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  <c r="AN402" s="14"/>
    </row>
    <row r="403" spans="2:40" x14ac:dyDescent="0.35">
      <c r="B403" s="26" t="s">
        <v>395</v>
      </c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  <c r="AN403" s="14"/>
    </row>
    <row r="404" spans="2:40" x14ac:dyDescent="0.35">
      <c r="B404" t="s">
        <v>160</v>
      </c>
      <c r="C404" s="14">
        <v>0.166295866617125</v>
      </c>
      <c r="D404" s="14">
        <v>0.20753211754777101</v>
      </c>
      <c r="E404" s="14">
        <v>0.11539849686915001</v>
      </c>
      <c r="F404" s="14"/>
      <c r="G404" s="14">
        <v>0.166295866617125</v>
      </c>
      <c r="H404" s="14" t="s">
        <v>76</v>
      </c>
      <c r="I404" s="14" t="s">
        <v>76</v>
      </c>
      <c r="J404" s="14"/>
      <c r="K404" s="14">
        <v>0.166295866617125</v>
      </c>
      <c r="L404" s="14" t="s">
        <v>76</v>
      </c>
      <c r="M404" s="14" t="s">
        <v>76</v>
      </c>
      <c r="N404" s="14"/>
      <c r="O404" s="14">
        <v>0.138323950083829</v>
      </c>
      <c r="P404" s="14">
        <v>0.35358218889894999</v>
      </c>
      <c r="Q404" s="14"/>
      <c r="R404" s="14">
        <v>0.26165369975972702</v>
      </c>
      <c r="S404" s="14">
        <v>0.1076831417162</v>
      </c>
      <c r="T404" s="14">
        <v>8.1473800837802299E-2</v>
      </c>
      <c r="U404" s="14">
        <v>0.16757788320146999</v>
      </c>
      <c r="V404" s="14">
        <v>0.149989793157257</v>
      </c>
      <c r="W404" s="14">
        <v>0.18564420616031099</v>
      </c>
      <c r="X404" s="14">
        <v>0.1020917256877</v>
      </c>
      <c r="Y404" s="14">
        <v>0.16776751918953201</v>
      </c>
      <c r="Z404" s="14">
        <v>0.18265465928461</v>
      </c>
      <c r="AA404" s="14"/>
      <c r="AB404" s="14" t="s">
        <v>76</v>
      </c>
      <c r="AC404" s="14" t="s">
        <v>76</v>
      </c>
      <c r="AD404" s="14" t="s">
        <v>76</v>
      </c>
      <c r="AE404" s="14" t="s">
        <v>76</v>
      </c>
      <c r="AF404" s="14"/>
      <c r="AG404" s="14" t="s">
        <v>76</v>
      </c>
      <c r="AH404" s="14" t="s">
        <v>76</v>
      </c>
      <c r="AI404" s="14"/>
      <c r="AJ404" s="14" t="s">
        <v>76</v>
      </c>
      <c r="AK404" s="14" t="s">
        <v>76</v>
      </c>
      <c r="AL404" s="14"/>
      <c r="AM404" s="14">
        <v>0.205226234722163</v>
      </c>
      <c r="AN404" s="14">
        <v>2.97924693269228E-2</v>
      </c>
    </row>
    <row r="405" spans="2:40" x14ac:dyDescent="0.35">
      <c r="B405" t="s">
        <v>161</v>
      </c>
      <c r="C405" s="14">
        <v>0.57583280430588901</v>
      </c>
      <c r="D405" s="14">
        <v>0.57773364472275701</v>
      </c>
      <c r="E405" s="14">
        <v>0.57348662163055497</v>
      </c>
      <c r="F405" s="14"/>
      <c r="G405" s="14">
        <v>0.57583280430588901</v>
      </c>
      <c r="H405" s="14" t="s">
        <v>76</v>
      </c>
      <c r="I405" s="14" t="s">
        <v>76</v>
      </c>
      <c r="J405" s="14"/>
      <c r="K405" s="14">
        <v>0.57583280430588901</v>
      </c>
      <c r="L405" s="14" t="s">
        <v>76</v>
      </c>
      <c r="M405" s="14" t="s">
        <v>76</v>
      </c>
      <c r="N405" s="14"/>
      <c r="O405" s="14">
        <v>0.581809694031587</v>
      </c>
      <c r="P405" s="14">
        <v>0.49984237498376499</v>
      </c>
      <c r="Q405" s="14"/>
      <c r="R405" s="14">
        <v>0.59789643471040299</v>
      </c>
      <c r="S405" s="14">
        <v>0.66105873414430005</v>
      </c>
      <c r="T405" s="14">
        <v>0.51528735403520798</v>
      </c>
      <c r="U405" s="14">
        <v>0.485770287034061</v>
      </c>
      <c r="V405" s="14">
        <v>0.59953746659959595</v>
      </c>
      <c r="W405" s="14">
        <v>0.630454112265597</v>
      </c>
      <c r="X405" s="14">
        <v>0.77335324013423301</v>
      </c>
      <c r="Y405" s="14">
        <v>0.46271003951372702</v>
      </c>
      <c r="Z405" s="14">
        <v>0.340294303761419</v>
      </c>
      <c r="AA405" s="14"/>
      <c r="AB405" s="14" t="s">
        <v>76</v>
      </c>
      <c r="AC405" s="14" t="s">
        <v>76</v>
      </c>
      <c r="AD405" s="14" t="s">
        <v>76</v>
      </c>
      <c r="AE405" s="14" t="s">
        <v>76</v>
      </c>
      <c r="AF405" s="14"/>
      <c r="AG405" s="14" t="s">
        <v>76</v>
      </c>
      <c r="AH405" s="14" t="s">
        <v>76</v>
      </c>
      <c r="AI405" s="14"/>
      <c r="AJ405" s="14" t="s">
        <v>76</v>
      </c>
      <c r="AK405" s="14" t="s">
        <v>76</v>
      </c>
      <c r="AL405" s="14"/>
      <c r="AM405" s="14">
        <v>0.59085558748922995</v>
      </c>
      <c r="AN405" s="14">
        <v>0.44136414017381698</v>
      </c>
    </row>
    <row r="406" spans="2:40" x14ac:dyDescent="0.35">
      <c r="B406" t="s">
        <v>162</v>
      </c>
      <c r="C406" s="14">
        <v>0.20889044437156101</v>
      </c>
      <c r="D406" s="14">
        <v>0.17051628586366999</v>
      </c>
      <c r="E406" s="14">
        <v>0.25625517055941099</v>
      </c>
      <c r="F406" s="14"/>
      <c r="G406" s="14">
        <v>0.20889044437156101</v>
      </c>
      <c r="H406" s="14" t="s">
        <v>76</v>
      </c>
      <c r="I406" s="14" t="s">
        <v>76</v>
      </c>
      <c r="J406" s="14"/>
      <c r="K406" s="14">
        <v>0.20889044437156101</v>
      </c>
      <c r="L406" s="14" t="s">
        <v>76</v>
      </c>
      <c r="M406" s="14" t="s">
        <v>76</v>
      </c>
      <c r="N406" s="14"/>
      <c r="O406" s="14">
        <v>0.22217716374681201</v>
      </c>
      <c r="P406" s="14">
        <v>0.14657543611728599</v>
      </c>
      <c r="Q406" s="14"/>
      <c r="R406" s="14">
        <v>0.14044986552987099</v>
      </c>
      <c r="S406" s="14">
        <v>0.15627321368845001</v>
      </c>
      <c r="T406" s="14">
        <v>0.33681284508001402</v>
      </c>
      <c r="U406" s="14">
        <v>0.28036672504551902</v>
      </c>
      <c r="V406" s="14">
        <v>0.21577589122711699</v>
      </c>
      <c r="W406" s="14">
        <v>0.16163179577949999</v>
      </c>
      <c r="X406" s="14">
        <v>0.124555034178068</v>
      </c>
      <c r="Y406" s="14">
        <v>0.225255734237501</v>
      </c>
      <c r="Z406" s="14">
        <v>0.35212279848217798</v>
      </c>
      <c r="AA406" s="14"/>
      <c r="AB406" s="14" t="s">
        <v>76</v>
      </c>
      <c r="AC406" s="14" t="s">
        <v>76</v>
      </c>
      <c r="AD406" s="14" t="s">
        <v>76</v>
      </c>
      <c r="AE406" s="14" t="s">
        <v>76</v>
      </c>
      <c r="AF406" s="14"/>
      <c r="AG406" s="14" t="s">
        <v>76</v>
      </c>
      <c r="AH406" s="14" t="s">
        <v>76</v>
      </c>
      <c r="AI406" s="14"/>
      <c r="AJ406" s="14" t="s">
        <v>76</v>
      </c>
      <c r="AK406" s="14" t="s">
        <v>76</v>
      </c>
      <c r="AL406" s="14"/>
      <c r="AM406" s="14">
        <v>0.16605068223515301</v>
      </c>
      <c r="AN406" s="14">
        <v>0.45800578773490402</v>
      </c>
    </row>
    <row r="407" spans="2:40" x14ac:dyDescent="0.35">
      <c r="B407" t="s">
        <v>163</v>
      </c>
      <c r="C407" s="14">
        <v>3.0258180351827601E-2</v>
      </c>
      <c r="D407" s="14">
        <v>3.1639647289045898E-2</v>
      </c>
      <c r="E407" s="14">
        <v>2.8553053626886999E-2</v>
      </c>
      <c r="F407" s="14"/>
      <c r="G407" s="14">
        <v>3.0258180351827601E-2</v>
      </c>
      <c r="H407" s="14" t="s">
        <v>76</v>
      </c>
      <c r="I407" s="14" t="s">
        <v>76</v>
      </c>
      <c r="J407" s="14"/>
      <c r="K407" s="14">
        <v>3.0258180351827601E-2</v>
      </c>
      <c r="L407" s="14" t="s">
        <v>76</v>
      </c>
      <c r="M407" s="14" t="s">
        <v>76</v>
      </c>
      <c r="N407" s="14"/>
      <c r="O407" s="14">
        <v>3.5637779728845999E-2</v>
      </c>
      <c r="P407" s="14">
        <v>0</v>
      </c>
      <c r="Q407" s="14"/>
      <c r="R407" s="14">
        <v>0</v>
      </c>
      <c r="S407" s="14">
        <v>3.9122819146378301E-2</v>
      </c>
      <c r="T407" s="14">
        <v>6.6426000046975797E-2</v>
      </c>
      <c r="U407" s="14">
        <v>0</v>
      </c>
      <c r="V407" s="14">
        <v>3.4696849016029901E-2</v>
      </c>
      <c r="W407" s="14">
        <v>0</v>
      </c>
      <c r="X407" s="14">
        <v>0</v>
      </c>
      <c r="Y407" s="14">
        <v>0.14426670705924</v>
      </c>
      <c r="Z407" s="14">
        <v>8.6854958945624297E-2</v>
      </c>
      <c r="AA407" s="14"/>
      <c r="AB407" s="14" t="s">
        <v>76</v>
      </c>
      <c r="AC407" s="14" t="s">
        <v>76</v>
      </c>
      <c r="AD407" s="14" t="s">
        <v>76</v>
      </c>
      <c r="AE407" s="14" t="s">
        <v>76</v>
      </c>
      <c r="AF407" s="14"/>
      <c r="AG407" s="14" t="s">
        <v>76</v>
      </c>
      <c r="AH407" s="14" t="s">
        <v>76</v>
      </c>
      <c r="AI407" s="14"/>
      <c r="AJ407" s="14" t="s">
        <v>76</v>
      </c>
      <c r="AK407" s="14" t="s">
        <v>76</v>
      </c>
      <c r="AL407" s="14"/>
      <c r="AM407" s="14">
        <v>1.2132771417218999E-2</v>
      </c>
      <c r="AN407" s="14">
        <v>7.0837602764356203E-2</v>
      </c>
    </row>
    <row r="408" spans="2:40" x14ac:dyDescent="0.35">
      <c r="B408" t="s">
        <v>70</v>
      </c>
      <c r="C408" s="14">
        <v>1.8722704353597599E-2</v>
      </c>
      <c r="D408" s="14">
        <v>1.2578304576756299E-2</v>
      </c>
      <c r="E408" s="14">
        <v>2.6306657313997301E-2</v>
      </c>
      <c r="F408" s="14"/>
      <c r="G408" s="14">
        <v>1.8722704353597599E-2</v>
      </c>
      <c r="H408" s="14" t="s">
        <v>76</v>
      </c>
      <c r="I408" s="14" t="s">
        <v>76</v>
      </c>
      <c r="J408" s="14"/>
      <c r="K408" s="14">
        <v>1.8722704353597599E-2</v>
      </c>
      <c r="L408" s="14" t="s">
        <v>76</v>
      </c>
      <c r="M408" s="14" t="s">
        <v>76</v>
      </c>
      <c r="N408" s="14"/>
      <c r="O408" s="14">
        <v>2.2051412408926201E-2</v>
      </c>
      <c r="P408" s="14">
        <v>0</v>
      </c>
      <c r="Q408" s="14"/>
      <c r="R408" s="14">
        <v>0</v>
      </c>
      <c r="S408" s="14">
        <v>3.5862091304671398E-2</v>
      </c>
      <c r="T408" s="14">
        <v>0</v>
      </c>
      <c r="U408" s="14">
        <v>6.6285104718949703E-2</v>
      </c>
      <c r="V408" s="14">
        <v>0</v>
      </c>
      <c r="W408" s="14">
        <v>2.2269885794592301E-2</v>
      </c>
      <c r="X408" s="14">
        <v>0</v>
      </c>
      <c r="Y408" s="14">
        <v>0</v>
      </c>
      <c r="Z408" s="14">
        <v>3.8073279526169498E-2</v>
      </c>
      <c r="AA408" s="14"/>
      <c r="AB408" s="14" t="s">
        <v>76</v>
      </c>
      <c r="AC408" s="14" t="s">
        <v>76</v>
      </c>
      <c r="AD408" s="14" t="s">
        <v>76</v>
      </c>
      <c r="AE408" s="14" t="s">
        <v>76</v>
      </c>
      <c r="AF408" s="14"/>
      <c r="AG408" s="14" t="s">
        <v>76</v>
      </c>
      <c r="AH408" s="14" t="s">
        <v>76</v>
      </c>
      <c r="AI408" s="14"/>
      <c r="AJ408" s="14" t="s">
        <v>76</v>
      </c>
      <c r="AK408" s="14" t="s">
        <v>76</v>
      </c>
      <c r="AL408" s="14"/>
      <c r="AM408" s="14">
        <v>2.5734724136234299E-2</v>
      </c>
      <c r="AN408" s="14">
        <v>0</v>
      </c>
    </row>
    <row r="409" spans="2:40" x14ac:dyDescent="0.35">
      <c r="B409" t="s">
        <v>164</v>
      </c>
      <c r="C409" s="14">
        <v>0.74212867092301404</v>
      </c>
      <c r="D409" s="14">
        <v>0.78526576227052802</v>
      </c>
      <c r="E409" s="14">
        <v>0.68888511849970502</v>
      </c>
      <c r="F409" s="14"/>
      <c r="G409" s="14">
        <v>0.74212867092301404</v>
      </c>
      <c r="H409" s="14" t="s">
        <v>76</v>
      </c>
      <c r="I409" s="14" t="s">
        <v>76</v>
      </c>
      <c r="J409" s="14"/>
      <c r="K409" s="14">
        <v>0.74212867092301404</v>
      </c>
      <c r="L409" s="14" t="s">
        <v>76</v>
      </c>
      <c r="M409" s="14" t="s">
        <v>76</v>
      </c>
      <c r="N409" s="14"/>
      <c r="O409" s="14">
        <v>0.72013364411541603</v>
      </c>
      <c r="P409" s="14">
        <v>0.85342456388271404</v>
      </c>
      <c r="Q409" s="14"/>
      <c r="R409" s="14">
        <v>0.85955013447012896</v>
      </c>
      <c r="S409" s="14">
        <v>0.76874187586050102</v>
      </c>
      <c r="T409" s="14">
        <v>0.59676115487300996</v>
      </c>
      <c r="U409" s="14">
        <v>0.65334817023553104</v>
      </c>
      <c r="V409" s="14">
        <v>0.74952725975685297</v>
      </c>
      <c r="W409" s="14">
        <v>0.81609831842590796</v>
      </c>
      <c r="X409" s="14">
        <v>0.87544496582193199</v>
      </c>
      <c r="Y409" s="14">
        <v>0.63047755870325894</v>
      </c>
      <c r="Z409" s="14">
        <v>0.522948963046028</v>
      </c>
      <c r="AA409" s="14"/>
      <c r="AB409" s="14" t="s">
        <v>76</v>
      </c>
      <c r="AC409" s="14" t="s">
        <v>76</v>
      </c>
      <c r="AD409" s="14" t="s">
        <v>76</v>
      </c>
      <c r="AE409" s="14" t="s">
        <v>76</v>
      </c>
      <c r="AF409" s="14"/>
      <c r="AG409" s="14" t="s">
        <v>76</v>
      </c>
      <c r="AH409" s="14" t="s">
        <v>76</v>
      </c>
      <c r="AI409" s="14"/>
      <c r="AJ409" s="14" t="s">
        <v>76</v>
      </c>
      <c r="AK409" s="14" t="s">
        <v>76</v>
      </c>
      <c r="AL409" s="14"/>
      <c r="AM409" s="14">
        <v>0.79608182221139401</v>
      </c>
      <c r="AN409" s="14">
        <v>0.47115660950074001</v>
      </c>
    </row>
    <row r="410" spans="2:40" x14ac:dyDescent="0.35"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/>
    </row>
    <row r="411" spans="2:40" x14ac:dyDescent="0.35">
      <c r="B411" s="6" t="s">
        <v>181</v>
      </c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  <c r="AN411" s="14"/>
    </row>
    <row r="412" spans="2:40" x14ac:dyDescent="0.35">
      <c r="B412" s="26" t="s">
        <v>395</v>
      </c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</row>
    <row r="413" spans="2:40" x14ac:dyDescent="0.35">
      <c r="B413" t="s">
        <v>166</v>
      </c>
      <c r="C413" s="14">
        <v>0.19623131427948101</v>
      </c>
      <c r="D413" s="14">
        <v>0.220514098311342</v>
      </c>
      <c r="E413" s="14">
        <v>0.16625938886224301</v>
      </c>
      <c r="F413" s="14"/>
      <c r="G413" s="14">
        <v>0.19623131427948101</v>
      </c>
      <c r="H413" s="14" t="s">
        <v>76</v>
      </c>
      <c r="I413" s="14" t="s">
        <v>76</v>
      </c>
      <c r="J413" s="14"/>
      <c r="K413" s="14">
        <v>0.19623131427948101</v>
      </c>
      <c r="L413" s="14" t="s">
        <v>76</v>
      </c>
      <c r="M413" s="14" t="s">
        <v>76</v>
      </c>
      <c r="N413" s="14"/>
      <c r="O413" s="14">
        <v>0.17495616362076599</v>
      </c>
      <c r="P413" s="14">
        <v>0.34513528997250398</v>
      </c>
      <c r="Q413" s="14"/>
      <c r="R413" s="14">
        <v>0.27611175288838402</v>
      </c>
      <c r="S413" s="14">
        <v>0.10654208860606899</v>
      </c>
      <c r="T413" s="14">
        <v>0.19546992858241</v>
      </c>
      <c r="U413" s="14">
        <v>0.233862985873109</v>
      </c>
      <c r="V413" s="14">
        <v>0.19063849883174799</v>
      </c>
      <c r="W413" s="14">
        <v>0.206695428296641</v>
      </c>
      <c r="X413" s="14">
        <v>0.22331063011380201</v>
      </c>
      <c r="Y413" s="14">
        <v>0.15357053957171099</v>
      </c>
      <c r="Z413" s="14">
        <v>0.122844803066954</v>
      </c>
      <c r="AA413" s="14"/>
      <c r="AB413" s="14" t="s">
        <v>76</v>
      </c>
      <c r="AC413" s="14" t="s">
        <v>76</v>
      </c>
      <c r="AD413" s="14" t="s">
        <v>76</v>
      </c>
      <c r="AE413" s="14" t="s">
        <v>76</v>
      </c>
      <c r="AF413" s="14"/>
      <c r="AG413" s="14" t="s">
        <v>76</v>
      </c>
      <c r="AH413" s="14" t="s">
        <v>76</v>
      </c>
      <c r="AI413" s="14"/>
      <c r="AJ413" s="14" t="s">
        <v>76</v>
      </c>
      <c r="AK413" s="14" t="s">
        <v>76</v>
      </c>
      <c r="AL413" s="14"/>
      <c r="AM413" s="14">
        <v>0.24731068750473401</v>
      </c>
      <c r="AN413" s="14">
        <v>2.97924693269228E-2</v>
      </c>
    </row>
    <row r="414" spans="2:40" x14ac:dyDescent="0.35">
      <c r="B414" t="s">
        <v>167</v>
      </c>
      <c r="C414" s="14">
        <v>0.53478266032027899</v>
      </c>
      <c r="D414" s="14">
        <v>0.54309858077748996</v>
      </c>
      <c r="E414" s="14">
        <v>0.52451842754564304</v>
      </c>
      <c r="F414" s="14"/>
      <c r="G414" s="14">
        <v>0.53478266032027899</v>
      </c>
      <c r="H414" s="14" t="s">
        <v>76</v>
      </c>
      <c r="I414" s="14" t="s">
        <v>76</v>
      </c>
      <c r="J414" s="14"/>
      <c r="K414" s="14">
        <v>0.53478266032027899</v>
      </c>
      <c r="L414" s="14" t="s">
        <v>76</v>
      </c>
      <c r="M414" s="14" t="s">
        <v>76</v>
      </c>
      <c r="N414" s="14"/>
      <c r="O414" s="14">
        <v>0.54493245375418997</v>
      </c>
      <c r="P414" s="14">
        <v>0.467762243699193</v>
      </c>
      <c r="Q414" s="14"/>
      <c r="R414" s="14">
        <v>0.59312660130506201</v>
      </c>
      <c r="S414" s="14">
        <v>0.49235561109651599</v>
      </c>
      <c r="T414" s="14">
        <v>0.30368449567203698</v>
      </c>
      <c r="U414" s="14">
        <v>0.48233119790047402</v>
      </c>
      <c r="V414" s="14">
        <v>0.502311759424933</v>
      </c>
      <c r="W414" s="14">
        <v>0.55286701987568698</v>
      </c>
      <c r="X414" s="14">
        <v>0.64598391229522301</v>
      </c>
      <c r="Y414" s="14">
        <v>0.565381138140995</v>
      </c>
      <c r="Z414" s="14">
        <v>0.60454015031504404</v>
      </c>
      <c r="AA414" s="14"/>
      <c r="AB414" s="14" t="s">
        <v>76</v>
      </c>
      <c r="AC414" s="14" t="s">
        <v>76</v>
      </c>
      <c r="AD414" s="14" t="s">
        <v>76</v>
      </c>
      <c r="AE414" s="14" t="s">
        <v>76</v>
      </c>
      <c r="AF414" s="14"/>
      <c r="AG414" s="14" t="s">
        <v>76</v>
      </c>
      <c r="AH414" s="14" t="s">
        <v>76</v>
      </c>
      <c r="AI414" s="14"/>
      <c r="AJ414" s="14" t="s">
        <v>76</v>
      </c>
      <c r="AK414" s="14" t="s">
        <v>76</v>
      </c>
      <c r="AL414" s="14"/>
      <c r="AM414" s="14">
        <v>0.56287920928966195</v>
      </c>
      <c r="AN414" s="14">
        <v>0.43945270778769702</v>
      </c>
    </row>
    <row r="415" spans="2:40" x14ac:dyDescent="0.35">
      <c r="B415" t="s">
        <v>168</v>
      </c>
      <c r="C415" s="14">
        <v>0.19425087968656601</v>
      </c>
      <c r="D415" s="14">
        <v>0.16803729299749501</v>
      </c>
      <c r="E415" s="14">
        <v>0.226605969783824</v>
      </c>
      <c r="F415" s="14"/>
      <c r="G415" s="14">
        <v>0.19425087968656601</v>
      </c>
      <c r="H415" s="14" t="s">
        <v>76</v>
      </c>
      <c r="I415" s="14" t="s">
        <v>76</v>
      </c>
      <c r="J415" s="14"/>
      <c r="K415" s="14">
        <v>0.19425087968656601</v>
      </c>
      <c r="L415" s="14" t="s">
        <v>76</v>
      </c>
      <c r="M415" s="14" t="s">
        <v>76</v>
      </c>
      <c r="N415" s="14"/>
      <c r="O415" s="14">
        <v>0.21124063106038601</v>
      </c>
      <c r="P415" s="14">
        <v>0.10782483701595499</v>
      </c>
      <c r="Q415" s="14"/>
      <c r="R415" s="14">
        <v>0.11161024636686399</v>
      </c>
      <c r="S415" s="14">
        <v>0.30412431909355597</v>
      </c>
      <c r="T415" s="14">
        <v>0.352945784946534</v>
      </c>
      <c r="U415" s="14">
        <v>0.14547704189949701</v>
      </c>
      <c r="V415" s="14">
        <v>0.20295919084052599</v>
      </c>
      <c r="W415" s="14">
        <v>0.24043755182767201</v>
      </c>
      <c r="X415" s="14">
        <v>0.13070545759097499</v>
      </c>
      <c r="Y415" s="14">
        <v>0.13678161522805499</v>
      </c>
      <c r="Z415" s="14">
        <v>0.14381933253936799</v>
      </c>
      <c r="AA415" s="14"/>
      <c r="AB415" s="14" t="s">
        <v>76</v>
      </c>
      <c r="AC415" s="14" t="s">
        <v>76</v>
      </c>
      <c r="AD415" s="14" t="s">
        <v>76</v>
      </c>
      <c r="AE415" s="14" t="s">
        <v>76</v>
      </c>
      <c r="AF415" s="14"/>
      <c r="AG415" s="14" t="s">
        <v>76</v>
      </c>
      <c r="AH415" s="14" t="s">
        <v>76</v>
      </c>
      <c r="AI415" s="14"/>
      <c r="AJ415" s="14" t="s">
        <v>76</v>
      </c>
      <c r="AK415" s="14" t="s">
        <v>76</v>
      </c>
      <c r="AL415" s="14"/>
      <c r="AM415" s="14">
        <v>0.1746126331683</v>
      </c>
      <c r="AN415" s="14">
        <v>0.23136800236504801</v>
      </c>
    </row>
    <row r="416" spans="2:40" x14ac:dyDescent="0.35">
      <c r="B416" t="s">
        <v>169</v>
      </c>
      <c r="C416" s="14">
        <v>6.3770075783524102E-2</v>
      </c>
      <c r="D416" s="14">
        <v>5.8108409832994597E-2</v>
      </c>
      <c r="E416" s="14">
        <v>7.0758196642480703E-2</v>
      </c>
      <c r="F416" s="14"/>
      <c r="G416" s="14">
        <v>6.3770075783524102E-2</v>
      </c>
      <c r="H416" s="14" t="s">
        <v>76</v>
      </c>
      <c r="I416" s="14" t="s">
        <v>76</v>
      </c>
      <c r="J416" s="14"/>
      <c r="K416" s="14">
        <v>6.3770075783524102E-2</v>
      </c>
      <c r="L416" s="14" t="s">
        <v>76</v>
      </c>
      <c r="M416" s="14" t="s">
        <v>76</v>
      </c>
      <c r="N416" s="14"/>
      <c r="O416" s="14">
        <v>6.2207079598754898E-2</v>
      </c>
      <c r="P416" s="14">
        <v>7.92776293123479E-2</v>
      </c>
      <c r="Q416" s="14"/>
      <c r="R416" s="14">
        <v>1.9151399439689899E-2</v>
      </c>
      <c r="S416" s="14">
        <v>6.1115883286263897E-2</v>
      </c>
      <c r="T416" s="14">
        <v>8.14737907520421E-2</v>
      </c>
      <c r="U416" s="14">
        <v>0.13832877432692001</v>
      </c>
      <c r="V416" s="14">
        <v>0.104090550902793</v>
      </c>
      <c r="W416" s="14">
        <v>0</v>
      </c>
      <c r="X416" s="14">
        <v>0</v>
      </c>
      <c r="Y416" s="14">
        <v>0.14426670705924</v>
      </c>
      <c r="Z416" s="14">
        <v>0.12879571407863499</v>
      </c>
      <c r="AA416" s="14"/>
      <c r="AB416" s="14" t="s">
        <v>76</v>
      </c>
      <c r="AC416" s="14" t="s">
        <v>76</v>
      </c>
      <c r="AD416" s="14" t="s">
        <v>76</v>
      </c>
      <c r="AE416" s="14" t="s">
        <v>76</v>
      </c>
      <c r="AF416" s="14"/>
      <c r="AG416" s="14" t="s">
        <v>76</v>
      </c>
      <c r="AH416" s="14" t="s">
        <v>76</v>
      </c>
      <c r="AI416" s="14"/>
      <c r="AJ416" s="14" t="s">
        <v>76</v>
      </c>
      <c r="AK416" s="14" t="s">
        <v>76</v>
      </c>
      <c r="AL416" s="14"/>
      <c r="AM416" s="14">
        <v>1.5197470037303901E-2</v>
      </c>
      <c r="AN416" s="14">
        <v>0.299386820520333</v>
      </c>
    </row>
    <row r="417" spans="2:40" x14ac:dyDescent="0.35">
      <c r="B417" t="s">
        <v>70</v>
      </c>
      <c r="C417" s="14">
        <v>1.0965069930150201E-2</v>
      </c>
      <c r="D417" s="14">
        <v>1.02416180806772E-2</v>
      </c>
      <c r="E417" s="14">
        <v>1.18580171658097E-2</v>
      </c>
      <c r="F417" s="14"/>
      <c r="G417" s="14">
        <v>1.0965069930150201E-2</v>
      </c>
      <c r="H417" s="14" t="s">
        <v>76</v>
      </c>
      <c r="I417" s="14" t="s">
        <v>76</v>
      </c>
      <c r="J417" s="14"/>
      <c r="K417" s="14">
        <v>1.0965069930150201E-2</v>
      </c>
      <c r="L417" s="14" t="s">
        <v>76</v>
      </c>
      <c r="M417" s="14" t="s">
        <v>76</v>
      </c>
      <c r="N417" s="14"/>
      <c r="O417" s="14">
        <v>6.6636719659028901E-3</v>
      </c>
      <c r="P417" s="14">
        <v>0</v>
      </c>
      <c r="Q417" s="14"/>
      <c r="R417" s="14">
        <v>0</v>
      </c>
      <c r="S417" s="14">
        <v>3.5862097917594898E-2</v>
      </c>
      <c r="T417" s="14">
        <v>6.6426000046975797E-2</v>
      </c>
      <c r="U417" s="14">
        <v>0</v>
      </c>
      <c r="V417" s="14">
        <v>0</v>
      </c>
      <c r="W417" s="14">
        <v>0</v>
      </c>
      <c r="X417" s="14">
        <v>0</v>
      </c>
      <c r="Y417" s="14">
        <v>0</v>
      </c>
      <c r="Z417" s="14">
        <v>0</v>
      </c>
      <c r="AA417" s="14"/>
      <c r="AB417" s="14" t="s">
        <v>76</v>
      </c>
      <c r="AC417" s="14" t="s">
        <v>76</v>
      </c>
      <c r="AD417" s="14" t="s">
        <v>76</v>
      </c>
      <c r="AE417" s="14" t="s">
        <v>76</v>
      </c>
      <c r="AF417" s="14"/>
      <c r="AG417" s="14" t="s">
        <v>76</v>
      </c>
      <c r="AH417" s="14" t="s">
        <v>76</v>
      </c>
      <c r="AI417" s="14"/>
      <c r="AJ417" s="14" t="s">
        <v>76</v>
      </c>
      <c r="AK417" s="14" t="s">
        <v>76</v>
      </c>
      <c r="AL417" s="14"/>
      <c r="AM417" s="14">
        <v>0</v>
      </c>
      <c r="AN417" s="14">
        <v>0</v>
      </c>
    </row>
    <row r="418" spans="2:40" x14ac:dyDescent="0.35"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  <c r="AN418" s="14"/>
    </row>
    <row r="419" spans="2:40" x14ac:dyDescent="0.35">
      <c r="B419" s="6" t="s">
        <v>182</v>
      </c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</row>
    <row r="420" spans="2:40" x14ac:dyDescent="0.35">
      <c r="B420" s="26" t="s">
        <v>389</v>
      </c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/>
    </row>
    <row r="421" spans="2:40" x14ac:dyDescent="0.35">
      <c r="B421" t="s">
        <v>44</v>
      </c>
      <c r="C421" s="14">
        <v>0.88432035563755995</v>
      </c>
      <c r="D421" s="14">
        <v>0.88294152592920605</v>
      </c>
      <c r="E421" s="14">
        <v>0.88586105853236197</v>
      </c>
      <c r="F421" s="14"/>
      <c r="G421" s="14">
        <v>0.88432035563755995</v>
      </c>
      <c r="H421" s="14" t="s">
        <v>76</v>
      </c>
      <c r="I421" s="14" t="s">
        <v>76</v>
      </c>
      <c r="J421" s="14"/>
      <c r="K421" s="14">
        <v>0.88432035563755995</v>
      </c>
      <c r="L421" s="14" t="s">
        <v>76</v>
      </c>
      <c r="M421" s="14" t="s">
        <v>76</v>
      </c>
      <c r="N421" s="14"/>
      <c r="O421" s="14">
        <v>0.87836435258291601</v>
      </c>
      <c r="P421" s="14">
        <v>0.95705990376997596</v>
      </c>
      <c r="Q421" s="14"/>
      <c r="R421" s="14">
        <v>0.96803710979103896</v>
      </c>
      <c r="S421" s="14">
        <v>0.89205690598264897</v>
      </c>
      <c r="T421" s="14">
        <v>0.90308552194398595</v>
      </c>
      <c r="U421" s="14">
        <v>0.94800710443566105</v>
      </c>
      <c r="V421" s="14">
        <v>0.89080159486190102</v>
      </c>
      <c r="W421" s="14">
        <v>0.83207880119276001</v>
      </c>
      <c r="X421" s="14">
        <v>0.73195607835086895</v>
      </c>
      <c r="Y421" s="14">
        <v>0.79040103575116205</v>
      </c>
      <c r="Z421" s="14">
        <v>0.88436446726994</v>
      </c>
      <c r="AA421" s="14"/>
      <c r="AB421" s="14" t="s">
        <v>76</v>
      </c>
      <c r="AC421" s="14" t="s">
        <v>76</v>
      </c>
      <c r="AD421" s="14" t="s">
        <v>76</v>
      </c>
      <c r="AE421" s="14" t="s">
        <v>76</v>
      </c>
      <c r="AF421" s="14"/>
      <c r="AG421" s="14" t="s">
        <v>76</v>
      </c>
      <c r="AH421" s="14" t="s">
        <v>76</v>
      </c>
      <c r="AI421" s="14"/>
      <c r="AJ421" s="14" t="s">
        <v>76</v>
      </c>
      <c r="AK421" s="14" t="s">
        <v>76</v>
      </c>
      <c r="AL421" s="14"/>
      <c r="AM421" s="14">
        <v>0.89783445532199402</v>
      </c>
      <c r="AN421" s="14">
        <v>0.91132913760557499</v>
      </c>
    </row>
    <row r="422" spans="2:40" x14ac:dyDescent="0.35">
      <c r="B422" t="s">
        <v>45</v>
      </c>
      <c r="C422" s="14">
        <v>9.3427625331993697E-2</v>
      </c>
      <c r="D422" s="14">
        <v>8.7797899381467398E-2</v>
      </c>
      <c r="E422" s="14">
        <v>9.9718275305925905E-2</v>
      </c>
      <c r="F422" s="14"/>
      <c r="G422" s="14">
        <v>9.3427625331993697E-2</v>
      </c>
      <c r="H422" s="14" t="s">
        <v>76</v>
      </c>
      <c r="I422" s="14" t="s">
        <v>76</v>
      </c>
      <c r="J422" s="14"/>
      <c r="K422" s="14">
        <v>9.3427625331993697E-2</v>
      </c>
      <c r="L422" s="14" t="s">
        <v>76</v>
      </c>
      <c r="M422" s="14" t="s">
        <v>76</v>
      </c>
      <c r="N422" s="14"/>
      <c r="O422" s="14">
        <v>9.6737728440575294E-2</v>
      </c>
      <c r="P422" s="14">
        <v>4.2940096230024198E-2</v>
      </c>
      <c r="Q422" s="14"/>
      <c r="R422" s="14">
        <v>1.9408771214514099E-2</v>
      </c>
      <c r="S422" s="14">
        <v>0.10794309401735</v>
      </c>
      <c r="T422" s="14">
        <v>7.8683569031819695E-2</v>
      </c>
      <c r="U422" s="14">
        <v>5.1992895564339198E-2</v>
      </c>
      <c r="V422" s="14">
        <v>9.2841794735396901E-2</v>
      </c>
      <c r="W422" s="14">
        <v>0.122797124820562</v>
      </c>
      <c r="X422" s="14">
        <v>0.17789565585302999</v>
      </c>
      <c r="Y422" s="14">
        <v>0.209598964248838</v>
      </c>
      <c r="Z422" s="14">
        <v>9.2637209502012E-2</v>
      </c>
      <c r="AA422" s="14"/>
      <c r="AB422" s="14" t="s">
        <v>76</v>
      </c>
      <c r="AC422" s="14" t="s">
        <v>76</v>
      </c>
      <c r="AD422" s="14" t="s">
        <v>76</v>
      </c>
      <c r="AE422" s="14" t="s">
        <v>76</v>
      </c>
      <c r="AF422" s="14"/>
      <c r="AG422" s="14" t="s">
        <v>76</v>
      </c>
      <c r="AH422" s="14" t="s">
        <v>76</v>
      </c>
      <c r="AI422" s="14"/>
      <c r="AJ422" s="14" t="s">
        <v>76</v>
      </c>
      <c r="AK422" s="14" t="s">
        <v>76</v>
      </c>
      <c r="AL422" s="14"/>
      <c r="AM422" s="14">
        <v>9.3673830318463297E-2</v>
      </c>
      <c r="AN422" s="14">
        <v>7.4834758606220395E-2</v>
      </c>
    </row>
    <row r="423" spans="2:40" x14ac:dyDescent="0.35">
      <c r="B423" t="s">
        <v>70</v>
      </c>
      <c r="C423" s="14">
        <v>2.2252019030446098E-2</v>
      </c>
      <c r="D423" s="14">
        <v>2.9260574689326298E-2</v>
      </c>
      <c r="E423" s="14">
        <v>1.44206661617126E-2</v>
      </c>
      <c r="F423" s="14"/>
      <c r="G423" s="14">
        <v>2.2252019030446098E-2</v>
      </c>
      <c r="H423" s="14" t="s">
        <v>76</v>
      </c>
      <c r="I423" s="14" t="s">
        <v>76</v>
      </c>
      <c r="J423" s="14"/>
      <c r="K423" s="14">
        <v>2.2252019030446098E-2</v>
      </c>
      <c r="L423" s="14" t="s">
        <v>76</v>
      </c>
      <c r="M423" s="14" t="s">
        <v>76</v>
      </c>
      <c r="N423" s="14"/>
      <c r="O423" s="14">
        <v>2.4897918976509E-2</v>
      </c>
      <c r="P423" s="14">
        <v>0</v>
      </c>
      <c r="Q423" s="14"/>
      <c r="R423" s="14">
        <v>1.25541189944475E-2</v>
      </c>
      <c r="S423" s="14">
        <v>0</v>
      </c>
      <c r="T423" s="14">
        <v>1.82309090241944E-2</v>
      </c>
      <c r="U423" s="14">
        <v>0</v>
      </c>
      <c r="V423" s="14">
        <v>1.6356610402701699E-2</v>
      </c>
      <c r="W423" s="14">
        <v>4.5124073986677497E-2</v>
      </c>
      <c r="X423" s="14">
        <v>9.0148265796101398E-2</v>
      </c>
      <c r="Y423" s="14">
        <v>0</v>
      </c>
      <c r="Z423" s="14">
        <v>2.2998323228047401E-2</v>
      </c>
      <c r="AA423" s="14"/>
      <c r="AB423" s="14" t="s">
        <v>76</v>
      </c>
      <c r="AC423" s="14" t="s">
        <v>76</v>
      </c>
      <c r="AD423" s="14" t="s">
        <v>76</v>
      </c>
      <c r="AE423" s="14" t="s">
        <v>76</v>
      </c>
      <c r="AF423" s="14"/>
      <c r="AG423" s="14" t="s">
        <v>76</v>
      </c>
      <c r="AH423" s="14" t="s">
        <v>76</v>
      </c>
      <c r="AI423" s="14"/>
      <c r="AJ423" s="14" t="s">
        <v>76</v>
      </c>
      <c r="AK423" s="14" t="s">
        <v>76</v>
      </c>
      <c r="AL423" s="14"/>
      <c r="AM423" s="14">
        <v>8.4917143595427905E-3</v>
      </c>
      <c r="AN423" s="14">
        <v>1.3836103788204801E-2</v>
      </c>
    </row>
    <row r="424" spans="2:40" x14ac:dyDescent="0.35"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  <c r="AN424" s="14"/>
    </row>
    <row r="425" spans="2:40" x14ac:dyDescent="0.35">
      <c r="B425" s="6" t="s">
        <v>183</v>
      </c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</row>
    <row r="426" spans="2:40" x14ac:dyDescent="0.35">
      <c r="B426" s="26" t="s">
        <v>395</v>
      </c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</row>
    <row r="427" spans="2:40" x14ac:dyDescent="0.35">
      <c r="B427" t="s">
        <v>155</v>
      </c>
      <c r="C427" s="14">
        <v>0.35802855234123698</v>
      </c>
      <c r="D427" s="14">
        <v>0.350106552457636</v>
      </c>
      <c r="E427" s="14">
        <v>0.366851413191846</v>
      </c>
      <c r="F427" s="14"/>
      <c r="G427" s="14">
        <v>0.35802855234123698</v>
      </c>
      <c r="H427" s="14" t="s">
        <v>76</v>
      </c>
      <c r="I427" s="14" t="s">
        <v>76</v>
      </c>
      <c r="J427" s="14"/>
      <c r="K427" s="14">
        <v>0.35802855234123698</v>
      </c>
      <c r="L427" s="14" t="s">
        <v>76</v>
      </c>
      <c r="M427" s="14" t="s">
        <v>76</v>
      </c>
      <c r="N427" s="14"/>
      <c r="O427" s="14">
        <v>0.35162340618767801</v>
      </c>
      <c r="P427" s="14">
        <v>0.449373891818454</v>
      </c>
      <c r="Q427" s="14"/>
      <c r="R427" s="14">
        <v>0.462031743519904</v>
      </c>
      <c r="S427" s="14">
        <v>0.276145980908934</v>
      </c>
      <c r="T427" s="14">
        <v>0.3297978415692</v>
      </c>
      <c r="U427" s="14">
        <v>0.38793048790886397</v>
      </c>
      <c r="V427" s="14">
        <v>0.28003291832390798</v>
      </c>
      <c r="W427" s="14">
        <v>0.40178823968090499</v>
      </c>
      <c r="X427" s="14">
        <v>0.452370020540455</v>
      </c>
      <c r="Y427" s="14">
        <v>0.30009097121101302</v>
      </c>
      <c r="Z427" s="14">
        <v>0.27467487786720601</v>
      </c>
      <c r="AA427" s="14"/>
      <c r="AB427" s="14" t="s">
        <v>76</v>
      </c>
      <c r="AC427" s="14" t="s">
        <v>76</v>
      </c>
      <c r="AD427" s="14" t="s">
        <v>76</v>
      </c>
      <c r="AE427" s="14" t="s">
        <v>76</v>
      </c>
      <c r="AF427" s="14"/>
      <c r="AG427" s="14" t="s">
        <v>76</v>
      </c>
      <c r="AH427" s="14" t="s">
        <v>76</v>
      </c>
      <c r="AI427" s="14"/>
      <c r="AJ427" s="14" t="s">
        <v>76</v>
      </c>
      <c r="AK427" s="14" t="s">
        <v>76</v>
      </c>
      <c r="AL427" s="14"/>
      <c r="AM427" s="14">
        <v>0.36434040873587598</v>
      </c>
      <c r="AN427" s="14">
        <v>0.28213774551176901</v>
      </c>
    </row>
    <row r="428" spans="2:40" x14ac:dyDescent="0.35">
      <c r="B428" t="s">
        <v>156</v>
      </c>
      <c r="C428" s="14">
        <v>0.46544309770021097</v>
      </c>
      <c r="D428" s="14">
        <v>0.45095004322600701</v>
      </c>
      <c r="E428" s="14">
        <v>0.481584249531193</v>
      </c>
      <c r="F428" s="14"/>
      <c r="G428" s="14">
        <v>0.46544309770021097</v>
      </c>
      <c r="H428" s="14" t="s">
        <v>76</v>
      </c>
      <c r="I428" s="14" t="s">
        <v>76</v>
      </c>
      <c r="J428" s="14"/>
      <c r="K428" s="14">
        <v>0.46544309770021097</v>
      </c>
      <c r="L428" s="14" t="s">
        <v>76</v>
      </c>
      <c r="M428" s="14" t="s">
        <v>76</v>
      </c>
      <c r="N428" s="14"/>
      <c r="O428" s="14">
        <v>0.46836826406371901</v>
      </c>
      <c r="P428" s="14">
        <v>0.42821655251002899</v>
      </c>
      <c r="Q428" s="14"/>
      <c r="R428" s="14">
        <v>0.40286391654038201</v>
      </c>
      <c r="S428" s="14">
        <v>0.50417741896366397</v>
      </c>
      <c r="T428" s="14">
        <v>0.47598187209744802</v>
      </c>
      <c r="U428" s="14">
        <v>0.419623472449141</v>
      </c>
      <c r="V428" s="14">
        <v>0.49736497978107103</v>
      </c>
      <c r="W428" s="14">
        <v>0.49318450276418502</v>
      </c>
      <c r="X428" s="14">
        <v>0.43332843202954602</v>
      </c>
      <c r="Y428" s="14">
        <v>0.49190398031954702</v>
      </c>
      <c r="Z428" s="14">
        <v>0.51563919933649804</v>
      </c>
      <c r="AA428" s="14"/>
      <c r="AB428" s="14" t="s">
        <v>76</v>
      </c>
      <c r="AC428" s="14" t="s">
        <v>76</v>
      </c>
      <c r="AD428" s="14" t="s">
        <v>76</v>
      </c>
      <c r="AE428" s="14" t="s">
        <v>76</v>
      </c>
      <c r="AF428" s="14"/>
      <c r="AG428" s="14" t="s">
        <v>76</v>
      </c>
      <c r="AH428" s="14" t="s">
        <v>76</v>
      </c>
      <c r="AI428" s="14"/>
      <c r="AJ428" s="14" t="s">
        <v>76</v>
      </c>
      <c r="AK428" s="14" t="s">
        <v>76</v>
      </c>
      <c r="AL428" s="14"/>
      <c r="AM428" s="14">
        <v>0.46133616053460702</v>
      </c>
      <c r="AN428" s="14">
        <v>0.47675825252068699</v>
      </c>
    </row>
    <row r="429" spans="2:40" x14ac:dyDescent="0.35">
      <c r="B429" t="s">
        <v>157</v>
      </c>
      <c r="C429" s="14">
        <v>0.12685732175775299</v>
      </c>
      <c r="D429" s="14">
        <v>0.14842311869556801</v>
      </c>
      <c r="E429" s="14">
        <v>0.102839140956118</v>
      </c>
      <c r="F429" s="14"/>
      <c r="G429" s="14">
        <v>0.12685732175775299</v>
      </c>
      <c r="H429" s="14" t="s">
        <v>76</v>
      </c>
      <c r="I429" s="14" t="s">
        <v>76</v>
      </c>
      <c r="J429" s="14"/>
      <c r="K429" s="14">
        <v>0.12685732175775299</v>
      </c>
      <c r="L429" s="14" t="s">
        <v>76</v>
      </c>
      <c r="M429" s="14" t="s">
        <v>76</v>
      </c>
      <c r="N429" s="14"/>
      <c r="O429" s="14">
        <v>0.12405425786074301</v>
      </c>
      <c r="P429" s="14">
        <v>0.122409555671517</v>
      </c>
      <c r="Q429" s="14"/>
      <c r="R429" s="14">
        <v>8.0120349061450796E-2</v>
      </c>
      <c r="S429" s="14">
        <v>0.196239241507009</v>
      </c>
      <c r="T429" s="14">
        <v>9.1864487393475996E-2</v>
      </c>
      <c r="U429" s="14">
        <v>0.158450182351008</v>
      </c>
      <c r="V429" s="14">
        <v>0.200773350585216</v>
      </c>
      <c r="W429" s="14">
        <v>3.3257834620063202E-2</v>
      </c>
      <c r="X429" s="14">
        <v>7.5530506685211898E-2</v>
      </c>
      <c r="Y429" s="14">
        <v>0.127428192532405</v>
      </c>
      <c r="Z429" s="14">
        <v>0.16728114060422999</v>
      </c>
      <c r="AA429" s="14"/>
      <c r="AB429" s="14" t="s">
        <v>76</v>
      </c>
      <c r="AC429" s="14" t="s">
        <v>76</v>
      </c>
      <c r="AD429" s="14" t="s">
        <v>76</v>
      </c>
      <c r="AE429" s="14" t="s">
        <v>76</v>
      </c>
      <c r="AF429" s="14"/>
      <c r="AG429" s="14" t="s">
        <v>76</v>
      </c>
      <c r="AH429" s="14" t="s">
        <v>76</v>
      </c>
      <c r="AI429" s="14"/>
      <c r="AJ429" s="14" t="s">
        <v>76</v>
      </c>
      <c r="AK429" s="14" t="s">
        <v>76</v>
      </c>
      <c r="AL429" s="14"/>
      <c r="AM429" s="14">
        <v>0.12103012478507</v>
      </c>
      <c r="AN429" s="14">
        <v>0.194454588359944</v>
      </c>
    </row>
    <row r="430" spans="2:40" x14ac:dyDescent="0.35">
      <c r="B430" t="s">
        <v>158</v>
      </c>
      <c r="C430" s="14">
        <v>2.8837284788676001E-2</v>
      </c>
      <c r="D430" s="14">
        <v>2.36873263540897E-2</v>
      </c>
      <c r="E430" s="14">
        <v>3.4572877735204698E-2</v>
      </c>
      <c r="F430" s="14"/>
      <c r="G430" s="14">
        <v>2.8837284788676001E-2</v>
      </c>
      <c r="H430" s="14" t="s">
        <v>76</v>
      </c>
      <c r="I430" s="14" t="s">
        <v>76</v>
      </c>
      <c r="J430" s="14"/>
      <c r="K430" s="14">
        <v>2.8837284788676001E-2</v>
      </c>
      <c r="L430" s="14" t="s">
        <v>76</v>
      </c>
      <c r="M430" s="14" t="s">
        <v>76</v>
      </c>
      <c r="N430" s="14"/>
      <c r="O430" s="14">
        <v>3.2485003120799001E-2</v>
      </c>
      <c r="P430" s="14">
        <v>0</v>
      </c>
      <c r="Q430" s="14"/>
      <c r="R430" s="14">
        <v>2.2638604603058301E-2</v>
      </c>
      <c r="S430" s="14">
        <v>0</v>
      </c>
      <c r="T430" s="14">
        <v>0.10235579893987599</v>
      </c>
      <c r="U430" s="14">
        <v>3.3995857290987003E-2</v>
      </c>
      <c r="V430" s="14">
        <v>2.1828751309805002E-2</v>
      </c>
      <c r="W430" s="14">
        <v>4.4654158177474E-2</v>
      </c>
      <c r="X430" s="14">
        <v>3.8771040744786898E-2</v>
      </c>
      <c r="Y430" s="14">
        <v>0</v>
      </c>
      <c r="Z430" s="14">
        <v>0</v>
      </c>
      <c r="AA430" s="14"/>
      <c r="AB430" s="14" t="s">
        <v>76</v>
      </c>
      <c r="AC430" s="14" t="s">
        <v>76</v>
      </c>
      <c r="AD430" s="14" t="s">
        <v>76</v>
      </c>
      <c r="AE430" s="14" t="s">
        <v>76</v>
      </c>
      <c r="AF430" s="14"/>
      <c r="AG430" s="14" t="s">
        <v>76</v>
      </c>
      <c r="AH430" s="14" t="s">
        <v>76</v>
      </c>
      <c r="AI430" s="14"/>
      <c r="AJ430" s="14" t="s">
        <v>76</v>
      </c>
      <c r="AK430" s="14" t="s">
        <v>76</v>
      </c>
      <c r="AL430" s="14"/>
      <c r="AM430" s="14">
        <v>2.8138875084396199E-2</v>
      </c>
      <c r="AN430" s="14">
        <v>4.6649413607600401E-2</v>
      </c>
    </row>
    <row r="431" spans="2:40" x14ac:dyDescent="0.35">
      <c r="B431" t="s">
        <v>70</v>
      </c>
      <c r="C431" s="14">
        <v>2.0833743412123001E-2</v>
      </c>
      <c r="D431" s="14">
        <v>2.6832959266699201E-2</v>
      </c>
      <c r="E431" s="14">
        <v>1.4152318585638301E-2</v>
      </c>
      <c r="F431" s="14"/>
      <c r="G431" s="14">
        <v>2.0833743412123001E-2</v>
      </c>
      <c r="H431" s="14" t="s">
        <v>76</v>
      </c>
      <c r="I431" s="14" t="s">
        <v>76</v>
      </c>
      <c r="J431" s="14"/>
      <c r="K431" s="14">
        <v>2.0833743412123001E-2</v>
      </c>
      <c r="L431" s="14" t="s">
        <v>76</v>
      </c>
      <c r="M431" s="14" t="s">
        <v>76</v>
      </c>
      <c r="N431" s="14"/>
      <c r="O431" s="14">
        <v>2.34690687670604E-2</v>
      </c>
      <c r="P431" s="14">
        <v>0</v>
      </c>
      <c r="Q431" s="14"/>
      <c r="R431" s="14">
        <v>3.23453862752053E-2</v>
      </c>
      <c r="S431" s="14">
        <v>2.3437358620392999E-2</v>
      </c>
      <c r="T431" s="14">
        <v>0</v>
      </c>
      <c r="U431" s="14">
        <v>0</v>
      </c>
      <c r="V431" s="14">
        <v>0</v>
      </c>
      <c r="W431" s="14">
        <v>2.7115264757372401E-2</v>
      </c>
      <c r="X431" s="14">
        <v>0</v>
      </c>
      <c r="Y431" s="14">
        <v>8.05768559370348E-2</v>
      </c>
      <c r="Z431" s="14">
        <v>4.2404782192065699E-2</v>
      </c>
      <c r="AA431" s="14"/>
      <c r="AB431" s="14" t="s">
        <v>76</v>
      </c>
      <c r="AC431" s="14" t="s">
        <v>76</v>
      </c>
      <c r="AD431" s="14" t="s">
        <v>76</v>
      </c>
      <c r="AE431" s="14" t="s">
        <v>76</v>
      </c>
      <c r="AF431" s="14"/>
      <c r="AG431" s="14" t="s">
        <v>76</v>
      </c>
      <c r="AH431" s="14" t="s">
        <v>76</v>
      </c>
      <c r="AI431" s="14"/>
      <c r="AJ431" s="14" t="s">
        <v>76</v>
      </c>
      <c r="AK431" s="14" t="s">
        <v>76</v>
      </c>
      <c r="AL431" s="14"/>
      <c r="AM431" s="14">
        <v>2.5154430860050699E-2</v>
      </c>
      <c r="AN431" s="14">
        <v>0</v>
      </c>
    </row>
    <row r="432" spans="2:40" x14ac:dyDescent="0.35"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</row>
    <row r="433" spans="2:40" x14ac:dyDescent="0.35">
      <c r="B433" s="6" t="s">
        <v>184</v>
      </c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  <c r="AN433" s="14"/>
    </row>
    <row r="434" spans="2:40" x14ac:dyDescent="0.35">
      <c r="B434" s="26" t="s">
        <v>395</v>
      </c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</row>
    <row r="435" spans="2:40" x14ac:dyDescent="0.35">
      <c r="B435" t="s">
        <v>160</v>
      </c>
      <c r="C435" s="14">
        <v>0.44596163022735302</v>
      </c>
      <c r="D435" s="14">
        <v>0.45431731924614399</v>
      </c>
      <c r="E435" s="14">
        <v>0.43665576269302298</v>
      </c>
      <c r="F435" s="14"/>
      <c r="G435" s="14">
        <v>0.44596163022735302</v>
      </c>
      <c r="H435" s="14" t="s">
        <v>76</v>
      </c>
      <c r="I435" s="14" t="s">
        <v>76</v>
      </c>
      <c r="J435" s="14"/>
      <c r="K435" s="14">
        <v>0.44596163022735302</v>
      </c>
      <c r="L435" s="14" t="s">
        <v>76</v>
      </c>
      <c r="M435" s="14" t="s">
        <v>76</v>
      </c>
      <c r="N435" s="14"/>
      <c r="O435" s="14">
        <v>0.43071329884633602</v>
      </c>
      <c r="P435" s="14">
        <v>0.58148902623057597</v>
      </c>
      <c r="Q435" s="14"/>
      <c r="R435" s="14">
        <v>0.54492401884215802</v>
      </c>
      <c r="S435" s="14">
        <v>0.37435311692899498</v>
      </c>
      <c r="T435" s="14">
        <v>0.34352514441974602</v>
      </c>
      <c r="U435" s="14">
        <v>0.30250739817304001</v>
      </c>
      <c r="V435" s="14">
        <v>0.45203053484324701</v>
      </c>
      <c r="W435" s="14">
        <v>0.48881043153601</v>
      </c>
      <c r="X435" s="14">
        <v>0.65400258756127305</v>
      </c>
      <c r="Y435" s="14">
        <v>0.51065984388033603</v>
      </c>
      <c r="Z435" s="14">
        <v>0.40416783151092101</v>
      </c>
      <c r="AA435" s="14"/>
      <c r="AB435" s="14" t="s">
        <v>76</v>
      </c>
      <c r="AC435" s="14" t="s">
        <v>76</v>
      </c>
      <c r="AD435" s="14" t="s">
        <v>76</v>
      </c>
      <c r="AE435" s="14" t="s">
        <v>76</v>
      </c>
      <c r="AF435" s="14"/>
      <c r="AG435" s="14" t="s">
        <v>76</v>
      </c>
      <c r="AH435" s="14" t="s">
        <v>76</v>
      </c>
      <c r="AI435" s="14"/>
      <c r="AJ435" s="14" t="s">
        <v>76</v>
      </c>
      <c r="AK435" s="14" t="s">
        <v>76</v>
      </c>
      <c r="AL435" s="14"/>
      <c r="AM435" s="14">
        <v>0.49551376200677899</v>
      </c>
      <c r="AN435" s="14">
        <v>0.38188595226209399</v>
      </c>
    </row>
    <row r="436" spans="2:40" x14ac:dyDescent="0.35">
      <c r="B436" t="s">
        <v>161</v>
      </c>
      <c r="C436" s="14">
        <v>0.49282286457176699</v>
      </c>
      <c r="D436" s="14">
        <v>0.47944690663382</v>
      </c>
      <c r="E436" s="14">
        <v>0.50771988771795695</v>
      </c>
      <c r="F436" s="14"/>
      <c r="G436" s="14">
        <v>0.49282286457176699</v>
      </c>
      <c r="H436" s="14" t="s">
        <v>76</v>
      </c>
      <c r="I436" s="14" t="s">
        <v>76</v>
      </c>
      <c r="J436" s="14"/>
      <c r="K436" s="14">
        <v>0.49282286457176699</v>
      </c>
      <c r="L436" s="14" t="s">
        <v>76</v>
      </c>
      <c r="M436" s="14" t="s">
        <v>76</v>
      </c>
      <c r="N436" s="14"/>
      <c r="O436" s="14">
        <v>0.50685009847033502</v>
      </c>
      <c r="P436" s="14">
        <v>0.36181260162234102</v>
      </c>
      <c r="Q436" s="14"/>
      <c r="R436" s="14">
        <v>0.42163342938325599</v>
      </c>
      <c r="S436" s="14">
        <v>0.61201924581915401</v>
      </c>
      <c r="T436" s="14">
        <v>0.58573508948344799</v>
      </c>
      <c r="U436" s="14">
        <v>0.54231653117799505</v>
      </c>
      <c r="V436" s="14">
        <v>0.48935202819826301</v>
      </c>
      <c r="W436" s="14">
        <v>0.46226857972364399</v>
      </c>
      <c r="X436" s="14">
        <v>0.270466897763325</v>
      </c>
      <c r="Y436" s="14">
        <v>0.44248880870831098</v>
      </c>
      <c r="Z436" s="14">
        <v>0.52962255256971402</v>
      </c>
      <c r="AA436" s="14"/>
      <c r="AB436" s="14" t="s">
        <v>76</v>
      </c>
      <c r="AC436" s="14" t="s">
        <v>76</v>
      </c>
      <c r="AD436" s="14" t="s">
        <v>76</v>
      </c>
      <c r="AE436" s="14" t="s">
        <v>76</v>
      </c>
      <c r="AF436" s="14"/>
      <c r="AG436" s="14" t="s">
        <v>76</v>
      </c>
      <c r="AH436" s="14" t="s">
        <v>76</v>
      </c>
      <c r="AI436" s="14"/>
      <c r="AJ436" s="14" t="s">
        <v>76</v>
      </c>
      <c r="AK436" s="14" t="s">
        <v>76</v>
      </c>
      <c r="AL436" s="14"/>
      <c r="AM436" s="14">
        <v>0.45276876112778203</v>
      </c>
      <c r="AN436" s="14">
        <v>0.51056244628417302</v>
      </c>
    </row>
    <row r="437" spans="2:40" x14ac:dyDescent="0.35">
      <c r="B437" t="s">
        <v>162</v>
      </c>
      <c r="C437" s="14">
        <v>5.61558278682203E-2</v>
      </c>
      <c r="D437" s="14">
        <v>5.6633039391471802E-2</v>
      </c>
      <c r="E437" s="14">
        <v>5.56243495890206E-2</v>
      </c>
      <c r="F437" s="14"/>
      <c r="G437" s="14">
        <v>5.61558278682203E-2</v>
      </c>
      <c r="H437" s="14" t="s">
        <v>76</v>
      </c>
      <c r="I437" s="14" t="s">
        <v>76</v>
      </c>
      <c r="J437" s="14"/>
      <c r="K437" s="14">
        <v>5.61558278682203E-2</v>
      </c>
      <c r="L437" s="14" t="s">
        <v>76</v>
      </c>
      <c r="M437" s="14" t="s">
        <v>76</v>
      </c>
      <c r="N437" s="14"/>
      <c r="O437" s="14">
        <v>5.6736910942369601E-2</v>
      </c>
      <c r="P437" s="14">
        <v>5.6698372147082302E-2</v>
      </c>
      <c r="Q437" s="14"/>
      <c r="R437" s="14">
        <v>3.34425517745853E-2</v>
      </c>
      <c r="S437" s="14">
        <v>1.3627637251850599E-2</v>
      </c>
      <c r="T437" s="14">
        <v>7.0739766096805795E-2</v>
      </c>
      <c r="U437" s="14">
        <v>0.13540920445312599</v>
      </c>
      <c r="V437" s="14">
        <v>5.8617436958489998E-2</v>
      </c>
      <c r="W437" s="14">
        <v>4.8920988740346297E-2</v>
      </c>
      <c r="X437" s="14">
        <v>7.5530514675402102E-2</v>
      </c>
      <c r="Y437" s="14">
        <v>4.6851347411352898E-2</v>
      </c>
      <c r="Z437" s="14">
        <v>4.5007218329589503E-2</v>
      </c>
      <c r="AA437" s="14"/>
      <c r="AB437" s="14" t="s">
        <v>76</v>
      </c>
      <c r="AC437" s="14" t="s">
        <v>76</v>
      </c>
      <c r="AD437" s="14" t="s">
        <v>76</v>
      </c>
      <c r="AE437" s="14" t="s">
        <v>76</v>
      </c>
      <c r="AF437" s="14"/>
      <c r="AG437" s="14" t="s">
        <v>76</v>
      </c>
      <c r="AH437" s="14" t="s">
        <v>76</v>
      </c>
      <c r="AI437" s="14"/>
      <c r="AJ437" s="14" t="s">
        <v>76</v>
      </c>
      <c r="AK437" s="14" t="s">
        <v>76</v>
      </c>
      <c r="AL437" s="14"/>
      <c r="AM437" s="14">
        <v>4.84701398967654E-2</v>
      </c>
      <c r="AN437" s="14">
        <v>0.10755160145373301</v>
      </c>
    </row>
    <row r="438" spans="2:40" x14ac:dyDescent="0.35">
      <c r="B438" t="s">
        <v>163</v>
      </c>
      <c r="C438" s="14">
        <v>0</v>
      </c>
      <c r="D438" s="14">
        <v>0</v>
      </c>
      <c r="E438" s="14">
        <v>0</v>
      </c>
      <c r="F438" s="14"/>
      <c r="G438" s="14">
        <v>0</v>
      </c>
      <c r="H438" s="14" t="s">
        <v>76</v>
      </c>
      <c r="I438" s="14" t="s">
        <v>76</v>
      </c>
      <c r="J438" s="14"/>
      <c r="K438" s="14">
        <v>0</v>
      </c>
      <c r="L438" s="14" t="s">
        <v>76</v>
      </c>
      <c r="M438" s="14" t="s">
        <v>76</v>
      </c>
      <c r="N438" s="14"/>
      <c r="O438" s="14">
        <v>0</v>
      </c>
      <c r="P438" s="14">
        <v>0</v>
      </c>
      <c r="Q438" s="14"/>
      <c r="R438" s="14">
        <v>0</v>
      </c>
      <c r="S438" s="14">
        <v>0</v>
      </c>
      <c r="T438" s="14">
        <v>0</v>
      </c>
      <c r="U438" s="14">
        <v>0</v>
      </c>
      <c r="V438" s="14">
        <v>0</v>
      </c>
      <c r="W438" s="14">
        <v>0</v>
      </c>
      <c r="X438" s="14">
        <v>0</v>
      </c>
      <c r="Y438" s="14">
        <v>0</v>
      </c>
      <c r="Z438" s="14">
        <v>0</v>
      </c>
      <c r="AA438" s="14"/>
      <c r="AB438" s="14" t="s">
        <v>76</v>
      </c>
      <c r="AC438" s="14" t="s">
        <v>76</v>
      </c>
      <c r="AD438" s="14" t="s">
        <v>76</v>
      </c>
      <c r="AE438" s="14" t="s">
        <v>76</v>
      </c>
      <c r="AF438" s="14"/>
      <c r="AG438" s="14" t="s">
        <v>76</v>
      </c>
      <c r="AH438" s="14" t="s">
        <v>76</v>
      </c>
      <c r="AI438" s="14"/>
      <c r="AJ438" s="14" t="s">
        <v>76</v>
      </c>
      <c r="AK438" s="14" t="s">
        <v>76</v>
      </c>
      <c r="AL438" s="14"/>
      <c r="AM438" s="14">
        <v>0</v>
      </c>
      <c r="AN438" s="14">
        <v>0</v>
      </c>
    </row>
    <row r="439" spans="2:40" x14ac:dyDescent="0.35">
      <c r="B439" t="s">
        <v>70</v>
      </c>
      <c r="C439" s="14">
        <v>5.0596773326606103E-3</v>
      </c>
      <c r="D439" s="14">
        <v>9.6027347285644795E-3</v>
      </c>
      <c r="E439" s="14">
        <v>0</v>
      </c>
      <c r="F439" s="14"/>
      <c r="G439" s="14">
        <v>5.0596773326606103E-3</v>
      </c>
      <c r="H439" s="14" t="s">
        <v>76</v>
      </c>
      <c r="I439" s="14" t="s">
        <v>76</v>
      </c>
      <c r="J439" s="14"/>
      <c r="K439" s="14">
        <v>5.0596773326606103E-3</v>
      </c>
      <c r="L439" s="14" t="s">
        <v>76</v>
      </c>
      <c r="M439" s="14" t="s">
        <v>76</v>
      </c>
      <c r="N439" s="14"/>
      <c r="O439" s="14">
        <v>5.6996917409595704E-3</v>
      </c>
      <c r="P439" s="14">
        <v>0</v>
      </c>
      <c r="Q439" s="14"/>
      <c r="R439" s="14">
        <v>0</v>
      </c>
      <c r="S439" s="14">
        <v>0</v>
      </c>
      <c r="T439" s="14">
        <v>0</v>
      </c>
      <c r="U439" s="14">
        <v>1.9766866195838999E-2</v>
      </c>
      <c r="V439" s="14">
        <v>0</v>
      </c>
      <c r="W439" s="14">
        <v>0</v>
      </c>
      <c r="X439" s="14">
        <v>0</v>
      </c>
      <c r="Y439" s="14">
        <v>0</v>
      </c>
      <c r="Z439" s="14">
        <v>2.1202397589775698E-2</v>
      </c>
      <c r="AA439" s="14"/>
      <c r="AB439" s="14" t="s">
        <v>76</v>
      </c>
      <c r="AC439" s="14" t="s">
        <v>76</v>
      </c>
      <c r="AD439" s="14" t="s">
        <v>76</v>
      </c>
      <c r="AE439" s="14" t="s">
        <v>76</v>
      </c>
      <c r="AF439" s="14"/>
      <c r="AG439" s="14" t="s">
        <v>76</v>
      </c>
      <c r="AH439" s="14" t="s">
        <v>76</v>
      </c>
      <c r="AI439" s="14"/>
      <c r="AJ439" s="14" t="s">
        <v>76</v>
      </c>
      <c r="AK439" s="14" t="s">
        <v>76</v>
      </c>
      <c r="AL439" s="14"/>
      <c r="AM439" s="14">
        <v>3.2473369686733698E-3</v>
      </c>
      <c r="AN439" s="14">
        <v>0</v>
      </c>
    </row>
    <row r="440" spans="2:40" x14ac:dyDescent="0.35">
      <c r="B440" t="s">
        <v>164</v>
      </c>
      <c r="C440" s="14">
        <v>0.93878449479911896</v>
      </c>
      <c r="D440" s="14">
        <v>0.93376422587996399</v>
      </c>
      <c r="E440" s="14">
        <v>0.94437565041097904</v>
      </c>
      <c r="F440" s="14"/>
      <c r="G440" s="14">
        <v>0.93878449479911896</v>
      </c>
      <c r="H440" s="14" t="s">
        <v>76</v>
      </c>
      <c r="I440" s="14" t="s">
        <v>76</v>
      </c>
      <c r="J440" s="14"/>
      <c r="K440" s="14">
        <v>0.93878449479911896</v>
      </c>
      <c r="L440" s="14" t="s">
        <v>76</v>
      </c>
      <c r="M440" s="14" t="s">
        <v>76</v>
      </c>
      <c r="N440" s="14"/>
      <c r="O440" s="14">
        <v>0.93756339731667104</v>
      </c>
      <c r="P440" s="14">
        <v>0.94330162785291805</v>
      </c>
      <c r="Q440" s="14"/>
      <c r="R440" s="14">
        <v>0.96655744822541501</v>
      </c>
      <c r="S440" s="14">
        <v>0.98637236274814899</v>
      </c>
      <c r="T440" s="14">
        <v>0.92926023390319401</v>
      </c>
      <c r="U440" s="14">
        <v>0.84482392935103501</v>
      </c>
      <c r="V440" s="14">
        <v>0.94138256304151002</v>
      </c>
      <c r="W440" s="14">
        <v>0.95107901125965399</v>
      </c>
      <c r="X440" s="14">
        <v>0.92446948532459805</v>
      </c>
      <c r="Y440" s="14">
        <v>0.95314865258864701</v>
      </c>
      <c r="Z440" s="14">
        <v>0.93379038408063497</v>
      </c>
      <c r="AA440" s="14"/>
      <c r="AB440" s="14" t="s">
        <v>76</v>
      </c>
      <c r="AC440" s="14" t="s">
        <v>76</v>
      </c>
      <c r="AD440" s="14" t="s">
        <v>76</v>
      </c>
      <c r="AE440" s="14" t="s">
        <v>76</v>
      </c>
      <c r="AF440" s="14"/>
      <c r="AG440" s="14" t="s">
        <v>76</v>
      </c>
      <c r="AH440" s="14" t="s">
        <v>76</v>
      </c>
      <c r="AI440" s="14"/>
      <c r="AJ440" s="14" t="s">
        <v>76</v>
      </c>
      <c r="AK440" s="14" t="s">
        <v>76</v>
      </c>
      <c r="AL440" s="14"/>
      <c r="AM440" s="14">
        <v>0.94828252313456096</v>
      </c>
      <c r="AN440" s="14">
        <v>0.89244839854626701</v>
      </c>
    </row>
    <row r="441" spans="2:40" x14ac:dyDescent="0.35"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</row>
    <row r="442" spans="2:40" x14ac:dyDescent="0.35">
      <c r="B442" s="6" t="s">
        <v>185</v>
      </c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</row>
    <row r="443" spans="2:40" x14ac:dyDescent="0.35">
      <c r="B443" s="26" t="s">
        <v>395</v>
      </c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</row>
    <row r="444" spans="2:40" x14ac:dyDescent="0.35">
      <c r="B444" t="s">
        <v>166</v>
      </c>
      <c r="C444" s="14">
        <v>0.385127408771053</v>
      </c>
      <c r="D444" s="14">
        <v>0.39360912254184899</v>
      </c>
      <c r="E444" s="14">
        <v>0.37568118540902701</v>
      </c>
      <c r="F444" s="14"/>
      <c r="G444" s="14">
        <v>0.385127408771053</v>
      </c>
      <c r="H444" s="14" t="s">
        <v>76</v>
      </c>
      <c r="I444" s="14" t="s">
        <v>76</v>
      </c>
      <c r="J444" s="14"/>
      <c r="K444" s="14">
        <v>0.385127408771053</v>
      </c>
      <c r="L444" s="14" t="s">
        <v>76</v>
      </c>
      <c r="M444" s="14" t="s">
        <v>76</v>
      </c>
      <c r="N444" s="14"/>
      <c r="O444" s="14">
        <v>0.36533692578098997</v>
      </c>
      <c r="P444" s="14">
        <v>0.59553197613434605</v>
      </c>
      <c r="Q444" s="14"/>
      <c r="R444" s="14">
        <v>0.44028978002140401</v>
      </c>
      <c r="S444" s="14">
        <v>0.28205185215769502</v>
      </c>
      <c r="T444" s="14">
        <v>0.28296306611051197</v>
      </c>
      <c r="U444" s="14">
        <v>0.33466372060948502</v>
      </c>
      <c r="V444" s="14">
        <v>0.36768873267542102</v>
      </c>
      <c r="W444" s="14">
        <v>0.47309149866230099</v>
      </c>
      <c r="X444" s="14">
        <v>0.46669167917410098</v>
      </c>
      <c r="Y444" s="14">
        <v>0.38066782714804798</v>
      </c>
      <c r="Z444" s="14">
        <v>0.44460534923477701</v>
      </c>
      <c r="AA444" s="14"/>
      <c r="AB444" s="14" t="s">
        <v>76</v>
      </c>
      <c r="AC444" s="14" t="s">
        <v>76</v>
      </c>
      <c r="AD444" s="14" t="s">
        <v>76</v>
      </c>
      <c r="AE444" s="14" t="s">
        <v>76</v>
      </c>
      <c r="AF444" s="14"/>
      <c r="AG444" s="14" t="s">
        <v>76</v>
      </c>
      <c r="AH444" s="14" t="s">
        <v>76</v>
      </c>
      <c r="AI444" s="14"/>
      <c r="AJ444" s="14" t="s">
        <v>76</v>
      </c>
      <c r="AK444" s="14" t="s">
        <v>76</v>
      </c>
      <c r="AL444" s="14"/>
      <c r="AM444" s="14">
        <v>0.455032298926835</v>
      </c>
      <c r="AN444" s="14">
        <v>0.19165233565497899</v>
      </c>
    </row>
    <row r="445" spans="2:40" x14ac:dyDescent="0.35">
      <c r="B445" t="s">
        <v>167</v>
      </c>
      <c r="C445" s="14">
        <v>0.467424166451755</v>
      </c>
      <c r="D445" s="14">
        <v>0.47390081803953898</v>
      </c>
      <c r="E445" s="14">
        <v>0.46021101363977401</v>
      </c>
      <c r="F445" s="14"/>
      <c r="G445" s="14">
        <v>0.467424166451755</v>
      </c>
      <c r="H445" s="14" t="s">
        <v>76</v>
      </c>
      <c r="I445" s="14" t="s">
        <v>76</v>
      </c>
      <c r="J445" s="14"/>
      <c r="K445" s="14">
        <v>0.467424166451755</v>
      </c>
      <c r="L445" s="14" t="s">
        <v>76</v>
      </c>
      <c r="M445" s="14" t="s">
        <v>76</v>
      </c>
      <c r="N445" s="14"/>
      <c r="O445" s="14">
        <v>0.481118166737522</v>
      </c>
      <c r="P445" s="14">
        <v>0.33059406684575798</v>
      </c>
      <c r="Q445" s="14"/>
      <c r="R445" s="14">
        <v>0.454592077321124</v>
      </c>
      <c r="S445" s="14">
        <v>0.51678385601737897</v>
      </c>
      <c r="T445" s="14">
        <v>0.57096265648158295</v>
      </c>
      <c r="U445" s="14">
        <v>0.55521884846601799</v>
      </c>
      <c r="V445" s="14">
        <v>0.43073457555136802</v>
      </c>
      <c r="W445" s="14">
        <v>0.44381970186721897</v>
      </c>
      <c r="X445" s="14">
        <v>0.333419062780002</v>
      </c>
      <c r="Y445" s="14">
        <v>0.39563746129695798</v>
      </c>
      <c r="Z445" s="14">
        <v>0.420512521536133</v>
      </c>
      <c r="AA445" s="14"/>
      <c r="AB445" s="14" t="s">
        <v>76</v>
      </c>
      <c r="AC445" s="14" t="s">
        <v>76</v>
      </c>
      <c r="AD445" s="14" t="s">
        <v>76</v>
      </c>
      <c r="AE445" s="14" t="s">
        <v>76</v>
      </c>
      <c r="AF445" s="14"/>
      <c r="AG445" s="14" t="s">
        <v>76</v>
      </c>
      <c r="AH445" s="14" t="s">
        <v>76</v>
      </c>
      <c r="AI445" s="14"/>
      <c r="AJ445" s="14" t="s">
        <v>76</v>
      </c>
      <c r="AK445" s="14" t="s">
        <v>76</v>
      </c>
      <c r="AL445" s="14"/>
      <c r="AM445" s="14">
        <v>0.42616478780855299</v>
      </c>
      <c r="AN445" s="14">
        <v>0.52308725618638796</v>
      </c>
    </row>
    <row r="446" spans="2:40" x14ac:dyDescent="0.35">
      <c r="B446" t="s">
        <v>168</v>
      </c>
      <c r="C446" s="14">
        <v>0.11909508753281101</v>
      </c>
      <c r="D446" s="14">
        <v>9.5686225545569506E-2</v>
      </c>
      <c r="E446" s="14">
        <v>0.14516592002702899</v>
      </c>
      <c r="F446" s="14"/>
      <c r="G446" s="14">
        <v>0.11909508753281101</v>
      </c>
      <c r="H446" s="14" t="s">
        <v>76</v>
      </c>
      <c r="I446" s="14" t="s">
        <v>76</v>
      </c>
      <c r="J446" s="14"/>
      <c r="K446" s="14">
        <v>0.11909508753281101</v>
      </c>
      <c r="L446" s="14" t="s">
        <v>76</v>
      </c>
      <c r="M446" s="14" t="s">
        <v>76</v>
      </c>
      <c r="N446" s="14"/>
      <c r="O446" s="14">
        <v>0.127353791120211</v>
      </c>
      <c r="P446" s="14">
        <v>2.3899855170867401E-2</v>
      </c>
      <c r="Q446" s="14"/>
      <c r="R446" s="14">
        <v>0.10511814265747201</v>
      </c>
      <c r="S446" s="14">
        <v>0.12797484313707699</v>
      </c>
      <c r="T446" s="14">
        <v>0.11315656718084401</v>
      </c>
      <c r="U446" s="14">
        <v>7.3929158551659394E-2</v>
      </c>
      <c r="V446" s="14">
        <v>0.201576691773212</v>
      </c>
      <c r="W446" s="14">
        <v>6.5549906050377901E-2</v>
      </c>
      <c r="X446" s="14">
        <v>0.16111821503330201</v>
      </c>
      <c r="Y446" s="14">
        <v>0.129992016732289</v>
      </c>
      <c r="Z446" s="14">
        <v>0.124080048919951</v>
      </c>
      <c r="AA446" s="14"/>
      <c r="AB446" s="14" t="s">
        <v>76</v>
      </c>
      <c r="AC446" s="14" t="s">
        <v>76</v>
      </c>
      <c r="AD446" s="14" t="s">
        <v>76</v>
      </c>
      <c r="AE446" s="14" t="s">
        <v>76</v>
      </c>
      <c r="AF446" s="14"/>
      <c r="AG446" s="14" t="s">
        <v>76</v>
      </c>
      <c r="AH446" s="14" t="s">
        <v>76</v>
      </c>
      <c r="AI446" s="14"/>
      <c r="AJ446" s="14" t="s">
        <v>76</v>
      </c>
      <c r="AK446" s="14" t="s">
        <v>76</v>
      </c>
      <c r="AL446" s="14"/>
      <c r="AM446" s="14">
        <v>0.10370297927812901</v>
      </c>
      <c r="AN446" s="14">
        <v>0.19816600415490601</v>
      </c>
    </row>
    <row r="447" spans="2:40" x14ac:dyDescent="0.35">
      <c r="B447" t="s">
        <v>169</v>
      </c>
      <c r="C447" s="14">
        <v>2.0809724107727301E-2</v>
      </c>
      <c r="D447" s="14">
        <v>2.56887778702268E-2</v>
      </c>
      <c r="E447" s="14">
        <v>1.5375842125692801E-2</v>
      </c>
      <c r="F447" s="14"/>
      <c r="G447" s="14">
        <v>2.0809724107727301E-2</v>
      </c>
      <c r="H447" s="14" t="s">
        <v>76</v>
      </c>
      <c r="I447" s="14" t="s">
        <v>76</v>
      </c>
      <c r="J447" s="14"/>
      <c r="K447" s="14">
        <v>2.0809724107727301E-2</v>
      </c>
      <c r="L447" s="14" t="s">
        <v>76</v>
      </c>
      <c r="M447" s="14" t="s">
        <v>76</v>
      </c>
      <c r="N447" s="14"/>
      <c r="O447" s="14">
        <v>1.7693288008779E-2</v>
      </c>
      <c r="P447" s="14">
        <v>4.9974101849028903E-2</v>
      </c>
      <c r="Q447" s="14"/>
      <c r="R447" s="14">
        <v>0</v>
      </c>
      <c r="S447" s="14">
        <v>7.3189448687848796E-2</v>
      </c>
      <c r="T447" s="14">
        <v>0</v>
      </c>
      <c r="U447" s="14">
        <v>1.64214061769987E-2</v>
      </c>
      <c r="V447" s="14">
        <v>0</v>
      </c>
      <c r="W447" s="14">
        <v>0</v>
      </c>
      <c r="X447" s="14">
        <v>3.87710430125957E-2</v>
      </c>
      <c r="Y447" s="14">
        <v>9.3702694822705698E-2</v>
      </c>
      <c r="Z447" s="14">
        <v>1.08020803091383E-2</v>
      </c>
      <c r="AA447" s="14"/>
      <c r="AB447" s="14" t="s">
        <v>76</v>
      </c>
      <c r="AC447" s="14" t="s">
        <v>76</v>
      </c>
      <c r="AD447" s="14" t="s">
        <v>76</v>
      </c>
      <c r="AE447" s="14" t="s">
        <v>76</v>
      </c>
      <c r="AF447" s="14"/>
      <c r="AG447" s="14" t="s">
        <v>76</v>
      </c>
      <c r="AH447" s="14" t="s">
        <v>76</v>
      </c>
      <c r="AI447" s="14"/>
      <c r="AJ447" s="14" t="s">
        <v>76</v>
      </c>
      <c r="AK447" s="14" t="s">
        <v>76</v>
      </c>
      <c r="AL447" s="14"/>
      <c r="AM447" s="14">
        <v>4.6233306997936997E-3</v>
      </c>
      <c r="AN447" s="14">
        <v>8.7094404003727394E-2</v>
      </c>
    </row>
    <row r="448" spans="2:40" x14ac:dyDescent="0.35">
      <c r="B448" t="s">
        <v>70</v>
      </c>
      <c r="C448" s="14">
        <v>7.5436131366539696E-3</v>
      </c>
      <c r="D448" s="14">
        <v>1.1115056002815701E-2</v>
      </c>
      <c r="E448" s="14">
        <v>3.5660387984772501E-3</v>
      </c>
      <c r="F448" s="14"/>
      <c r="G448" s="14">
        <v>7.5436131366539696E-3</v>
      </c>
      <c r="H448" s="14" t="s">
        <v>76</v>
      </c>
      <c r="I448" s="14" t="s">
        <v>76</v>
      </c>
      <c r="J448" s="14"/>
      <c r="K448" s="14">
        <v>7.5436131366539696E-3</v>
      </c>
      <c r="L448" s="14" t="s">
        <v>76</v>
      </c>
      <c r="M448" s="14" t="s">
        <v>76</v>
      </c>
      <c r="N448" s="14"/>
      <c r="O448" s="14">
        <v>8.4978283524991798E-3</v>
      </c>
      <c r="P448" s="14">
        <v>0</v>
      </c>
      <c r="Q448" s="14"/>
      <c r="R448" s="14">
        <v>0</v>
      </c>
      <c r="S448" s="14">
        <v>0</v>
      </c>
      <c r="T448" s="14">
        <v>3.2917710227060797E-2</v>
      </c>
      <c r="U448" s="14">
        <v>1.9766866195838999E-2</v>
      </c>
      <c r="V448" s="14">
        <v>0</v>
      </c>
      <c r="W448" s="14">
        <v>1.7538893420101599E-2</v>
      </c>
      <c r="X448" s="14">
        <v>0</v>
      </c>
      <c r="Y448" s="14">
        <v>0</v>
      </c>
      <c r="Z448" s="14">
        <v>0</v>
      </c>
      <c r="AA448" s="14"/>
      <c r="AB448" s="14" t="s">
        <v>76</v>
      </c>
      <c r="AC448" s="14" t="s">
        <v>76</v>
      </c>
      <c r="AD448" s="14" t="s">
        <v>76</v>
      </c>
      <c r="AE448" s="14" t="s">
        <v>76</v>
      </c>
      <c r="AF448" s="14"/>
      <c r="AG448" s="14" t="s">
        <v>76</v>
      </c>
      <c r="AH448" s="14" t="s">
        <v>76</v>
      </c>
      <c r="AI448" s="14"/>
      <c r="AJ448" s="14" t="s">
        <v>76</v>
      </c>
      <c r="AK448" s="14" t="s">
        <v>76</v>
      </c>
      <c r="AL448" s="14"/>
      <c r="AM448" s="14">
        <v>1.0476603286689401E-2</v>
      </c>
      <c r="AN448" s="14">
        <v>0</v>
      </c>
    </row>
    <row r="449" spans="2:40" x14ac:dyDescent="0.35"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/>
    </row>
    <row r="450" spans="2:40" x14ac:dyDescent="0.35">
      <c r="B450" s="6" t="s">
        <v>186</v>
      </c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</row>
    <row r="451" spans="2:40" x14ac:dyDescent="0.35">
      <c r="B451" s="26" t="s">
        <v>389</v>
      </c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</row>
    <row r="452" spans="2:40" x14ac:dyDescent="0.35">
      <c r="B452" t="s">
        <v>44</v>
      </c>
      <c r="C452" s="14">
        <v>0.34453257729993098</v>
      </c>
      <c r="D452" s="14">
        <v>0.31109476043909601</v>
      </c>
      <c r="E452" s="14">
        <v>0.38189595939214499</v>
      </c>
      <c r="F452" s="14"/>
      <c r="G452" s="14">
        <v>0.34453257729993098</v>
      </c>
      <c r="H452" s="14" t="s">
        <v>76</v>
      </c>
      <c r="I452" s="14" t="s">
        <v>76</v>
      </c>
      <c r="J452" s="14"/>
      <c r="K452" s="14">
        <v>0.34453257729993098</v>
      </c>
      <c r="L452" s="14" t="s">
        <v>76</v>
      </c>
      <c r="M452" s="14" t="s">
        <v>76</v>
      </c>
      <c r="N452" s="14"/>
      <c r="O452" s="14">
        <v>0.318356716861464</v>
      </c>
      <c r="P452" s="14">
        <v>0.55861978190557704</v>
      </c>
      <c r="Q452" s="14"/>
      <c r="R452" s="14">
        <v>0.447669477166663</v>
      </c>
      <c r="S452" s="14">
        <v>0.34521654268548702</v>
      </c>
      <c r="T452" s="14">
        <v>0.25440579052107598</v>
      </c>
      <c r="U452" s="14">
        <v>0.337805298521279</v>
      </c>
      <c r="V452" s="14">
        <v>0.37304259324065298</v>
      </c>
      <c r="W452" s="14">
        <v>0.32467319357226498</v>
      </c>
      <c r="X452" s="14">
        <v>0.38306940382431798</v>
      </c>
      <c r="Y452" s="14">
        <v>0.41064064738512801</v>
      </c>
      <c r="Z452" s="14">
        <v>0.225117758040209</v>
      </c>
      <c r="AA452" s="14"/>
      <c r="AB452" s="14" t="s">
        <v>76</v>
      </c>
      <c r="AC452" s="14" t="s">
        <v>76</v>
      </c>
      <c r="AD452" s="14" t="s">
        <v>76</v>
      </c>
      <c r="AE452" s="14" t="s">
        <v>76</v>
      </c>
      <c r="AF452" s="14"/>
      <c r="AG452" s="14" t="s">
        <v>76</v>
      </c>
      <c r="AH452" s="14" t="s">
        <v>76</v>
      </c>
      <c r="AI452" s="14"/>
      <c r="AJ452" s="14" t="s">
        <v>76</v>
      </c>
      <c r="AK452" s="14" t="s">
        <v>76</v>
      </c>
      <c r="AL452" s="14"/>
      <c r="AM452" s="14">
        <v>0.36280169619279501</v>
      </c>
      <c r="AN452" s="14">
        <v>0.31717035948703398</v>
      </c>
    </row>
    <row r="453" spans="2:40" x14ac:dyDescent="0.35">
      <c r="B453" t="s">
        <v>45</v>
      </c>
      <c r="C453" s="14">
        <v>0.54563885598241102</v>
      </c>
      <c r="D453" s="14">
        <v>0.59797053141136003</v>
      </c>
      <c r="E453" s="14">
        <v>0.48716349580219198</v>
      </c>
      <c r="F453" s="14"/>
      <c r="G453" s="14">
        <v>0.54563885598241102</v>
      </c>
      <c r="H453" s="14" t="s">
        <v>76</v>
      </c>
      <c r="I453" s="14" t="s">
        <v>76</v>
      </c>
      <c r="J453" s="14"/>
      <c r="K453" s="14">
        <v>0.54563885598241102</v>
      </c>
      <c r="L453" s="14" t="s">
        <v>76</v>
      </c>
      <c r="M453" s="14" t="s">
        <v>76</v>
      </c>
      <c r="N453" s="14"/>
      <c r="O453" s="14">
        <v>0.56438764549301002</v>
      </c>
      <c r="P453" s="14">
        <v>0.40601744976722698</v>
      </c>
      <c r="Q453" s="14"/>
      <c r="R453" s="14">
        <v>0.467523141322645</v>
      </c>
      <c r="S453" s="14">
        <v>0.57516817121493702</v>
      </c>
      <c r="T453" s="14">
        <v>0.56411823194189503</v>
      </c>
      <c r="U453" s="14">
        <v>0.51686108787998397</v>
      </c>
      <c r="V453" s="14">
        <v>0.49101369458833899</v>
      </c>
      <c r="W453" s="14">
        <v>0.57921038445600803</v>
      </c>
      <c r="X453" s="14">
        <v>0.47296969878693401</v>
      </c>
      <c r="Y453" s="14">
        <v>0.58935935261487205</v>
      </c>
      <c r="Z453" s="14">
        <v>0.68247747989937801</v>
      </c>
      <c r="AA453" s="14"/>
      <c r="AB453" s="14" t="s">
        <v>76</v>
      </c>
      <c r="AC453" s="14" t="s">
        <v>76</v>
      </c>
      <c r="AD453" s="14" t="s">
        <v>76</v>
      </c>
      <c r="AE453" s="14" t="s">
        <v>76</v>
      </c>
      <c r="AF453" s="14"/>
      <c r="AG453" s="14" t="s">
        <v>76</v>
      </c>
      <c r="AH453" s="14" t="s">
        <v>76</v>
      </c>
      <c r="AI453" s="14"/>
      <c r="AJ453" s="14" t="s">
        <v>76</v>
      </c>
      <c r="AK453" s="14" t="s">
        <v>76</v>
      </c>
      <c r="AL453" s="14"/>
      <c r="AM453" s="14">
        <v>0.54534956343889096</v>
      </c>
      <c r="AN453" s="14">
        <v>0.57916931790274995</v>
      </c>
    </row>
    <row r="454" spans="2:40" x14ac:dyDescent="0.35">
      <c r="B454" t="s">
        <v>70</v>
      </c>
      <c r="C454" s="14">
        <v>0.109828566717658</v>
      </c>
      <c r="D454" s="14">
        <v>9.0934708149544602E-2</v>
      </c>
      <c r="E454" s="14">
        <v>0.130940544805663</v>
      </c>
      <c r="F454" s="14"/>
      <c r="G454" s="14">
        <v>0.109828566717658</v>
      </c>
      <c r="H454" s="14" t="s">
        <v>76</v>
      </c>
      <c r="I454" s="14" t="s">
        <v>76</v>
      </c>
      <c r="J454" s="14"/>
      <c r="K454" s="14">
        <v>0.109828566717658</v>
      </c>
      <c r="L454" s="14" t="s">
        <v>76</v>
      </c>
      <c r="M454" s="14" t="s">
        <v>76</v>
      </c>
      <c r="N454" s="14"/>
      <c r="O454" s="14">
        <v>0.117255637645526</v>
      </c>
      <c r="P454" s="14">
        <v>3.5362768327195697E-2</v>
      </c>
      <c r="Q454" s="14"/>
      <c r="R454" s="14">
        <v>8.4807381510692004E-2</v>
      </c>
      <c r="S454" s="14">
        <v>7.9615286099576202E-2</v>
      </c>
      <c r="T454" s="14">
        <v>0.18147597753702899</v>
      </c>
      <c r="U454" s="14">
        <v>0.145333613598737</v>
      </c>
      <c r="V454" s="14">
        <v>0.13594371217100801</v>
      </c>
      <c r="W454" s="14">
        <v>9.6116421971726596E-2</v>
      </c>
      <c r="X454" s="14">
        <v>0.14396089738874801</v>
      </c>
      <c r="Y454" s="14">
        <v>0</v>
      </c>
      <c r="Z454" s="14">
        <v>9.2404762060412801E-2</v>
      </c>
      <c r="AA454" s="14"/>
      <c r="AB454" s="14" t="s">
        <v>76</v>
      </c>
      <c r="AC454" s="14" t="s">
        <v>76</v>
      </c>
      <c r="AD454" s="14" t="s">
        <v>76</v>
      </c>
      <c r="AE454" s="14" t="s">
        <v>76</v>
      </c>
      <c r="AF454" s="14"/>
      <c r="AG454" s="14" t="s">
        <v>76</v>
      </c>
      <c r="AH454" s="14" t="s">
        <v>76</v>
      </c>
      <c r="AI454" s="14"/>
      <c r="AJ454" s="14" t="s">
        <v>76</v>
      </c>
      <c r="AK454" s="14" t="s">
        <v>76</v>
      </c>
      <c r="AL454" s="14"/>
      <c r="AM454" s="14">
        <v>9.1848740368313503E-2</v>
      </c>
      <c r="AN454" s="14">
        <v>0.103660322610217</v>
      </c>
    </row>
    <row r="455" spans="2:40" x14ac:dyDescent="0.35"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</row>
    <row r="456" spans="2:40" x14ac:dyDescent="0.35">
      <c r="B456" s="6" t="s">
        <v>187</v>
      </c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</row>
    <row r="457" spans="2:40" x14ac:dyDescent="0.35">
      <c r="B457" s="26" t="s">
        <v>395</v>
      </c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/>
    </row>
    <row r="458" spans="2:40" x14ac:dyDescent="0.35">
      <c r="B458" t="s">
        <v>155</v>
      </c>
      <c r="C458" s="14">
        <v>0.155063177693362</v>
      </c>
      <c r="D458" s="14">
        <v>0.22788081565844101</v>
      </c>
      <c r="E458" s="14">
        <v>8.8781653475162994E-2</v>
      </c>
      <c r="F458" s="14"/>
      <c r="G458" s="14">
        <v>0.155063177693362</v>
      </c>
      <c r="H458" s="14" t="s">
        <v>76</v>
      </c>
      <c r="I458" s="14" t="s">
        <v>76</v>
      </c>
      <c r="J458" s="14"/>
      <c r="K458" s="14">
        <v>0.155063177693362</v>
      </c>
      <c r="L458" s="14" t="s">
        <v>76</v>
      </c>
      <c r="M458" s="14" t="s">
        <v>76</v>
      </c>
      <c r="N458" s="14"/>
      <c r="O458" s="14">
        <v>0.11729915339365</v>
      </c>
      <c r="P458" s="14">
        <v>0.380386329763581</v>
      </c>
      <c r="Q458" s="14"/>
      <c r="R458" s="14">
        <v>0.26087939824506701</v>
      </c>
      <c r="S458" s="14">
        <v>0.16368831647935</v>
      </c>
      <c r="T458" s="14">
        <v>0.116483852024498</v>
      </c>
      <c r="U458" s="14">
        <v>5.54731665492336E-2</v>
      </c>
      <c r="V458" s="14">
        <v>0.17464436207848899</v>
      </c>
      <c r="W458" s="14">
        <v>0.215416675600583</v>
      </c>
      <c r="X458" s="14">
        <v>0</v>
      </c>
      <c r="Y458" s="14">
        <v>9.0179464103416304E-2</v>
      </c>
      <c r="Z458" s="14">
        <v>0.17960399281810699</v>
      </c>
      <c r="AA458" s="14"/>
      <c r="AB458" s="14" t="s">
        <v>76</v>
      </c>
      <c r="AC458" s="14" t="s">
        <v>76</v>
      </c>
      <c r="AD458" s="14" t="s">
        <v>76</v>
      </c>
      <c r="AE458" s="14" t="s">
        <v>76</v>
      </c>
      <c r="AF458" s="14"/>
      <c r="AG458" s="14" t="s">
        <v>76</v>
      </c>
      <c r="AH458" s="14" t="s">
        <v>76</v>
      </c>
      <c r="AI458" s="14"/>
      <c r="AJ458" s="14" t="s">
        <v>76</v>
      </c>
      <c r="AK458" s="14" t="s">
        <v>76</v>
      </c>
      <c r="AL458" s="14"/>
      <c r="AM458" s="14">
        <v>0.17580309044748099</v>
      </c>
      <c r="AN458" s="14">
        <v>0.11499401861245</v>
      </c>
    </row>
    <row r="459" spans="2:40" x14ac:dyDescent="0.35">
      <c r="B459" t="s">
        <v>156</v>
      </c>
      <c r="C459" s="14">
        <v>0.48186604421600598</v>
      </c>
      <c r="D459" s="14">
        <v>0.40234275671215602</v>
      </c>
      <c r="E459" s="14">
        <v>0.55425131863434296</v>
      </c>
      <c r="F459" s="14"/>
      <c r="G459" s="14">
        <v>0.48186604421600598</v>
      </c>
      <c r="H459" s="14" t="s">
        <v>76</v>
      </c>
      <c r="I459" s="14" t="s">
        <v>76</v>
      </c>
      <c r="J459" s="14"/>
      <c r="K459" s="14">
        <v>0.48186604421600598</v>
      </c>
      <c r="L459" s="14" t="s">
        <v>76</v>
      </c>
      <c r="M459" s="14" t="s">
        <v>76</v>
      </c>
      <c r="N459" s="14"/>
      <c r="O459" s="14">
        <v>0.48585123195744401</v>
      </c>
      <c r="P459" s="14">
        <v>0.44902635494509102</v>
      </c>
      <c r="Q459" s="14"/>
      <c r="R459" s="14">
        <v>0.46700379871443498</v>
      </c>
      <c r="S459" s="14">
        <v>0.27570434298046398</v>
      </c>
      <c r="T459" s="14">
        <v>0.54528879197072799</v>
      </c>
      <c r="U459" s="14">
        <v>0.82750923613304594</v>
      </c>
      <c r="V459" s="14">
        <v>0.35330835331918098</v>
      </c>
      <c r="W459" s="14">
        <v>0.51394677717306303</v>
      </c>
      <c r="X459" s="14">
        <v>0.43173305168515702</v>
      </c>
      <c r="Y459" s="14">
        <v>0.53276183024365997</v>
      </c>
      <c r="Z459" s="14">
        <v>0.51487956779446598</v>
      </c>
      <c r="AA459" s="14"/>
      <c r="AB459" s="14" t="s">
        <v>76</v>
      </c>
      <c r="AC459" s="14" t="s">
        <v>76</v>
      </c>
      <c r="AD459" s="14" t="s">
        <v>76</v>
      </c>
      <c r="AE459" s="14" t="s">
        <v>76</v>
      </c>
      <c r="AF459" s="14"/>
      <c r="AG459" s="14" t="s">
        <v>76</v>
      </c>
      <c r="AH459" s="14" t="s">
        <v>76</v>
      </c>
      <c r="AI459" s="14"/>
      <c r="AJ459" s="14" t="s">
        <v>76</v>
      </c>
      <c r="AK459" s="14" t="s">
        <v>76</v>
      </c>
      <c r="AL459" s="14"/>
      <c r="AM459" s="14">
        <v>0.44129251791600699</v>
      </c>
      <c r="AN459" s="14">
        <v>0.61452647797503901</v>
      </c>
    </row>
    <row r="460" spans="2:40" x14ac:dyDescent="0.35">
      <c r="B460" t="s">
        <v>157</v>
      </c>
      <c r="C460" s="14">
        <v>0.242293113515898</v>
      </c>
      <c r="D460" s="14">
        <v>0.285111791701462</v>
      </c>
      <c r="E460" s="14">
        <v>0.203317841391461</v>
      </c>
      <c r="F460" s="14"/>
      <c r="G460" s="14">
        <v>0.242293113515898</v>
      </c>
      <c r="H460" s="14" t="s">
        <v>76</v>
      </c>
      <c r="I460" s="14" t="s">
        <v>76</v>
      </c>
      <c r="J460" s="14"/>
      <c r="K460" s="14">
        <v>0.242293113515898</v>
      </c>
      <c r="L460" s="14" t="s">
        <v>76</v>
      </c>
      <c r="M460" s="14" t="s">
        <v>76</v>
      </c>
      <c r="N460" s="14"/>
      <c r="O460" s="14">
        <v>0.27656946351131501</v>
      </c>
      <c r="P460" s="14">
        <v>9.0818513011134402E-2</v>
      </c>
      <c r="Q460" s="14"/>
      <c r="R460" s="14">
        <v>0.18944195625631</v>
      </c>
      <c r="S460" s="14">
        <v>0.213214009108224</v>
      </c>
      <c r="T460" s="14">
        <v>0.14332151201185001</v>
      </c>
      <c r="U460" s="14">
        <v>0.11701759731772</v>
      </c>
      <c r="V460" s="14">
        <v>0.29275167996340701</v>
      </c>
      <c r="W460" s="14">
        <v>0.270636547226354</v>
      </c>
      <c r="X460" s="14">
        <v>0.45373497423793302</v>
      </c>
      <c r="Y460" s="14">
        <v>0.37705870565292399</v>
      </c>
      <c r="Z460" s="14">
        <v>0.21766588357692501</v>
      </c>
      <c r="AA460" s="14"/>
      <c r="AB460" s="14" t="s">
        <v>76</v>
      </c>
      <c r="AC460" s="14" t="s">
        <v>76</v>
      </c>
      <c r="AD460" s="14" t="s">
        <v>76</v>
      </c>
      <c r="AE460" s="14" t="s">
        <v>76</v>
      </c>
      <c r="AF460" s="14"/>
      <c r="AG460" s="14" t="s">
        <v>76</v>
      </c>
      <c r="AH460" s="14" t="s">
        <v>76</v>
      </c>
      <c r="AI460" s="14"/>
      <c r="AJ460" s="14" t="s">
        <v>76</v>
      </c>
      <c r="AK460" s="14" t="s">
        <v>76</v>
      </c>
      <c r="AL460" s="14"/>
      <c r="AM460" s="14">
        <v>0.25380528847518402</v>
      </c>
      <c r="AN460" s="14">
        <v>0.136590936798476</v>
      </c>
    </row>
    <row r="461" spans="2:40" x14ac:dyDescent="0.35">
      <c r="B461" t="s">
        <v>158</v>
      </c>
      <c r="C461" s="14">
        <v>0.104988702344897</v>
      </c>
      <c r="D461" s="14">
        <v>8.4664635927940698E-2</v>
      </c>
      <c r="E461" s="14">
        <v>0.123488479844872</v>
      </c>
      <c r="F461" s="14"/>
      <c r="G461" s="14">
        <v>0.104988702344897</v>
      </c>
      <c r="H461" s="14" t="s">
        <v>76</v>
      </c>
      <c r="I461" s="14" t="s">
        <v>76</v>
      </c>
      <c r="J461" s="14"/>
      <c r="K461" s="14">
        <v>0.104988702344897</v>
      </c>
      <c r="L461" s="14" t="s">
        <v>76</v>
      </c>
      <c r="M461" s="14" t="s">
        <v>76</v>
      </c>
      <c r="N461" s="14"/>
      <c r="O461" s="14">
        <v>0.101161225320708</v>
      </c>
      <c r="P461" s="14">
        <v>7.9768802280192994E-2</v>
      </c>
      <c r="Q461" s="14"/>
      <c r="R461" s="14">
        <v>5.4631570137534301E-2</v>
      </c>
      <c r="S461" s="14">
        <v>0.34739333143196299</v>
      </c>
      <c r="T461" s="14">
        <v>7.1660747134936198E-2</v>
      </c>
      <c r="U461" s="14">
        <v>0</v>
      </c>
      <c r="V461" s="14">
        <v>0.179295604638923</v>
      </c>
      <c r="W461" s="14">
        <v>0</v>
      </c>
      <c r="X461" s="14">
        <v>0.11453197407691</v>
      </c>
      <c r="Y461" s="14">
        <v>0</v>
      </c>
      <c r="Z461" s="14">
        <v>8.7850555810501801E-2</v>
      </c>
      <c r="AA461" s="14"/>
      <c r="AB461" s="14" t="s">
        <v>76</v>
      </c>
      <c r="AC461" s="14" t="s">
        <v>76</v>
      </c>
      <c r="AD461" s="14" t="s">
        <v>76</v>
      </c>
      <c r="AE461" s="14" t="s">
        <v>76</v>
      </c>
      <c r="AF461" s="14"/>
      <c r="AG461" s="14" t="s">
        <v>76</v>
      </c>
      <c r="AH461" s="14" t="s">
        <v>76</v>
      </c>
      <c r="AI461" s="14"/>
      <c r="AJ461" s="14" t="s">
        <v>76</v>
      </c>
      <c r="AK461" s="14" t="s">
        <v>76</v>
      </c>
      <c r="AL461" s="14"/>
      <c r="AM461" s="14">
        <v>0.10795728628705099</v>
      </c>
      <c r="AN461" s="14">
        <v>0.133888566614034</v>
      </c>
    </row>
    <row r="462" spans="2:40" x14ac:dyDescent="0.35">
      <c r="B462" t="s">
        <v>70</v>
      </c>
      <c r="C462" s="14">
        <v>1.57889622298364E-2</v>
      </c>
      <c r="D462" s="14">
        <v>0</v>
      </c>
      <c r="E462" s="14">
        <v>3.0160706654161401E-2</v>
      </c>
      <c r="F462" s="14"/>
      <c r="G462" s="14">
        <v>1.57889622298364E-2</v>
      </c>
      <c r="H462" s="14" t="s">
        <v>76</v>
      </c>
      <c r="I462" s="14" t="s">
        <v>76</v>
      </c>
      <c r="J462" s="14"/>
      <c r="K462" s="14">
        <v>1.57889622298364E-2</v>
      </c>
      <c r="L462" s="14" t="s">
        <v>76</v>
      </c>
      <c r="M462" s="14" t="s">
        <v>76</v>
      </c>
      <c r="N462" s="14"/>
      <c r="O462" s="14">
        <v>1.91189258168841E-2</v>
      </c>
      <c r="P462" s="14">
        <v>0</v>
      </c>
      <c r="Q462" s="14"/>
      <c r="R462" s="14">
        <v>2.8043276646653501E-2</v>
      </c>
      <c r="S462" s="14">
        <v>0</v>
      </c>
      <c r="T462" s="14">
        <v>0.123245096857987</v>
      </c>
      <c r="U462" s="14">
        <v>0</v>
      </c>
      <c r="V462" s="14">
        <v>0</v>
      </c>
      <c r="W462" s="14">
        <v>0</v>
      </c>
      <c r="X462" s="14">
        <v>0</v>
      </c>
      <c r="Y462" s="14">
        <v>0</v>
      </c>
      <c r="Z462" s="14">
        <v>0</v>
      </c>
      <c r="AA462" s="14"/>
      <c r="AB462" s="14" t="s">
        <v>76</v>
      </c>
      <c r="AC462" s="14" t="s">
        <v>76</v>
      </c>
      <c r="AD462" s="14" t="s">
        <v>76</v>
      </c>
      <c r="AE462" s="14" t="s">
        <v>76</v>
      </c>
      <c r="AF462" s="14"/>
      <c r="AG462" s="14" t="s">
        <v>76</v>
      </c>
      <c r="AH462" s="14" t="s">
        <v>76</v>
      </c>
      <c r="AI462" s="14"/>
      <c r="AJ462" s="14" t="s">
        <v>76</v>
      </c>
      <c r="AK462" s="14" t="s">
        <v>76</v>
      </c>
      <c r="AL462" s="14"/>
      <c r="AM462" s="14">
        <v>2.1141816874276201E-2</v>
      </c>
      <c r="AN462" s="14">
        <v>0</v>
      </c>
    </row>
    <row r="463" spans="2:40" x14ac:dyDescent="0.35"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  <c r="AN463" s="14"/>
    </row>
    <row r="464" spans="2:40" x14ac:dyDescent="0.35">
      <c r="B464" s="6" t="s">
        <v>189</v>
      </c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14"/>
    </row>
    <row r="465" spans="2:40" x14ac:dyDescent="0.35">
      <c r="B465" s="26" t="s">
        <v>395</v>
      </c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</row>
    <row r="466" spans="2:40" x14ac:dyDescent="0.35">
      <c r="B466" t="s">
        <v>160</v>
      </c>
      <c r="C466" s="14">
        <v>0.156321410526258</v>
      </c>
      <c r="D466" s="14">
        <v>0.21017870375411701</v>
      </c>
      <c r="E466" s="14">
        <v>0.107298349834274</v>
      </c>
      <c r="F466" s="14"/>
      <c r="G466" s="14">
        <v>0.156321410526258</v>
      </c>
      <c r="H466" s="14" t="s">
        <v>76</v>
      </c>
      <c r="I466" s="14" t="s">
        <v>76</v>
      </c>
      <c r="J466" s="14"/>
      <c r="K466" s="14">
        <v>0.156321410526258</v>
      </c>
      <c r="L466" s="14" t="s">
        <v>76</v>
      </c>
      <c r="M466" s="14" t="s">
        <v>76</v>
      </c>
      <c r="N466" s="14"/>
      <c r="O466" s="14">
        <v>0.12128150090454699</v>
      </c>
      <c r="P466" s="14">
        <v>0.36711392277940502</v>
      </c>
      <c r="Q466" s="14"/>
      <c r="R466" s="14">
        <v>0.27801479742753799</v>
      </c>
      <c r="S466" s="14">
        <v>0.13475984876935801</v>
      </c>
      <c r="T466" s="14">
        <v>7.1660747134936198E-2</v>
      </c>
      <c r="U466" s="14">
        <v>0.15760865587817299</v>
      </c>
      <c r="V466" s="14">
        <v>8.9647802319461595E-2</v>
      </c>
      <c r="W466" s="14">
        <v>0.17279976156396101</v>
      </c>
      <c r="X466" s="14">
        <v>5.8351137735119803E-2</v>
      </c>
      <c r="Y466" s="14">
        <v>9.5114312409291302E-2</v>
      </c>
      <c r="Z466" s="14">
        <v>0.179130903759047</v>
      </c>
      <c r="AA466" s="14"/>
      <c r="AB466" s="14" t="s">
        <v>76</v>
      </c>
      <c r="AC466" s="14" t="s">
        <v>76</v>
      </c>
      <c r="AD466" s="14" t="s">
        <v>76</v>
      </c>
      <c r="AE466" s="14" t="s">
        <v>76</v>
      </c>
      <c r="AF466" s="14"/>
      <c r="AG466" s="14" t="s">
        <v>76</v>
      </c>
      <c r="AH466" s="14" t="s">
        <v>76</v>
      </c>
      <c r="AI466" s="14"/>
      <c r="AJ466" s="14" t="s">
        <v>76</v>
      </c>
      <c r="AK466" s="14" t="s">
        <v>76</v>
      </c>
      <c r="AL466" s="14"/>
      <c r="AM466" s="14">
        <v>0.163566735258283</v>
      </c>
      <c r="AN466" s="14">
        <v>0.190015610571202</v>
      </c>
    </row>
    <row r="467" spans="2:40" x14ac:dyDescent="0.35">
      <c r="B467" t="s">
        <v>161</v>
      </c>
      <c r="C467" s="14">
        <v>0.47794498824669002</v>
      </c>
      <c r="D467" s="14">
        <v>0.46423910143312302</v>
      </c>
      <c r="E467" s="14">
        <v>0.49042063417743298</v>
      </c>
      <c r="F467" s="14"/>
      <c r="G467" s="14">
        <v>0.47794498824669002</v>
      </c>
      <c r="H467" s="14" t="s">
        <v>76</v>
      </c>
      <c r="I467" s="14" t="s">
        <v>76</v>
      </c>
      <c r="J467" s="14"/>
      <c r="K467" s="14">
        <v>0.47794498824669002</v>
      </c>
      <c r="L467" s="14" t="s">
        <v>76</v>
      </c>
      <c r="M467" s="14" t="s">
        <v>76</v>
      </c>
      <c r="N467" s="14"/>
      <c r="O467" s="14">
        <v>0.49485087386494098</v>
      </c>
      <c r="P467" s="14">
        <v>0.41363814582647501</v>
      </c>
      <c r="Q467" s="14"/>
      <c r="R467" s="14">
        <v>0.46114483070655099</v>
      </c>
      <c r="S467" s="14">
        <v>0.47519864655734001</v>
      </c>
      <c r="T467" s="14">
        <v>0.341473900289268</v>
      </c>
      <c r="U467" s="14">
        <v>0.72840937596701205</v>
      </c>
      <c r="V467" s="14">
        <v>0.273370632773418</v>
      </c>
      <c r="W467" s="14">
        <v>0.54915151243482196</v>
      </c>
      <c r="X467" s="14">
        <v>0.57069079127024602</v>
      </c>
      <c r="Y467" s="14">
        <v>0.35039020287936301</v>
      </c>
      <c r="Z467" s="14">
        <v>0.46147674465250899</v>
      </c>
      <c r="AA467" s="14"/>
      <c r="AB467" s="14" t="s">
        <v>76</v>
      </c>
      <c r="AC467" s="14" t="s">
        <v>76</v>
      </c>
      <c r="AD467" s="14" t="s">
        <v>76</v>
      </c>
      <c r="AE467" s="14" t="s">
        <v>76</v>
      </c>
      <c r="AF467" s="14"/>
      <c r="AG467" s="14" t="s">
        <v>76</v>
      </c>
      <c r="AH467" s="14" t="s">
        <v>76</v>
      </c>
      <c r="AI467" s="14"/>
      <c r="AJ467" s="14" t="s">
        <v>76</v>
      </c>
      <c r="AK467" s="14" t="s">
        <v>76</v>
      </c>
      <c r="AL467" s="14"/>
      <c r="AM467" s="14">
        <v>0.52839135563667206</v>
      </c>
      <c r="AN467" s="14">
        <v>0.21151973333350799</v>
      </c>
    </row>
    <row r="468" spans="2:40" x14ac:dyDescent="0.35">
      <c r="B468" t="s">
        <v>162</v>
      </c>
      <c r="C468" s="14">
        <v>0.302128900454182</v>
      </c>
      <c r="D468" s="14">
        <v>0.26839590593694801</v>
      </c>
      <c r="E468" s="14">
        <v>0.33283402019616998</v>
      </c>
      <c r="F468" s="14"/>
      <c r="G468" s="14">
        <v>0.302128900454182</v>
      </c>
      <c r="H468" s="14" t="s">
        <v>76</v>
      </c>
      <c r="I468" s="14" t="s">
        <v>76</v>
      </c>
      <c r="J468" s="14"/>
      <c r="K468" s="14">
        <v>0.302128900454182</v>
      </c>
      <c r="L468" s="14" t="s">
        <v>76</v>
      </c>
      <c r="M468" s="14" t="s">
        <v>76</v>
      </c>
      <c r="N468" s="14"/>
      <c r="O468" s="14">
        <v>0.30684840522227003</v>
      </c>
      <c r="P468" s="14">
        <v>0.21924793139411999</v>
      </c>
      <c r="Q468" s="14"/>
      <c r="R468" s="14">
        <v>0.26084037186591102</v>
      </c>
      <c r="S468" s="14">
        <v>0.204060110910011</v>
      </c>
      <c r="T468" s="14">
        <v>0.39195950858287298</v>
      </c>
      <c r="U468" s="14">
        <v>0.113981968154815</v>
      </c>
      <c r="V468" s="14">
        <v>0.63698156490711999</v>
      </c>
      <c r="W468" s="14">
        <v>0.16360817564597599</v>
      </c>
      <c r="X468" s="14">
        <v>0.37095807099463401</v>
      </c>
      <c r="Y468" s="14">
        <v>0.55449548471134502</v>
      </c>
      <c r="Z468" s="14">
        <v>0.222223823058251</v>
      </c>
      <c r="AA468" s="14"/>
      <c r="AB468" s="14" t="s">
        <v>76</v>
      </c>
      <c r="AC468" s="14" t="s">
        <v>76</v>
      </c>
      <c r="AD468" s="14" t="s">
        <v>76</v>
      </c>
      <c r="AE468" s="14" t="s">
        <v>76</v>
      </c>
      <c r="AF468" s="14"/>
      <c r="AG468" s="14" t="s">
        <v>76</v>
      </c>
      <c r="AH468" s="14" t="s">
        <v>76</v>
      </c>
      <c r="AI468" s="14"/>
      <c r="AJ468" s="14" t="s">
        <v>76</v>
      </c>
      <c r="AK468" s="14" t="s">
        <v>76</v>
      </c>
      <c r="AL468" s="14"/>
      <c r="AM468" s="14">
        <v>0.24186663619847701</v>
      </c>
      <c r="AN468" s="14">
        <v>0.48673583904455597</v>
      </c>
    </row>
    <row r="469" spans="2:40" x14ac:dyDescent="0.35">
      <c r="B469" t="s">
        <v>163</v>
      </c>
      <c r="C469" s="14">
        <v>3.6258675650070397E-2</v>
      </c>
      <c r="D469" s="14">
        <v>2.84774778900319E-2</v>
      </c>
      <c r="E469" s="14">
        <v>4.3341432825274702E-2</v>
      </c>
      <c r="F469" s="14"/>
      <c r="G469" s="14">
        <v>3.6258675650070397E-2</v>
      </c>
      <c r="H469" s="14" t="s">
        <v>76</v>
      </c>
      <c r="I469" s="14" t="s">
        <v>76</v>
      </c>
      <c r="J469" s="14"/>
      <c r="K469" s="14">
        <v>3.6258675650070397E-2</v>
      </c>
      <c r="L469" s="14" t="s">
        <v>76</v>
      </c>
      <c r="M469" s="14" t="s">
        <v>76</v>
      </c>
      <c r="N469" s="14"/>
      <c r="O469" s="14">
        <v>4.39057944329087E-2</v>
      </c>
      <c r="P469" s="14">
        <v>0</v>
      </c>
      <c r="Q469" s="14"/>
      <c r="R469" s="14">
        <v>0</v>
      </c>
      <c r="S469" s="14">
        <v>8.8276559947995895E-2</v>
      </c>
      <c r="T469" s="14">
        <v>0.19490584399292299</v>
      </c>
      <c r="U469" s="14">
        <v>0</v>
      </c>
      <c r="V469" s="14">
        <v>0</v>
      </c>
      <c r="W469" s="14">
        <v>4.4949020287431501E-2</v>
      </c>
      <c r="X469" s="14">
        <v>0</v>
      </c>
      <c r="Y469" s="14">
        <v>0</v>
      </c>
      <c r="Z469" s="14">
        <v>5.3875912201016701E-2</v>
      </c>
      <c r="AA469" s="14"/>
      <c r="AB469" s="14" t="s">
        <v>76</v>
      </c>
      <c r="AC469" s="14" t="s">
        <v>76</v>
      </c>
      <c r="AD469" s="14" t="s">
        <v>76</v>
      </c>
      <c r="AE469" s="14" t="s">
        <v>76</v>
      </c>
      <c r="AF469" s="14"/>
      <c r="AG469" s="14" t="s">
        <v>76</v>
      </c>
      <c r="AH469" s="14" t="s">
        <v>76</v>
      </c>
      <c r="AI469" s="14"/>
      <c r="AJ469" s="14" t="s">
        <v>76</v>
      </c>
      <c r="AK469" s="14" t="s">
        <v>76</v>
      </c>
      <c r="AL469" s="14"/>
      <c r="AM469" s="14">
        <v>2.9558258629781401E-2</v>
      </c>
      <c r="AN469" s="14">
        <v>0.111728817050733</v>
      </c>
    </row>
    <row r="470" spans="2:40" x14ac:dyDescent="0.35">
      <c r="B470" t="s">
        <v>70</v>
      </c>
      <c r="C470" s="14">
        <v>2.7346025122798601E-2</v>
      </c>
      <c r="D470" s="14">
        <v>2.8708810985780198E-2</v>
      </c>
      <c r="E470" s="14">
        <v>2.61055629668474E-2</v>
      </c>
      <c r="F470" s="14"/>
      <c r="G470" s="14">
        <v>2.7346025122798601E-2</v>
      </c>
      <c r="H470" s="14" t="s">
        <v>76</v>
      </c>
      <c r="I470" s="14" t="s">
        <v>76</v>
      </c>
      <c r="J470" s="14"/>
      <c r="K470" s="14">
        <v>2.7346025122798601E-2</v>
      </c>
      <c r="L470" s="14" t="s">
        <v>76</v>
      </c>
      <c r="M470" s="14" t="s">
        <v>76</v>
      </c>
      <c r="N470" s="14"/>
      <c r="O470" s="14">
        <v>3.31134255753332E-2</v>
      </c>
      <c r="P470" s="14">
        <v>0</v>
      </c>
      <c r="Q470" s="14"/>
      <c r="R470" s="14">
        <v>0</v>
      </c>
      <c r="S470" s="14">
        <v>9.7704833815294601E-2</v>
      </c>
      <c r="T470" s="14">
        <v>0</v>
      </c>
      <c r="U470" s="14">
        <v>0</v>
      </c>
      <c r="V470" s="14">
        <v>0</v>
      </c>
      <c r="W470" s="14">
        <v>6.9491530067809407E-2</v>
      </c>
      <c r="X470" s="14">
        <v>0</v>
      </c>
      <c r="Y470" s="14">
        <v>0</v>
      </c>
      <c r="Z470" s="14">
        <v>8.3292616329175895E-2</v>
      </c>
      <c r="AA470" s="14"/>
      <c r="AB470" s="14" t="s">
        <v>76</v>
      </c>
      <c r="AC470" s="14" t="s">
        <v>76</v>
      </c>
      <c r="AD470" s="14" t="s">
        <v>76</v>
      </c>
      <c r="AE470" s="14" t="s">
        <v>76</v>
      </c>
      <c r="AF470" s="14"/>
      <c r="AG470" s="14" t="s">
        <v>76</v>
      </c>
      <c r="AH470" s="14" t="s">
        <v>76</v>
      </c>
      <c r="AI470" s="14"/>
      <c r="AJ470" s="14" t="s">
        <v>76</v>
      </c>
      <c r="AK470" s="14" t="s">
        <v>76</v>
      </c>
      <c r="AL470" s="14"/>
      <c r="AM470" s="14">
        <v>3.6617014276786597E-2</v>
      </c>
      <c r="AN470" s="14">
        <v>0</v>
      </c>
    </row>
    <row r="471" spans="2:40" x14ac:dyDescent="0.35">
      <c r="B471" t="s">
        <v>164</v>
      </c>
      <c r="C471" s="14">
        <v>0.63426639877294899</v>
      </c>
      <c r="D471" s="14">
        <v>0.67441780518724004</v>
      </c>
      <c r="E471" s="14">
        <v>0.59771898401170798</v>
      </c>
      <c r="F471" s="14"/>
      <c r="G471" s="14">
        <v>0.63426639877294899</v>
      </c>
      <c r="H471" s="14" t="s">
        <v>76</v>
      </c>
      <c r="I471" s="14" t="s">
        <v>76</v>
      </c>
      <c r="J471" s="14"/>
      <c r="K471" s="14">
        <v>0.63426639877294899</v>
      </c>
      <c r="L471" s="14" t="s">
        <v>76</v>
      </c>
      <c r="M471" s="14" t="s">
        <v>76</v>
      </c>
      <c r="N471" s="14"/>
      <c r="O471" s="14">
        <v>0.61613237476948801</v>
      </c>
      <c r="P471" s="14">
        <v>0.78075206860587998</v>
      </c>
      <c r="Q471" s="14"/>
      <c r="R471" s="14">
        <v>0.73915962813408898</v>
      </c>
      <c r="S471" s="14">
        <v>0.60995849532669799</v>
      </c>
      <c r="T471" s="14">
        <v>0.41313464742420403</v>
      </c>
      <c r="U471" s="14">
        <v>0.88601803184518502</v>
      </c>
      <c r="V471" s="14">
        <v>0.36301843509288001</v>
      </c>
      <c r="W471" s="14">
        <v>0.72195127399878301</v>
      </c>
      <c r="X471" s="14">
        <v>0.62904192900536604</v>
      </c>
      <c r="Y471" s="14">
        <v>0.44550451528865498</v>
      </c>
      <c r="Z471" s="14">
        <v>0.64060764841155704</v>
      </c>
      <c r="AA471" s="14"/>
      <c r="AB471" s="14" t="s">
        <v>76</v>
      </c>
      <c r="AC471" s="14" t="s">
        <v>76</v>
      </c>
      <c r="AD471" s="14" t="s">
        <v>76</v>
      </c>
      <c r="AE471" s="14" t="s">
        <v>76</v>
      </c>
      <c r="AF471" s="14"/>
      <c r="AG471" s="14" t="s">
        <v>76</v>
      </c>
      <c r="AH471" s="14" t="s">
        <v>76</v>
      </c>
      <c r="AI471" s="14"/>
      <c r="AJ471" s="14" t="s">
        <v>76</v>
      </c>
      <c r="AK471" s="14" t="s">
        <v>76</v>
      </c>
      <c r="AL471" s="14"/>
      <c r="AM471" s="14">
        <v>0.69195809089495497</v>
      </c>
      <c r="AN471" s="14">
        <v>0.40153534390471102</v>
      </c>
    </row>
    <row r="472" spans="2:40" x14ac:dyDescent="0.35"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  <c r="AN472" s="14"/>
    </row>
    <row r="473" spans="2:40" x14ac:dyDescent="0.35">
      <c r="B473" s="6" t="s">
        <v>190</v>
      </c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</row>
    <row r="474" spans="2:40" x14ac:dyDescent="0.35">
      <c r="B474" s="26" t="s">
        <v>395</v>
      </c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</row>
    <row r="475" spans="2:40" x14ac:dyDescent="0.35">
      <c r="B475" t="s">
        <v>166</v>
      </c>
      <c r="C475" s="14">
        <v>0.186496009468235</v>
      </c>
      <c r="D475" s="14">
        <v>0.21496878215026699</v>
      </c>
      <c r="E475" s="14">
        <v>0.16057895386436499</v>
      </c>
      <c r="F475" s="14"/>
      <c r="G475" s="14">
        <v>0.186496009468235</v>
      </c>
      <c r="H475" s="14" t="s">
        <v>76</v>
      </c>
      <c r="I475" s="14" t="s">
        <v>76</v>
      </c>
      <c r="J475" s="14"/>
      <c r="K475" s="14">
        <v>0.186496009468235</v>
      </c>
      <c r="L475" s="14" t="s">
        <v>76</v>
      </c>
      <c r="M475" s="14" t="s">
        <v>76</v>
      </c>
      <c r="N475" s="14"/>
      <c r="O475" s="14">
        <v>0.16271410124976299</v>
      </c>
      <c r="P475" s="14">
        <v>0.34069571124152198</v>
      </c>
      <c r="Q475" s="14"/>
      <c r="R475" s="14">
        <v>0.34050927138438303</v>
      </c>
      <c r="S475" s="14">
        <v>9.7618339376409596E-2</v>
      </c>
      <c r="T475" s="14">
        <v>7.1660747134936198E-2</v>
      </c>
      <c r="U475" s="14">
        <v>0.15087816317995201</v>
      </c>
      <c r="V475" s="14">
        <v>0.179295604638923</v>
      </c>
      <c r="W475" s="14">
        <v>0.20347712257601899</v>
      </c>
      <c r="X475" s="14">
        <v>5.8351137735119803E-2</v>
      </c>
      <c r="Y475" s="14">
        <v>0.27547324036155901</v>
      </c>
      <c r="Z475" s="14">
        <v>0.176808731182061</v>
      </c>
      <c r="AA475" s="14"/>
      <c r="AB475" s="14" t="s">
        <v>76</v>
      </c>
      <c r="AC475" s="14" t="s">
        <v>76</v>
      </c>
      <c r="AD475" s="14" t="s">
        <v>76</v>
      </c>
      <c r="AE475" s="14" t="s">
        <v>76</v>
      </c>
      <c r="AF475" s="14"/>
      <c r="AG475" s="14" t="s">
        <v>76</v>
      </c>
      <c r="AH475" s="14" t="s">
        <v>76</v>
      </c>
      <c r="AI475" s="14"/>
      <c r="AJ475" s="14" t="s">
        <v>76</v>
      </c>
      <c r="AK475" s="14" t="s">
        <v>76</v>
      </c>
      <c r="AL475" s="14"/>
      <c r="AM475" s="14">
        <v>0.21020170967485699</v>
      </c>
      <c r="AN475" s="14">
        <v>0.143231959637627</v>
      </c>
    </row>
    <row r="476" spans="2:40" x14ac:dyDescent="0.35">
      <c r="B476" t="s">
        <v>167</v>
      </c>
      <c r="C476" s="14">
        <v>0.432729240753436</v>
      </c>
      <c r="D476" s="14">
        <v>0.44803109329152901</v>
      </c>
      <c r="E476" s="14">
        <v>0.41880088303777802</v>
      </c>
      <c r="F476" s="14"/>
      <c r="G476" s="14">
        <v>0.432729240753436</v>
      </c>
      <c r="H476" s="14" t="s">
        <v>76</v>
      </c>
      <c r="I476" s="14" t="s">
        <v>76</v>
      </c>
      <c r="J476" s="14"/>
      <c r="K476" s="14">
        <v>0.432729240753436</v>
      </c>
      <c r="L476" s="14" t="s">
        <v>76</v>
      </c>
      <c r="M476" s="14" t="s">
        <v>76</v>
      </c>
      <c r="N476" s="14"/>
      <c r="O476" s="14">
        <v>0.42801296949989998</v>
      </c>
      <c r="P476" s="14">
        <v>0.440056357364358</v>
      </c>
      <c r="Q476" s="14"/>
      <c r="R476" s="14">
        <v>0.44437798446968502</v>
      </c>
      <c r="S476" s="14">
        <v>0.41848935220257699</v>
      </c>
      <c r="T476" s="14">
        <v>0.13193957630895101</v>
      </c>
      <c r="U476" s="14">
        <v>0.68653342440454301</v>
      </c>
      <c r="V476" s="14">
        <v>0.230067041005527</v>
      </c>
      <c r="W476" s="14">
        <v>0.38829130306208898</v>
      </c>
      <c r="X476" s="14">
        <v>0.68522276534715598</v>
      </c>
      <c r="Y476" s="14">
        <v>0.17003127492709499</v>
      </c>
      <c r="Z476" s="14">
        <v>0.51487956814806901</v>
      </c>
      <c r="AA476" s="14"/>
      <c r="AB476" s="14" t="s">
        <v>76</v>
      </c>
      <c r="AC476" s="14" t="s">
        <v>76</v>
      </c>
      <c r="AD476" s="14" t="s">
        <v>76</v>
      </c>
      <c r="AE476" s="14" t="s">
        <v>76</v>
      </c>
      <c r="AF476" s="14"/>
      <c r="AG476" s="14" t="s">
        <v>76</v>
      </c>
      <c r="AH476" s="14" t="s">
        <v>76</v>
      </c>
      <c r="AI476" s="14"/>
      <c r="AJ476" s="14" t="s">
        <v>76</v>
      </c>
      <c r="AK476" s="14" t="s">
        <v>76</v>
      </c>
      <c r="AL476" s="14"/>
      <c r="AM476" s="14">
        <v>0.48832369465283398</v>
      </c>
      <c r="AN476" s="14">
        <v>0.21229259852642801</v>
      </c>
    </row>
    <row r="477" spans="2:40" x14ac:dyDescent="0.35">
      <c r="B477" t="s">
        <v>168</v>
      </c>
      <c r="C477" s="14">
        <v>0.30234158070394801</v>
      </c>
      <c r="D477" s="14">
        <v>0.27106241541513199</v>
      </c>
      <c r="E477" s="14">
        <v>0.33081312701543197</v>
      </c>
      <c r="F477" s="14"/>
      <c r="G477" s="14">
        <v>0.30234158070394801</v>
      </c>
      <c r="H477" s="14" t="s">
        <v>76</v>
      </c>
      <c r="I477" s="14" t="s">
        <v>76</v>
      </c>
      <c r="J477" s="14"/>
      <c r="K477" s="14">
        <v>0.30234158070394801</v>
      </c>
      <c r="L477" s="14" t="s">
        <v>76</v>
      </c>
      <c r="M477" s="14" t="s">
        <v>76</v>
      </c>
      <c r="N477" s="14"/>
      <c r="O477" s="14">
        <v>0.31429784986972298</v>
      </c>
      <c r="P477" s="14">
        <v>0.21924793139411999</v>
      </c>
      <c r="Q477" s="14"/>
      <c r="R477" s="14">
        <v>0.18852445328537801</v>
      </c>
      <c r="S477" s="14">
        <v>0.29983792410761601</v>
      </c>
      <c r="T477" s="14">
        <v>0.46970658636509699</v>
      </c>
      <c r="U477" s="14">
        <v>0.16258841241550501</v>
      </c>
      <c r="V477" s="14">
        <v>0.53565926436820199</v>
      </c>
      <c r="W477" s="14">
        <v>0.36328255407445997</v>
      </c>
      <c r="X477" s="14">
        <v>0.256426096917725</v>
      </c>
      <c r="Y477" s="14">
        <v>0.55449548471134502</v>
      </c>
      <c r="Z477" s="14">
        <v>0.171143172139678</v>
      </c>
      <c r="AA477" s="14"/>
      <c r="AB477" s="14" t="s">
        <v>76</v>
      </c>
      <c r="AC477" s="14" t="s">
        <v>76</v>
      </c>
      <c r="AD477" s="14" t="s">
        <v>76</v>
      </c>
      <c r="AE477" s="14" t="s">
        <v>76</v>
      </c>
      <c r="AF477" s="14"/>
      <c r="AG477" s="14" t="s">
        <v>76</v>
      </c>
      <c r="AH477" s="14" t="s">
        <v>76</v>
      </c>
      <c r="AI477" s="14"/>
      <c r="AJ477" s="14" t="s">
        <v>76</v>
      </c>
      <c r="AK477" s="14" t="s">
        <v>76</v>
      </c>
      <c r="AL477" s="14"/>
      <c r="AM477" s="14">
        <v>0.229081360451342</v>
      </c>
      <c r="AN477" s="14">
        <v>0.45252097044156497</v>
      </c>
    </row>
    <row r="478" spans="2:40" x14ac:dyDescent="0.35">
      <c r="B478" t="s">
        <v>169</v>
      </c>
      <c r="C478" s="14">
        <v>5.3452206178552897E-2</v>
      </c>
      <c r="D478" s="14">
        <v>5.1278446800230103E-2</v>
      </c>
      <c r="E478" s="14">
        <v>5.5430848838562599E-2</v>
      </c>
      <c r="F478" s="14"/>
      <c r="G478" s="14">
        <v>5.3452206178552897E-2</v>
      </c>
      <c r="H478" s="14" t="s">
        <v>76</v>
      </c>
      <c r="I478" s="14" t="s">
        <v>76</v>
      </c>
      <c r="J478" s="14"/>
      <c r="K478" s="14">
        <v>5.3452206178552897E-2</v>
      </c>
      <c r="L478" s="14" t="s">
        <v>76</v>
      </c>
      <c r="M478" s="14" t="s">
        <v>76</v>
      </c>
      <c r="N478" s="14"/>
      <c r="O478" s="14">
        <v>6.4725518358981798E-2</v>
      </c>
      <c r="P478" s="14">
        <v>0</v>
      </c>
      <c r="Q478" s="14"/>
      <c r="R478" s="14">
        <v>2.6588290860554802E-2</v>
      </c>
      <c r="S478" s="14">
        <v>0.123491059891051</v>
      </c>
      <c r="T478" s="14">
        <v>0.20344799333302899</v>
      </c>
      <c r="U478" s="14">
        <v>0</v>
      </c>
      <c r="V478" s="14">
        <v>5.4978089987347697E-2</v>
      </c>
      <c r="W478" s="14">
        <v>4.4949020287431501E-2</v>
      </c>
      <c r="X478" s="14">
        <v>0</v>
      </c>
      <c r="Y478" s="14">
        <v>0</v>
      </c>
      <c r="Z478" s="14">
        <v>5.3875912201016701E-2</v>
      </c>
      <c r="AA478" s="14"/>
      <c r="AB478" s="14" t="s">
        <v>76</v>
      </c>
      <c r="AC478" s="14" t="s">
        <v>76</v>
      </c>
      <c r="AD478" s="14" t="s">
        <v>76</v>
      </c>
      <c r="AE478" s="14" t="s">
        <v>76</v>
      </c>
      <c r="AF478" s="14"/>
      <c r="AG478" s="14" t="s">
        <v>76</v>
      </c>
      <c r="AH478" s="14" t="s">
        <v>76</v>
      </c>
      <c r="AI478" s="14"/>
      <c r="AJ478" s="14" t="s">
        <v>76</v>
      </c>
      <c r="AK478" s="14" t="s">
        <v>76</v>
      </c>
      <c r="AL478" s="14"/>
      <c r="AM478" s="14">
        <v>3.89430986509606E-2</v>
      </c>
      <c r="AN478" s="14">
        <v>0.19195447139437999</v>
      </c>
    </row>
    <row r="479" spans="2:40" x14ac:dyDescent="0.35">
      <c r="B479" t="s">
        <v>70</v>
      </c>
      <c r="C479" s="14">
        <v>2.4980962895828299E-2</v>
      </c>
      <c r="D479" s="14">
        <v>1.46592623428413E-2</v>
      </c>
      <c r="E479" s="14">
        <v>3.4376187243861898E-2</v>
      </c>
      <c r="F479" s="14"/>
      <c r="G479" s="14">
        <v>2.4980962895828299E-2</v>
      </c>
      <c r="H479" s="14" t="s">
        <v>76</v>
      </c>
      <c r="I479" s="14" t="s">
        <v>76</v>
      </c>
      <c r="J479" s="14"/>
      <c r="K479" s="14">
        <v>2.4980962895828299E-2</v>
      </c>
      <c r="L479" s="14" t="s">
        <v>76</v>
      </c>
      <c r="M479" s="14" t="s">
        <v>76</v>
      </c>
      <c r="N479" s="14"/>
      <c r="O479" s="14">
        <v>3.0249561021631701E-2</v>
      </c>
      <c r="P479" s="14">
        <v>0</v>
      </c>
      <c r="Q479" s="14"/>
      <c r="R479" s="14">
        <v>0</v>
      </c>
      <c r="S479" s="14">
        <v>6.0563324422346201E-2</v>
      </c>
      <c r="T479" s="14">
        <v>0.123245096857987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8.3292616329175895E-2</v>
      </c>
      <c r="AA479" s="14"/>
      <c r="AB479" s="14" t="s">
        <v>76</v>
      </c>
      <c r="AC479" s="14" t="s">
        <v>76</v>
      </c>
      <c r="AD479" s="14" t="s">
        <v>76</v>
      </c>
      <c r="AE479" s="14" t="s">
        <v>76</v>
      </c>
      <c r="AF479" s="14"/>
      <c r="AG479" s="14" t="s">
        <v>76</v>
      </c>
      <c r="AH479" s="14" t="s">
        <v>76</v>
      </c>
      <c r="AI479" s="14"/>
      <c r="AJ479" s="14" t="s">
        <v>76</v>
      </c>
      <c r="AK479" s="14" t="s">
        <v>76</v>
      </c>
      <c r="AL479" s="14"/>
      <c r="AM479" s="14">
        <v>3.3450136570005701E-2</v>
      </c>
      <c r="AN479" s="14">
        <v>0</v>
      </c>
    </row>
    <row r="480" spans="2:40" x14ac:dyDescent="0.35"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  <c r="AN480" s="14"/>
    </row>
    <row r="481" spans="2:40" x14ac:dyDescent="0.35">
      <c r="B481" s="6" t="s">
        <v>191</v>
      </c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/>
    </row>
    <row r="482" spans="2:40" x14ac:dyDescent="0.35">
      <c r="B482" s="26" t="s">
        <v>389</v>
      </c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  <c r="AN482" s="14"/>
    </row>
    <row r="483" spans="2:40" x14ac:dyDescent="0.35">
      <c r="B483" t="s">
        <v>44</v>
      </c>
      <c r="C483" s="14">
        <v>0.67218942509700896</v>
      </c>
      <c r="D483" s="14">
        <v>0.64577857498570101</v>
      </c>
      <c r="E483" s="14">
        <v>0.70170088178677903</v>
      </c>
      <c r="F483" s="14"/>
      <c r="G483" s="14">
        <v>0.67218942509700896</v>
      </c>
      <c r="H483" s="14" t="s">
        <v>76</v>
      </c>
      <c r="I483" s="14" t="s">
        <v>76</v>
      </c>
      <c r="J483" s="14"/>
      <c r="K483" s="14">
        <v>0.67218942509700896</v>
      </c>
      <c r="L483" s="14" t="s">
        <v>76</v>
      </c>
      <c r="M483" s="14" t="s">
        <v>76</v>
      </c>
      <c r="N483" s="14"/>
      <c r="O483" s="14">
        <v>0.66625063343937596</v>
      </c>
      <c r="P483" s="14">
        <v>0.705034056004742</v>
      </c>
      <c r="Q483" s="14"/>
      <c r="R483" s="14">
        <v>0.69989332377829405</v>
      </c>
      <c r="S483" s="14">
        <v>0.70227748492070796</v>
      </c>
      <c r="T483" s="14">
        <v>0.64548525718102001</v>
      </c>
      <c r="U483" s="14">
        <v>0.68565582069556996</v>
      </c>
      <c r="V483" s="14">
        <v>0.72377698368596</v>
      </c>
      <c r="W483" s="14">
        <v>0.662822698380237</v>
      </c>
      <c r="X483" s="14">
        <v>0.51334189970657096</v>
      </c>
      <c r="Y483" s="14">
        <v>0.723749973057493</v>
      </c>
      <c r="Z483" s="14">
        <v>0.68723061631751303</v>
      </c>
      <c r="AA483" s="14"/>
      <c r="AB483" s="14" t="s">
        <v>76</v>
      </c>
      <c r="AC483" s="14" t="s">
        <v>76</v>
      </c>
      <c r="AD483" s="14" t="s">
        <v>76</v>
      </c>
      <c r="AE483" s="14" t="s">
        <v>76</v>
      </c>
      <c r="AF483" s="14"/>
      <c r="AG483" s="14" t="s">
        <v>76</v>
      </c>
      <c r="AH483" s="14" t="s">
        <v>76</v>
      </c>
      <c r="AI483" s="14"/>
      <c r="AJ483" s="14" t="s">
        <v>76</v>
      </c>
      <c r="AK483" s="14" t="s">
        <v>76</v>
      </c>
      <c r="AL483" s="14"/>
      <c r="AM483" s="14">
        <v>0.71097825179840202</v>
      </c>
      <c r="AN483" s="14">
        <v>0.63940454219799403</v>
      </c>
    </row>
    <row r="484" spans="2:40" x14ac:dyDescent="0.35">
      <c r="B484" t="s">
        <v>45</v>
      </c>
      <c r="C484" s="14">
        <v>0.245069818119555</v>
      </c>
      <c r="D484" s="14">
        <v>0.25068614708572501</v>
      </c>
      <c r="E484" s="14">
        <v>0.238794137922133</v>
      </c>
      <c r="F484" s="14"/>
      <c r="G484" s="14">
        <v>0.245069818119555</v>
      </c>
      <c r="H484" s="14" t="s">
        <v>76</v>
      </c>
      <c r="I484" s="14" t="s">
        <v>76</v>
      </c>
      <c r="J484" s="14"/>
      <c r="K484" s="14">
        <v>0.245069818119555</v>
      </c>
      <c r="L484" s="14" t="s">
        <v>76</v>
      </c>
      <c r="M484" s="14" t="s">
        <v>76</v>
      </c>
      <c r="N484" s="14"/>
      <c r="O484" s="14">
        <v>0.24968331927557999</v>
      </c>
      <c r="P484" s="14">
        <v>0.23231575220106701</v>
      </c>
      <c r="Q484" s="14"/>
      <c r="R484" s="14">
        <v>0.276301143685107</v>
      </c>
      <c r="S484" s="14">
        <v>0.18519961308580499</v>
      </c>
      <c r="T484" s="14">
        <v>0.237742587186271</v>
      </c>
      <c r="U484" s="14">
        <v>0.21025609520333499</v>
      </c>
      <c r="V484" s="14">
        <v>0.17889380779154099</v>
      </c>
      <c r="W484" s="14">
        <v>0.246929153646408</v>
      </c>
      <c r="X484" s="14">
        <v>0.39891070589478</v>
      </c>
      <c r="Y484" s="14">
        <v>0.23921867342223599</v>
      </c>
      <c r="Z484" s="14">
        <v>0.23351912504929301</v>
      </c>
      <c r="AA484" s="14"/>
      <c r="AB484" s="14" t="s">
        <v>76</v>
      </c>
      <c r="AC484" s="14" t="s">
        <v>76</v>
      </c>
      <c r="AD484" s="14" t="s">
        <v>76</v>
      </c>
      <c r="AE484" s="14" t="s">
        <v>76</v>
      </c>
      <c r="AF484" s="14"/>
      <c r="AG484" s="14" t="s">
        <v>76</v>
      </c>
      <c r="AH484" s="14" t="s">
        <v>76</v>
      </c>
      <c r="AI484" s="14"/>
      <c r="AJ484" s="14" t="s">
        <v>76</v>
      </c>
      <c r="AK484" s="14" t="s">
        <v>76</v>
      </c>
      <c r="AL484" s="14"/>
      <c r="AM484" s="14">
        <v>0.23437384262543801</v>
      </c>
      <c r="AN484" s="14">
        <v>0.223547800372835</v>
      </c>
    </row>
    <row r="485" spans="2:40" x14ac:dyDescent="0.35">
      <c r="B485" t="s">
        <v>70</v>
      </c>
      <c r="C485" s="14">
        <v>8.2740756783436203E-2</v>
      </c>
      <c r="D485" s="14">
        <v>0.103535277928575</v>
      </c>
      <c r="E485" s="14">
        <v>5.95049802910885E-2</v>
      </c>
      <c r="F485" s="14"/>
      <c r="G485" s="14">
        <v>8.2740756783436203E-2</v>
      </c>
      <c r="H485" s="14" t="s">
        <v>76</v>
      </c>
      <c r="I485" s="14" t="s">
        <v>76</v>
      </c>
      <c r="J485" s="14"/>
      <c r="K485" s="14">
        <v>8.2740756783436203E-2</v>
      </c>
      <c r="L485" s="14" t="s">
        <v>76</v>
      </c>
      <c r="M485" s="14" t="s">
        <v>76</v>
      </c>
      <c r="N485" s="14"/>
      <c r="O485" s="14">
        <v>8.4066047285044104E-2</v>
      </c>
      <c r="P485" s="14">
        <v>6.2650191794190596E-2</v>
      </c>
      <c r="Q485" s="14"/>
      <c r="R485" s="14">
        <v>2.3805532536599502E-2</v>
      </c>
      <c r="S485" s="14">
        <v>0.112522901993487</v>
      </c>
      <c r="T485" s="14">
        <v>0.116772155632709</v>
      </c>
      <c r="U485" s="14">
        <v>0.104088084101095</v>
      </c>
      <c r="V485" s="14">
        <v>9.7329208522499294E-2</v>
      </c>
      <c r="W485" s="14">
        <v>9.0248147973354995E-2</v>
      </c>
      <c r="X485" s="14">
        <v>8.7747394398648801E-2</v>
      </c>
      <c r="Y485" s="14">
        <v>3.7031353520270802E-2</v>
      </c>
      <c r="Z485" s="14">
        <v>7.9250258633194307E-2</v>
      </c>
      <c r="AA485" s="14"/>
      <c r="AB485" s="14" t="s">
        <v>76</v>
      </c>
      <c r="AC485" s="14" t="s">
        <v>76</v>
      </c>
      <c r="AD485" s="14" t="s">
        <v>76</v>
      </c>
      <c r="AE485" s="14" t="s">
        <v>76</v>
      </c>
      <c r="AF485" s="14"/>
      <c r="AG485" s="14" t="s">
        <v>76</v>
      </c>
      <c r="AH485" s="14" t="s">
        <v>76</v>
      </c>
      <c r="AI485" s="14"/>
      <c r="AJ485" s="14" t="s">
        <v>76</v>
      </c>
      <c r="AK485" s="14" t="s">
        <v>76</v>
      </c>
      <c r="AL485" s="14"/>
      <c r="AM485" s="14">
        <v>5.4647905576160803E-2</v>
      </c>
      <c r="AN485" s="14">
        <v>0.13704765742917099</v>
      </c>
    </row>
    <row r="486" spans="2:40" x14ac:dyDescent="0.35"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</row>
    <row r="487" spans="2:40" x14ac:dyDescent="0.35">
      <c r="B487" s="6" t="s">
        <v>192</v>
      </c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  <c r="AN487" s="14"/>
    </row>
    <row r="488" spans="2:40" x14ac:dyDescent="0.35">
      <c r="B488" s="26" t="s">
        <v>395</v>
      </c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  <c r="AN488" s="14"/>
    </row>
    <row r="489" spans="2:40" x14ac:dyDescent="0.35">
      <c r="B489" t="s">
        <v>155</v>
      </c>
      <c r="C489" s="14">
        <v>0.22291600014224</v>
      </c>
      <c r="D489" s="14">
        <v>0.228256074369073</v>
      </c>
      <c r="E489" s="14">
        <v>0.217424548416357</v>
      </c>
      <c r="F489" s="14"/>
      <c r="G489" s="14">
        <v>0.22291600014224</v>
      </c>
      <c r="H489" s="14" t="s">
        <v>76</v>
      </c>
      <c r="I489" s="14" t="s">
        <v>76</v>
      </c>
      <c r="J489" s="14"/>
      <c r="K489" s="14">
        <v>0.22291600014224</v>
      </c>
      <c r="L489" s="14" t="s">
        <v>76</v>
      </c>
      <c r="M489" s="14" t="s">
        <v>76</v>
      </c>
      <c r="N489" s="14"/>
      <c r="O489" s="14">
        <v>0.21659622966646599</v>
      </c>
      <c r="P489" s="14">
        <v>0.28296035559729599</v>
      </c>
      <c r="Q489" s="14"/>
      <c r="R489" s="14">
        <v>0.27579493804030902</v>
      </c>
      <c r="S489" s="14">
        <v>7.9302300452590804E-2</v>
      </c>
      <c r="T489" s="14">
        <v>0.152662270142115</v>
      </c>
      <c r="U489" s="14">
        <v>0.35628975537137902</v>
      </c>
      <c r="V489" s="14">
        <v>0.26689041958569198</v>
      </c>
      <c r="W489" s="14">
        <v>0.251899924058965</v>
      </c>
      <c r="X489" s="14">
        <v>0.14074907126583</v>
      </c>
      <c r="Y489" s="14">
        <v>0.13916322992729699</v>
      </c>
      <c r="Z489" s="14">
        <v>0.27365215907912699</v>
      </c>
      <c r="AA489" s="14"/>
      <c r="AB489" s="14" t="s">
        <v>76</v>
      </c>
      <c r="AC489" s="14" t="s">
        <v>76</v>
      </c>
      <c r="AD489" s="14" t="s">
        <v>76</v>
      </c>
      <c r="AE489" s="14" t="s">
        <v>76</v>
      </c>
      <c r="AF489" s="14"/>
      <c r="AG489" s="14" t="s">
        <v>76</v>
      </c>
      <c r="AH489" s="14" t="s">
        <v>76</v>
      </c>
      <c r="AI489" s="14"/>
      <c r="AJ489" s="14" t="s">
        <v>76</v>
      </c>
      <c r="AK489" s="14" t="s">
        <v>76</v>
      </c>
      <c r="AL489" s="14"/>
      <c r="AM489" s="14">
        <v>0.25328730556067502</v>
      </c>
      <c r="AN489" s="14">
        <v>8.6851921381977004E-2</v>
      </c>
    </row>
    <row r="490" spans="2:40" x14ac:dyDescent="0.35">
      <c r="B490" t="s">
        <v>156</v>
      </c>
      <c r="C490" s="14">
        <v>0.51572343999512904</v>
      </c>
      <c r="D490" s="14">
        <v>0.47069097709983498</v>
      </c>
      <c r="E490" s="14">
        <v>0.56203245848115302</v>
      </c>
      <c r="F490" s="14"/>
      <c r="G490" s="14">
        <v>0.51572343999512904</v>
      </c>
      <c r="H490" s="14" t="s">
        <v>76</v>
      </c>
      <c r="I490" s="14" t="s">
        <v>76</v>
      </c>
      <c r="J490" s="14"/>
      <c r="K490" s="14">
        <v>0.51572343999512904</v>
      </c>
      <c r="L490" s="14" t="s">
        <v>76</v>
      </c>
      <c r="M490" s="14" t="s">
        <v>76</v>
      </c>
      <c r="N490" s="14"/>
      <c r="O490" s="14">
        <v>0.50759944945660895</v>
      </c>
      <c r="P490" s="14">
        <v>0.63656575440863505</v>
      </c>
      <c r="Q490" s="14"/>
      <c r="R490" s="14">
        <v>0.58184896272141495</v>
      </c>
      <c r="S490" s="14">
        <v>0.67072059734931</v>
      </c>
      <c r="T490" s="14">
        <v>0.54355876837001604</v>
      </c>
      <c r="U490" s="14">
        <v>0.376495499137731</v>
      </c>
      <c r="V490" s="14">
        <v>0.41967881055138101</v>
      </c>
      <c r="W490" s="14">
        <v>0.47326955794199199</v>
      </c>
      <c r="X490" s="14">
        <v>0.53756328392620101</v>
      </c>
      <c r="Y490" s="14">
        <v>0.49451305210604002</v>
      </c>
      <c r="Z490" s="14">
        <v>0.454442514857618</v>
      </c>
      <c r="AA490" s="14"/>
      <c r="AB490" s="14" t="s">
        <v>76</v>
      </c>
      <c r="AC490" s="14" t="s">
        <v>76</v>
      </c>
      <c r="AD490" s="14" t="s">
        <v>76</v>
      </c>
      <c r="AE490" s="14" t="s">
        <v>76</v>
      </c>
      <c r="AF490" s="14"/>
      <c r="AG490" s="14" t="s">
        <v>76</v>
      </c>
      <c r="AH490" s="14" t="s">
        <v>76</v>
      </c>
      <c r="AI490" s="14"/>
      <c r="AJ490" s="14" t="s">
        <v>76</v>
      </c>
      <c r="AK490" s="14" t="s">
        <v>76</v>
      </c>
      <c r="AL490" s="14"/>
      <c r="AM490" s="14">
        <v>0.50965698940640403</v>
      </c>
      <c r="AN490" s="14">
        <v>0.49474677246710203</v>
      </c>
    </row>
    <row r="491" spans="2:40" x14ac:dyDescent="0.35">
      <c r="B491" t="s">
        <v>157</v>
      </c>
      <c r="C491" s="14">
        <v>0.152565057242251</v>
      </c>
      <c r="D491" s="14">
        <v>0.18241586385181899</v>
      </c>
      <c r="E491" s="14">
        <v>0.121868056318286</v>
      </c>
      <c r="F491" s="14"/>
      <c r="G491" s="14">
        <v>0.152565057242251</v>
      </c>
      <c r="H491" s="14" t="s">
        <v>76</v>
      </c>
      <c r="I491" s="14" t="s">
        <v>76</v>
      </c>
      <c r="J491" s="14"/>
      <c r="K491" s="14">
        <v>0.152565057242251</v>
      </c>
      <c r="L491" s="14" t="s">
        <v>76</v>
      </c>
      <c r="M491" s="14" t="s">
        <v>76</v>
      </c>
      <c r="N491" s="14"/>
      <c r="O491" s="14">
        <v>0.16132527445860401</v>
      </c>
      <c r="P491" s="14">
        <v>4.9713903780667403E-2</v>
      </c>
      <c r="Q491" s="14"/>
      <c r="R491" s="14">
        <v>9.0405818600629601E-2</v>
      </c>
      <c r="S491" s="14">
        <v>0.22020616133847201</v>
      </c>
      <c r="T491" s="14">
        <v>0.105062173903955</v>
      </c>
      <c r="U491" s="14">
        <v>0.17137242175661799</v>
      </c>
      <c r="V491" s="14">
        <v>9.9937720108820294E-2</v>
      </c>
      <c r="W491" s="14">
        <v>0.15200056483049201</v>
      </c>
      <c r="X491" s="14">
        <v>0.18380680922476</v>
      </c>
      <c r="Y491" s="14">
        <v>0.19032917782957701</v>
      </c>
      <c r="Z491" s="14">
        <v>0.191098781951172</v>
      </c>
      <c r="AA491" s="14"/>
      <c r="AB491" s="14" t="s">
        <v>76</v>
      </c>
      <c r="AC491" s="14" t="s">
        <v>76</v>
      </c>
      <c r="AD491" s="14" t="s">
        <v>76</v>
      </c>
      <c r="AE491" s="14" t="s">
        <v>76</v>
      </c>
      <c r="AF491" s="14"/>
      <c r="AG491" s="14" t="s">
        <v>76</v>
      </c>
      <c r="AH491" s="14" t="s">
        <v>76</v>
      </c>
      <c r="AI491" s="14"/>
      <c r="AJ491" s="14" t="s">
        <v>76</v>
      </c>
      <c r="AK491" s="14" t="s">
        <v>76</v>
      </c>
      <c r="AL491" s="14"/>
      <c r="AM491" s="14">
        <v>0.12918736518684901</v>
      </c>
      <c r="AN491" s="14">
        <v>0.25588373753722199</v>
      </c>
    </row>
    <row r="492" spans="2:40" x14ac:dyDescent="0.35">
      <c r="B492" t="s">
        <v>158</v>
      </c>
      <c r="C492" s="14">
        <v>6.9923190885619005E-2</v>
      </c>
      <c r="D492" s="14">
        <v>9.9198530403460702E-2</v>
      </c>
      <c r="E492" s="14">
        <v>3.9817970079273499E-2</v>
      </c>
      <c r="F492" s="14"/>
      <c r="G492" s="14">
        <v>6.9923190885619005E-2</v>
      </c>
      <c r="H492" s="14" t="s">
        <v>76</v>
      </c>
      <c r="I492" s="14" t="s">
        <v>76</v>
      </c>
      <c r="J492" s="14"/>
      <c r="K492" s="14">
        <v>6.9923190885619005E-2</v>
      </c>
      <c r="L492" s="14" t="s">
        <v>76</v>
      </c>
      <c r="M492" s="14" t="s">
        <v>76</v>
      </c>
      <c r="N492" s="14"/>
      <c r="O492" s="14">
        <v>7.0596882394753799E-2</v>
      </c>
      <c r="P492" s="14">
        <v>3.0759986213400599E-2</v>
      </c>
      <c r="Q492" s="14"/>
      <c r="R492" s="14">
        <v>3.4013091400470701E-2</v>
      </c>
      <c r="S492" s="14">
        <v>2.97709408596268E-2</v>
      </c>
      <c r="T492" s="14">
        <v>0.120352754329883</v>
      </c>
      <c r="U492" s="14">
        <v>6.8512096205431E-2</v>
      </c>
      <c r="V492" s="14">
        <v>0.158290606457655</v>
      </c>
      <c r="W492" s="14">
        <v>0.122829953168552</v>
      </c>
      <c r="X492" s="14">
        <v>8.5466815049390701E-2</v>
      </c>
      <c r="Y492" s="14">
        <v>0</v>
      </c>
      <c r="Z492" s="14">
        <v>3.43808695655832E-2</v>
      </c>
      <c r="AA492" s="14"/>
      <c r="AB492" s="14" t="s">
        <v>76</v>
      </c>
      <c r="AC492" s="14" t="s">
        <v>76</v>
      </c>
      <c r="AD492" s="14" t="s">
        <v>76</v>
      </c>
      <c r="AE492" s="14" t="s">
        <v>76</v>
      </c>
      <c r="AF492" s="14"/>
      <c r="AG492" s="14" t="s">
        <v>76</v>
      </c>
      <c r="AH492" s="14" t="s">
        <v>76</v>
      </c>
      <c r="AI492" s="14"/>
      <c r="AJ492" s="14" t="s">
        <v>76</v>
      </c>
      <c r="AK492" s="14" t="s">
        <v>76</v>
      </c>
      <c r="AL492" s="14"/>
      <c r="AM492" s="14">
        <v>6.3126035481285606E-2</v>
      </c>
      <c r="AN492" s="14">
        <v>0.122040288774228</v>
      </c>
    </row>
    <row r="493" spans="2:40" x14ac:dyDescent="0.35">
      <c r="B493" t="s">
        <v>70</v>
      </c>
      <c r="C493" s="14">
        <v>3.8872311734761002E-2</v>
      </c>
      <c r="D493" s="14">
        <v>1.9438554275811998E-2</v>
      </c>
      <c r="E493" s="14">
        <v>5.8856966704930097E-2</v>
      </c>
      <c r="F493" s="14"/>
      <c r="G493" s="14">
        <v>3.8872311734761002E-2</v>
      </c>
      <c r="H493" s="14" t="s">
        <v>76</v>
      </c>
      <c r="I493" s="14" t="s">
        <v>76</v>
      </c>
      <c r="J493" s="14"/>
      <c r="K493" s="14">
        <v>3.8872311734761002E-2</v>
      </c>
      <c r="L493" s="14" t="s">
        <v>76</v>
      </c>
      <c r="M493" s="14" t="s">
        <v>76</v>
      </c>
      <c r="N493" s="14"/>
      <c r="O493" s="14">
        <v>4.3882164023566303E-2</v>
      </c>
      <c r="P493" s="14">
        <v>0</v>
      </c>
      <c r="Q493" s="14"/>
      <c r="R493" s="14">
        <v>1.7937189237176202E-2</v>
      </c>
      <c r="S493" s="14">
        <v>0</v>
      </c>
      <c r="T493" s="14">
        <v>7.8364033254031795E-2</v>
      </c>
      <c r="U493" s="14">
        <v>2.73302275288415E-2</v>
      </c>
      <c r="V493" s="14">
        <v>5.5202443296450403E-2</v>
      </c>
      <c r="W493" s="14">
        <v>0</v>
      </c>
      <c r="X493" s="14">
        <v>5.2414020533817898E-2</v>
      </c>
      <c r="Y493" s="14">
        <v>0.17599454013708499</v>
      </c>
      <c r="Z493" s="14">
        <v>4.6425674546499297E-2</v>
      </c>
      <c r="AA493" s="14"/>
      <c r="AB493" s="14" t="s">
        <v>76</v>
      </c>
      <c r="AC493" s="14" t="s">
        <v>76</v>
      </c>
      <c r="AD493" s="14" t="s">
        <v>76</v>
      </c>
      <c r="AE493" s="14" t="s">
        <v>76</v>
      </c>
      <c r="AF493" s="14"/>
      <c r="AG493" s="14" t="s">
        <v>76</v>
      </c>
      <c r="AH493" s="14" t="s">
        <v>76</v>
      </c>
      <c r="AI493" s="14"/>
      <c r="AJ493" s="14" t="s">
        <v>76</v>
      </c>
      <c r="AK493" s="14" t="s">
        <v>76</v>
      </c>
      <c r="AL493" s="14"/>
      <c r="AM493" s="14">
        <v>4.4742304364787003E-2</v>
      </c>
      <c r="AN493" s="14">
        <v>4.0477279839470401E-2</v>
      </c>
    </row>
    <row r="494" spans="2:40" x14ac:dyDescent="0.35"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  <c r="AL494" s="14"/>
      <c r="AM494" s="14"/>
      <c r="AN494" s="14"/>
    </row>
    <row r="495" spans="2:40" x14ac:dyDescent="0.35">
      <c r="B495" s="6" t="s">
        <v>194</v>
      </c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/>
    </row>
    <row r="496" spans="2:40" x14ac:dyDescent="0.35">
      <c r="B496" s="26" t="s">
        <v>395</v>
      </c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/>
    </row>
    <row r="497" spans="2:40" x14ac:dyDescent="0.35">
      <c r="B497" t="s">
        <v>160</v>
      </c>
      <c r="C497" s="14">
        <v>0.24378063934969399</v>
      </c>
      <c r="D497" s="14">
        <v>0.26170368979110198</v>
      </c>
      <c r="E497" s="14">
        <v>0.22534951609207801</v>
      </c>
      <c r="F497" s="14"/>
      <c r="G497" s="14">
        <v>0.24378063934969399</v>
      </c>
      <c r="H497" s="14" t="s">
        <v>76</v>
      </c>
      <c r="I497" s="14" t="s">
        <v>76</v>
      </c>
      <c r="J497" s="14"/>
      <c r="K497" s="14">
        <v>0.24378063934969399</v>
      </c>
      <c r="L497" s="14" t="s">
        <v>76</v>
      </c>
      <c r="M497" s="14" t="s">
        <v>76</v>
      </c>
      <c r="N497" s="14"/>
      <c r="O497" s="14">
        <v>0.23954470994325799</v>
      </c>
      <c r="P497" s="14">
        <v>0.28837731495712599</v>
      </c>
      <c r="Q497" s="14"/>
      <c r="R497" s="14">
        <v>0.26448358136273298</v>
      </c>
      <c r="S497" s="14">
        <v>0.174412031393721</v>
      </c>
      <c r="T497" s="14">
        <v>0.15014205956519</v>
      </c>
      <c r="U497" s="14">
        <v>0.24173185034140901</v>
      </c>
      <c r="V497" s="14">
        <v>0.222155139788586</v>
      </c>
      <c r="W497" s="14">
        <v>0.29786779452039203</v>
      </c>
      <c r="X497" s="14">
        <v>0.38032357774678099</v>
      </c>
      <c r="Y497" s="14">
        <v>0.18856350361200599</v>
      </c>
      <c r="Z497" s="14">
        <v>0.28292619378949901</v>
      </c>
      <c r="AA497" s="14"/>
      <c r="AB497" s="14" t="s">
        <v>76</v>
      </c>
      <c r="AC497" s="14" t="s">
        <v>76</v>
      </c>
      <c r="AD497" s="14" t="s">
        <v>76</v>
      </c>
      <c r="AE497" s="14" t="s">
        <v>76</v>
      </c>
      <c r="AF497" s="14"/>
      <c r="AG497" s="14" t="s">
        <v>76</v>
      </c>
      <c r="AH497" s="14" t="s">
        <v>76</v>
      </c>
      <c r="AI497" s="14"/>
      <c r="AJ497" s="14" t="s">
        <v>76</v>
      </c>
      <c r="AK497" s="14" t="s">
        <v>76</v>
      </c>
      <c r="AL497" s="14"/>
      <c r="AM497" s="14">
        <v>0.29557250883812097</v>
      </c>
      <c r="AN497" s="14">
        <v>7.3408895264513996E-2</v>
      </c>
    </row>
    <row r="498" spans="2:40" x14ac:dyDescent="0.35">
      <c r="B498" t="s">
        <v>161</v>
      </c>
      <c r="C498" s="14">
        <v>0.57362496063290203</v>
      </c>
      <c r="D498" s="14">
        <v>0.57997844507700003</v>
      </c>
      <c r="E498" s="14">
        <v>0.567091371092031</v>
      </c>
      <c r="F498" s="14"/>
      <c r="G498" s="14">
        <v>0.57362496063290203</v>
      </c>
      <c r="H498" s="14" t="s">
        <v>76</v>
      </c>
      <c r="I498" s="14" t="s">
        <v>76</v>
      </c>
      <c r="J498" s="14"/>
      <c r="K498" s="14">
        <v>0.57362496063290203</v>
      </c>
      <c r="L498" s="14" t="s">
        <v>76</v>
      </c>
      <c r="M498" s="14" t="s">
        <v>76</v>
      </c>
      <c r="N498" s="14"/>
      <c r="O498" s="14">
        <v>0.572263610552317</v>
      </c>
      <c r="P498" s="14">
        <v>0.59495715615863598</v>
      </c>
      <c r="Q498" s="14"/>
      <c r="R498" s="14">
        <v>0.64452373949164599</v>
      </c>
      <c r="S498" s="14">
        <v>0.70225192142346204</v>
      </c>
      <c r="T498" s="14">
        <v>0.54173761056616498</v>
      </c>
      <c r="U498" s="14">
        <v>0.54571386067715799</v>
      </c>
      <c r="V498" s="14">
        <v>0.57982365358421994</v>
      </c>
      <c r="W498" s="14">
        <v>0.419782288266283</v>
      </c>
      <c r="X498" s="14">
        <v>0.52133643524190099</v>
      </c>
      <c r="Y498" s="14">
        <v>0.63422485742957702</v>
      </c>
      <c r="Z498" s="14">
        <v>0.502809059124952</v>
      </c>
      <c r="AA498" s="14"/>
      <c r="AB498" s="14" t="s">
        <v>76</v>
      </c>
      <c r="AC498" s="14" t="s">
        <v>76</v>
      </c>
      <c r="AD498" s="14" t="s">
        <v>76</v>
      </c>
      <c r="AE498" s="14" t="s">
        <v>76</v>
      </c>
      <c r="AF498" s="14"/>
      <c r="AG498" s="14" t="s">
        <v>76</v>
      </c>
      <c r="AH498" s="14" t="s">
        <v>76</v>
      </c>
      <c r="AI498" s="14"/>
      <c r="AJ498" s="14" t="s">
        <v>76</v>
      </c>
      <c r="AK498" s="14" t="s">
        <v>76</v>
      </c>
      <c r="AL498" s="14"/>
      <c r="AM498" s="14">
        <v>0.58052032639141504</v>
      </c>
      <c r="AN498" s="14">
        <v>0.44375137977593498</v>
      </c>
    </row>
    <row r="499" spans="2:40" x14ac:dyDescent="0.35">
      <c r="B499" t="s">
        <v>162</v>
      </c>
      <c r="C499" s="14">
        <v>0.13909014472586401</v>
      </c>
      <c r="D499" s="14">
        <v>0.129647423496355</v>
      </c>
      <c r="E499" s="14">
        <v>0.148800543044349</v>
      </c>
      <c r="F499" s="14"/>
      <c r="G499" s="14">
        <v>0.13909014472586401</v>
      </c>
      <c r="H499" s="14" t="s">
        <v>76</v>
      </c>
      <c r="I499" s="14" t="s">
        <v>76</v>
      </c>
      <c r="J499" s="14"/>
      <c r="K499" s="14">
        <v>0.13909014472586401</v>
      </c>
      <c r="L499" s="14" t="s">
        <v>76</v>
      </c>
      <c r="M499" s="14" t="s">
        <v>76</v>
      </c>
      <c r="N499" s="14"/>
      <c r="O499" s="14">
        <v>0.14398206402348601</v>
      </c>
      <c r="P499" s="14">
        <v>0.11666552888423801</v>
      </c>
      <c r="Q499" s="14"/>
      <c r="R499" s="14">
        <v>7.3986135628326302E-2</v>
      </c>
      <c r="S499" s="14">
        <v>7.5307551694483499E-2</v>
      </c>
      <c r="T499" s="14">
        <v>0.16154964076717901</v>
      </c>
      <c r="U499" s="14">
        <v>0.212554288981433</v>
      </c>
      <c r="V499" s="14">
        <v>0.198021206627194</v>
      </c>
      <c r="W499" s="14">
        <v>0.178369223743055</v>
      </c>
      <c r="X499" s="14">
        <v>9.8339987011317895E-2</v>
      </c>
      <c r="Y499" s="14">
        <v>8.9214357077833803E-2</v>
      </c>
      <c r="Z499" s="14">
        <v>0.18548733278375401</v>
      </c>
      <c r="AA499" s="14"/>
      <c r="AB499" s="14" t="s">
        <v>76</v>
      </c>
      <c r="AC499" s="14" t="s">
        <v>76</v>
      </c>
      <c r="AD499" s="14" t="s">
        <v>76</v>
      </c>
      <c r="AE499" s="14" t="s">
        <v>76</v>
      </c>
      <c r="AF499" s="14"/>
      <c r="AG499" s="14" t="s">
        <v>76</v>
      </c>
      <c r="AH499" s="14" t="s">
        <v>76</v>
      </c>
      <c r="AI499" s="14"/>
      <c r="AJ499" s="14" t="s">
        <v>76</v>
      </c>
      <c r="AK499" s="14" t="s">
        <v>76</v>
      </c>
      <c r="AL499" s="14"/>
      <c r="AM499" s="14">
        <v>9.1607653896477403E-2</v>
      </c>
      <c r="AN499" s="14">
        <v>0.41545497175863799</v>
      </c>
    </row>
    <row r="500" spans="2:40" x14ac:dyDescent="0.35">
      <c r="B500" t="s">
        <v>163</v>
      </c>
      <c r="C500" s="14">
        <v>1.56598258565992E-2</v>
      </c>
      <c r="D500" s="14">
        <v>6.0044781896463296E-3</v>
      </c>
      <c r="E500" s="14">
        <v>2.5588878030306701E-2</v>
      </c>
      <c r="F500" s="14"/>
      <c r="G500" s="14">
        <v>1.56598258565992E-2</v>
      </c>
      <c r="H500" s="14" t="s">
        <v>76</v>
      </c>
      <c r="I500" s="14" t="s">
        <v>76</v>
      </c>
      <c r="J500" s="14"/>
      <c r="K500" s="14">
        <v>1.56598258565992E-2</v>
      </c>
      <c r="L500" s="14" t="s">
        <v>76</v>
      </c>
      <c r="M500" s="14" t="s">
        <v>76</v>
      </c>
      <c r="N500" s="14"/>
      <c r="O500" s="14">
        <v>1.76780596818806E-2</v>
      </c>
      <c r="P500" s="14">
        <v>0</v>
      </c>
      <c r="Q500" s="14"/>
      <c r="R500" s="14">
        <v>1.70065435172949E-2</v>
      </c>
      <c r="S500" s="14">
        <v>0</v>
      </c>
      <c r="T500" s="14">
        <v>5.1941457626270601E-2</v>
      </c>
      <c r="U500" s="14">
        <v>0</v>
      </c>
      <c r="V500" s="14">
        <v>0</v>
      </c>
      <c r="W500" s="14">
        <v>3.5902038974784202E-2</v>
      </c>
      <c r="X500" s="14">
        <v>0</v>
      </c>
      <c r="Y500" s="14">
        <v>0</v>
      </c>
      <c r="Z500" s="14">
        <v>2.8777414301794198E-2</v>
      </c>
      <c r="AA500" s="14"/>
      <c r="AB500" s="14" t="s">
        <v>76</v>
      </c>
      <c r="AC500" s="14" t="s">
        <v>76</v>
      </c>
      <c r="AD500" s="14" t="s">
        <v>76</v>
      </c>
      <c r="AE500" s="14" t="s">
        <v>76</v>
      </c>
      <c r="AF500" s="14"/>
      <c r="AG500" s="14" t="s">
        <v>76</v>
      </c>
      <c r="AH500" s="14" t="s">
        <v>76</v>
      </c>
      <c r="AI500" s="14"/>
      <c r="AJ500" s="14" t="s">
        <v>76</v>
      </c>
      <c r="AK500" s="14" t="s">
        <v>76</v>
      </c>
      <c r="AL500" s="14"/>
      <c r="AM500" s="14">
        <v>9.0922993877893699E-3</v>
      </c>
      <c r="AN500" s="14">
        <v>6.7384753200912501E-2</v>
      </c>
    </row>
    <row r="501" spans="2:40" x14ac:dyDescent="0.35">
      <c r="B501" t="s">
        <v>70</v>
      </c>
      <c r="C501" s="14">
        <v>2.7844429434941E-2</v>
      </c>
      <c r="D501" s="14">
        <v>2.2665963445896699E-2</v>
      </c>
      <c r="E501" s="14">
        <v>3.3169691741235401E-2</v>
      </c>
      <c r="F501" s="14"/>
      <c r="G501" s="14">
        <v>2.7844429434941E-2</v>
      </c>
      <c r="H501" s="14" t="s">
        <v>76</v>
      </c>
      <c r="I501" s="14" t="s">
        <v>76</v>
      </c>
      <c r="J501" s="14"/>
      <c r="K501" s="14">
        <v>2.7844429434941E-2</v>
      </c>
      <c r="L501" s="14" t="s">
        <v>76</v>
      </c>
      <c r="M501" s="14" t="s">
        <v>76</v>
      </c>
      <c r="N501" s="14"/>
      <c r="O501" s="14">
        <v>2.6531555799057902E-2</v>
      </c>
      <c r="P501" s="14">
        <v>0</v>
      </c>
      <c r="Q501" s="14"/>
      <c r="R501" s="14">
        <v>0</v>
      </c>
      <c r="S501" s="14">
        <v>4.8028495488333399E-2</v>
      </c>
      <c r="T501" s="14">
        <v>9.4629231475195405E-2</v>
      </c>
      <c r="U501" s="14">
        <v>0</v>
      </c>
      <c r="V501" s="14">
        <v>0</v>
      </c>
      <c r="W501" s="14">
        <v>6.8078654495485794E-2</v>
      </c>
      <c r="X501" s="14">
        <v>0</v>
      </c>
      <c r="Y501" s="14">
        <v>8.7997281880582798E-2</v>
      </c>
      <c r="Z501" s="14">
        <v>0</v>
      </c>
      <c r="AA501" s="14"/>
      <c r="AB501" s="14" t="s">
        <v>76</v>
      </c>
      <c r="AC501" s="14" t="s">
        <v>76</v>
      </c>
      <c r="AD501" s="14" t="s">
        <v>76</v>
      </c>
      <c r="AE501" s="14" t="s">
        <v>76</v>
      </c>
      <c r="AF501" s="14"/>
      <c r="AG501" s="14" t="s">
        <v>76</v>
      </c>
      <c r="AH501" s="14" t="s">
        <v>76</v>
      </c>
      <c r="AI501" s="14"/>
      <c r="AJ501" s="14" t="s">
        <v>76</v>
      </c>
      <c r="AK501" s="14" t="s">
        <v>76</v>
      </c>
      <c r="AL501" s="14"/>
      <c r="AM501" s="14">
        <v>2.32072114861974E-2</v>
      </c>
      <c r="AN501" s="14">
        <v>0</v>
      </c>
    </row>
    <row r="502" spans="2:40" x14ac:dyDescent="0.35">
      <c r="B502" t="s">
        <v>164</v>
      </c>
      <c r="C502" s="14">
        <v>0.81740559998259599</v>
      </c>
      <c r="D502" s="14">
        <v>0.84168213486810195</v>
      </c>
      <c r="E502" s="14">
        <v>0.79244088718410899</v>
      </c>
      <c r="F502" s="14"/>
      <c r="G502" s="14">
        <v>0.81740559998259599</v>
      </c>
      <c r="H502" s="14" t="s">
        <v>76</v>
      </c>
      <c r="I502" s="14" t="s">
        <v>76</v>
      </c>
      <c r="J502" s="14"/>
      <c r="K502" s="14">
        <v>0.81740559998259599</v>
      </c>
      <c r="L502" s="14" t="s">
        <v>76</v>
      </c>
      <c r="M502" s="14" t="s">
        <v>76</v>
      </c>
      <c r="N502" s="14"/>
      <c r="O502" s="14">
        <v>0.81180832049557605</v>
      </c>
      <c r="P502" s="14">
        <v>0.88333447111576202</v>
      </c>
      <c r="Q502" s="14"/>
      <c r="R502" s="14">
        <v>0.90900732085437896</v>
      </c>
      <c r="S502" s="14">
        <v>0.87666395281718301</v>
      </c>
      <c r="T502" s="14">
        <v>0.69187967013135498</v>
      </c>
      <c r="U502" s="14">
        <v>0.78744571101856697</v>
      </c>
      <c r="V502" s="14">
        <v>0.80197879337280598</v>
      </c>
      <c r="W502" s="14">
        <v>0.71765008278667497</v>
      </c>
      <c r="X502" s="14">
        <v>0.90166001298868204</v>
      </c>
      <c r="Y502" s="14">
        <v>0.82278836104158304</v>
      </c>
      <c r="Z502" s="14">
        <v>0.78573525291445101</v>
      </c>
      <c r="AA502" s="14"/>
      <c r="AB502" s="14" t="s">
        <v>76</v>
      </c>
      <c r="AC502" s="14" t="s">
        <v>76</v>
      </c>
      <c r="AD502" s="14" t="s">
        <v>76</v>
      </c>
      <c r="AE502" s="14" t="s">
        <v>76</v>
      </c>
      <c r="AF502" s="14"/>
      <c r="AG502" s="14" t="s">
        <v>76</v>
      </c>
      <c r="AH502" s="14" t="s">
        <v>76</v>
      </c>
      <c r="AI502" s="14"/>
      <c r="AJ502" s="14" t="s">
        <v>76</v>
      </c>
      <c r="AK502" s="14" t="s">
        <v>76</v>
      </c>
      <c r="AL502" s="14"/>
      <c r="AM502" s="14">
        <v>0.87609283522953596</v>
      </c>
      <c r="AN502" s="14">
        <v>0.51716027504044904</v>
      </c>
    </row>
    <row r="503" spans="2:40" x14ac:dyDescent="0.35"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  <c r="AL503" s="14"/>
      <c r="AM503" s="14"/>
      <c r="AN503" s="14"/>
    </row>
    <row r="504" spans="2:40" x14ac:dyDescent="0.35">
      <c r="B504" s="6" t="s">
        <v>195</v>
      </c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  <c r="AL504" s="14"/>
      <c r="AM504" s="14"/>
      <c r="AN504" s="14"/>
    </row>
    <row r="505" spans="2:40" x14ac:dyDescent="0.35">
      <c r="B505" s="26" t="s">
        <v>395</v>
      </c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  <c r="AN505" s="14"/>
    </row>
    <row r="506" spans="2:40" x14ac:dyDescent="0.35">
      <c r="B506" t="s">
        <v>166</v>
      </c>
      <c r="C506" s="14">
        <v>0.274723778794427</v>
      </c>
      <c r="D506" s="14">
        <v>0.30399816378441202</v>
      </c>
      <c r="E506" s="14">
        <v>0.24461953957437099</v>
      </c>
      <c r="F506" s="14"/>
      <c r="G506" s="14">
        <v>0.274723778794427</v>
      </c>
      <c r="H506" s="14" t="s">
        <v>76</v>
      </c>
      <c r="I506" s="14" t="s">
        <v>76</v>
      </c>
      <c r="J506" s="14"/>
      <c r="K506" s="14">
        <v>0.274723778794427</v>
      </c>
      <c r="L506" s="14" t="s">
        <v>76</v>
      </c>
      <c r="M506" s="14" t="s">
        <v>76</v>
      </c>
      <c r="N506" s="14"/>
      <c r="O506" s="14">
        <v>0.26393729304200397</v>
      </c>
      <c r="P506" s="14">
        <v>0.38270611880621802</v>
      </c>
      <c r="Q506" s="14"/>
      <c r="R506" s="14">
        <v>0.351703112406763</v>
      </c>
      <c r="S506" s="14">
        <v>0.20418295995133801</v>
      </c>
      <c r="T506" s="14">
        <v>0.17047305415230199</v>
      </c>
      <c r="U506" s="14">
        <v>0.29205142239221299</v>
      </c>
      <c r="V506" s="14">
        <v>0.345820591295952</v>
      </c>
      <c r="W506" s="14">
        <v>0.25611735472924502</v>
      </c>
      <c r="X506" s="14">
        <v>0.32504131307258599</v>
      </c>
      <c r="Y506" s="14">
        <v>8.3431677461914794E-2</v>
      </c>
      <c r="Z506" s="14">
        <v>0.31639141289117501</v>
      </c>
      <c r="AA506" s="14"/>
      <c r="AB506" s="14" t="s">
        <v>76</v>
      </c>
      <c r="AC506" s="14" t="s">
        <v>76</v>
      </c>
      <c r="AD506" s="14" t="s">
        <v>76</v>
      </c>
      <c r="AE506" s="14" t="s">
        <v>76</v>
      </c>
      <c r="AF506" s="14"/>
      <c r="AG506" s="14" t="s">
        <v>76</v>
      </c>
      <c r="AH506" s="14" t="s">
        <v>76</v>
      </c>
      <c r="AI506" s="14"/>
      <c r="AJ506" s="14" t="s">
        <v>76</v>
      </c>
      <c r="AK506" s="14" t="s">
        <v>76</v>
      </c>
      <c r="AL506" s="14"/>
      <c r="AM506" s="14">
        <v>0.33910368343867398</v>
      </c>
      <c r="AN506" s="14">
        <v>7.9063203407718205E-2</v>
      </c>
    </row>
    <row r="507" spans="2:40" x14ac:dyDescent="0.35">
      <c r="B507" t="s">
        <v>167</v>
      </c>
      <c r="C507" s="14">
        <v>0.50652234792822404</v>
      </c>
      <c r="D507" s="14">
        <v>0.498490333943645</v>
      </c>
      <c r="E507" s="14">
        <v>0.51478204904554303</v>
      </c>
      <c r="F507" s="14"/>
      <c r="G507" s="14">
        <v>0.50652234792822404</v>
      </c>
      <c r="H507" s="14" t="s">
        <v>76</v>
      </c>
      <c r="I507" s="14" t="s">
        <v>76</v>
      </c>
      <c r="J507" s="14"/>
      <c r="K507" s="14">
        <v>0.50652234792822404</v>
      </c>
      <c r="L507" s="14" t="s">
        <v>76</v>
      </c>
      <c r="M507" s="14" t="s">
        <v>76</v>
      </c>
      <c r="N507" s="14"/>
      <c r="O507" s="14">
        <v>0.51499682226056498</v>
      </c>
      <c r="P507" s="14">
        <v>0.47738069255953303</v>
      </c>
      <c r="Q507" s="14"/>
      <c r="R507" s="14">
        <v>0.49369878789139598</v>
      </c>
      <c r="S507" s="14">
        <v>0.62539977288672099</v>
      </c>
      <c r="T507" s="14">
        <v>0.52121441104845001</v>
      </c>
      <c r="U507" s="14">
        <v>0.56937638457677098</v>
      </c>
      <c r="V507" s="14">
        <v>0.48209720806440098</v>
      </c>
      <c r="W507" s="14">
        <v>0.375651505685135</v>
      </c>
      <c r="X507" s="14">
        <v>0.38994365599506398</v>
      </c>
      <c r="Y507" s="14">
        <v>0.50652118279575598</v>
      </c>
      <c r="Z507" s="14">
        <v>0.51456074234896698</v>
      </c>
      <c r="AA507" s="14"/>
      <c r="AB507" s="14" t="s">
        <v>76</v>
      </c>
      <c r="AC507" s="14" t="s">
        <v>76</v>
      </c>
      <c r="AD507" s="14" t="s">
        <v>76</v>
      </c>
      <c r="AE507" s="14" t="s">
        <v>76</v>
      </c>
      <c r="AF507" s="14"/>
      <c r="AG507" s="14" t="s">
        <v>76</v>
      </c>
      <c r="AH507" s="14" t="s">
        <v>76</v>
      </c>
      <c r="AI507" s="14"/>
      <c r="AJ507" s="14" t="s">
        <v>76</v>
      </c>
      <c r="AK507" s="14" t="s">
        <v>76</v>
      </c>
      <c r="AL507" s="14"/>
      <c r="AM507" s="14">
        <v>0.52386618495551296</v>
      </c>
      <c r="AN507" s="14">
        <v>0.27192852712009802</v>
      </c>
    </row>
    <row r="508" spans="2:40" x14ac:dyDescent="0.35">
      <c r="B508" t="s">
        <v>168</v>
      </c>
      <c r="C508" s="14">
        <v>0.18159388328782</v>
      </c>
      <c r="D508" s="14">
        <v>0.1804746538999</v>
      </c>
      <c r="E508" s="14">
        <v>0.182744839977348</v>
      </c>
      <c r="F508" s="14"/>
      <c r="G508" s="14">
        <v>0.18159388328782</v>
      </c>
      <c r="H508" s="14" t="s">
        <v>76</v>
      </c>
      <c r="I508" s="14" t="s">
        <v>76</v>
      </c>
      <c r="J508" s="14"/>
      <c r="K508" s="14">
        <v>0.18159388328782</v>
      </c>
      <c r="L508" s="14" t="s">
        <v>76</v>
      </c>
      <c r="M508" s="14" t="s">
        <v>76</v>
      </c>
      <c r="N508" s="14"/>
      <c r="O508" s="14">
        <v>0.18401818159493599</v>
      </c>
      <c r="P508" s="14">
        <v>0.13991318863425001</v>
      </c>
      <c r="Q508" s="14"/>
      <c r="R508" s="14">
        <v>0.13759155618454599</v>
      </c>
      <c r="S508" s="14">
        <v>0.110875390932409</v>
      </c>
      <c r="T508" s="14">
        <v>0.22812735073403001</v>
      </c>
      <c r="U508" s="14">
        <v>0.13857219303101601</v>
      </c>
      <c r="V508" s="14">
        <v>0.14521606772965301</v>
      </c>
      <c r="W508" s="14">
        <v>0.28829397108489002</v>
      </c>
      <c r="X508" s="14">
        <v>0.229732770487033</v>
      </c>
      <c r="Y508" s="14">
        <v>0.41004713974232898</v>
      </c>
      <c r="Z508" s="14">
        <v>0.15139958480302801</v>
      </c>
      <c r="AA508" s="14"/>
      <c r="AB508" s="14" t="s">
        <v>76</v>
      </c>
      <c r="AC508" s="14" t="s">
        <v>76</v>
      </c>
      <c r="AD508" s="14" t="s">
        <v>76</v>
      </c>
      <c r="AE508" s="14" t="s">
        <v>76</v>
      </c>
      <c r="AF508" s="14"/>
      <c r="AG508" s="14" t="s">
        <v>76</v>
      </c>
      <c r="AH508" s="14" t="s">
        <v>76</v>
      </c>
      <c r="AI508" s="14"/>
      <c r="AJ508" s="14" t="s">
        <v>76</v>
      </c>
      <c r="AK508" s="14" t="s">
        <v>76</v>
      </c>
      <c r="AL508" s="14"/>
      <c r="AM508" s="14">
        <v>0.127313563875739</v>
      </c>
      <c r="AN508" s="14">
        <v>0.45439201030292398</v>
      </c>
    </row>
    <row r="509" spans="2:40" x14ac:dyDescent="0.35">
      <c r="B509" t="s">
        <v>169</v>
      </c>
      <c r="C509" s="14">
        <v>3.2818114058451302E-2</v>
      </c>
      <c r="D509" s="14">
        <v>1.7036848372041901E-2</v>
      </c>
      <c r="E509" s="14">
        <v>4.9046738420037601E-2</v>
      </c>
      <c r="F509" s="14"/>
      <c r="G509" s="14">
        <v>3.2818114058451302E-2</v>
      </c>
      <c r="H509" s="14" t="s">
        <v>76</v>
      </c>
      <c r="I509" s="14" t="s">
        <v>76</v>
      </c>
      <c r="J509" s="14"/>
      <c r="K509" s="14">
        <v>3.2818114058451302E-2</v>
      </c>
      <c r="L509" s="14" t="s">
        <v>76</v>
      </c>
      <c r="M509" s="14" t="s">
        <v>76</v>
      </c>
      <c r="N509" s="14"/>
      <c r="O509" s="14">
        <v>3.7047703102495201E-2</v>
      </c>
      <c r="P509" s="14">
        <v>0</v>
      </c>
      <c r="Q509" s="14"/>
      <c r="R509" s="14">
        <v>1.70065435172949E-2</v>
      </c>
      <c r="S509" s="14">
        <v>2.9770935369904598E-2</v>
      </c>
      <c r="T509" s="14">
        <v>8.0185184065218004E-2</v>
      </c>
      <c r="U509" s="14">
        <v>0</v>
      </c>
      <c r="V509" s="14">
        <v>2.6866132909994601E-2</v>
      </c>
      <c r="W509" s="14">
        <v>7.9937168500730002E-2</v>
      </c>
      <c r="X509" s="14">
        <v>5.5282260445316901E-2</v>
      </c>
      <c r="Y509" s="14">
        <v>0</v>
      </c>
      <c r="Z509" s="14">
        <v>1.7648259956830101E-2</v>
      </c>
      <c r="AA509" s="14"/>
      <c r="AB509" s="14" t="s">
        <v>76</v>
      </c>
      <c r="AC509" s="14" t="s">
        <v>76</v>
      </c>
      <c r="AD509" s="14" t="s">
        <v>76</v>
      </c>
      <c r="AE509" s="14" t="s">
        <v>76</v>
      </c>
      <c r="AF509" s="14"/>
      <c r="AG509" s="14" t="s">
        <v>76</v>
      </c>
      <c r="AH509" s="14" t="s">
        <v>76</v>
      </c>
      <c r="AI509" s="14"/>
      <c r="AJ509" s="14" t="s">
        <v>76</v>
      </c>
      <c r="AK509" s="14" t="s">
        <v>76</v>
      </c>
      <c r="AL509" s="14"/>
      <c r="AM509" s="14">
        <v>9.7165677300744303E-3</v>
      </c>
      <c r="AN509" s="14">
        <v>0.19461625916926001</v>
      </c>
    </row>
    <row r="510" spans="2:40" x14ac:dyDescent="0.35">
      <c r="B510" t="s">
        <v>70</v>
      </c>
      <c r="C510" s="14">
        <v>4.3418759310775096E-3</v>
      </c>
      <c r="D510" s="14">
        <v>0</v>
      </c>
      <c r="E510" s="14">
        <v>8.8068329827005395E-3</v>
      </c>
      <c r="F510" s="14"/>
      <c r="G510" s="14">
        <v>4.3418759310775096E-3</v>
      </c>
      <c r="H510" s="14" t="s">
        <v>76</v>
      </c>
      <c r="I510" s="14" t="s">
        <v>76</v>
      </c>
      <c r="J510" s="14"/>
      <c r="K510" s="14">
        <v>4.3418759310775096E-3</v>
      </c>
      <c r="L510" s="14" t="s">
        <v>76</v>
      </c>
      <c r="M510" s="14" t="s">
        <v>76</v>
      </c>
      <c r="N510" s="14"/>
      <c r="O510" s="14">
        <v>0</v>
      </c>
      <c r="P510" s="14">
        <v>0</v>
      </c>
      <c r="Q510" s="14"/>
      <c r="R510" s="14">
        <v>0</v>
      </c>
      <c r="S510" s="14">
        <v>2.97709408596268E-2</v>
      </c>
      <c r="T510" s="14">
        <v>0</v>
      </c>
      <c r="U510" s="14">
        <v>0</v>
      </c>
      <c r="V510" s="14">
        <v>0</v>
      </c>
      <c r="W510" s="14">
        <v>0</v>
      </c>
      <c r="X510" s="14">
        <v>0</v>
      </c>
      <c r="Y510" s="14">
        <v>0</v>
      </c>
      <c r="Z510" s="14">
        <v>0</v>
      </c>
      <c r="AA510" s="14"/>
      <c r="AB510" s="14" t="s">
        <v>76</v>
      </c>
      <c r="AC510" s="14" t="s">
        <v>76</v>
      </c>
      <c r="AD510" s="14" t="s">
        <v>76</v>
      </c>
      <c r="AE510" s="14" t="s">
        <v>76</v>
      </c>
      <c r="AF510" s="14"/>
      <c r="AG510" s="14" t="s">
        <v>76</v>
      </c>
      <c r="AH510" s="14" t="s">
        <v>76</v>
      </c>
      <c r="AI510" s="14"/>
      <c r="AJ510" s="14" t="s">
        <v>76</v>
      </c>
      <c r="AK510" s="14" t="s">
        <v>76</v>
      </c>
      <c r="AL510" s="14"/>
      <c r="AM510" s="14">
        <v>0</v>
      </c>
      <c r="AN510" s="14">
        <v>0</v>
      </c>
    </row>
    <row r="511" spans="2:40" x14ac:dyDescent="0.35"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  <c r="AN511" s="14"/>
    </row>
    <row r="512" spans="2:40" x14ac:dyDescent="0.35">
      <c r="B512" s="6" t="s">
        <v>196</v>
      </c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</row>
    <row r="513" spans="2:40" x14ac:dyDescent="0.35">
      <c r="B513" s="26" t="s">
        <v>389</v>
      </c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/>
    </row>
    <row r="514" spans="2:40" x14ac:dyDescent="0.35">
      <c r="B514" t="s">
        <v>44</v>
      </c>
      <c r="C514" s="14">
        <v>0.63485726382184404</v>
      </c>
      <c r="D514" s="14">
        <v>0.62637926039430203</v>
      </c>
      <c r="E514" s="14">
        <v>0.64433057611255595</v>
      </c>
      <c r="F514" s="14"/>
      <c r="G514" s="14">
        <v>0.63485726382184404</v>
      </c>
      <c r="H514" s="14" t="s">
        <v>76</v>
      </c>
      <c r="I514" s="14" t="s">
        <v>76</v>
      </c>
      <c r="J514" s="14"/>
      <c r="K514" s="14">
        <v>0.63485726382184404</v>
      </c>
      <c r="L514" s="14" t="s">
        <v>76</v>
      </c>
      <c r="M514" s="14" t="s">
        <v>76</v>
      </c>
      <c r="N514" s="14"/>
      <c r="O514" s="14">
        <v>0.63022979918864597</v>
      </c>
      <c r="P514" s="14">
        <v>0.68149870881333996</v>
      </c>
      <c r="Q514" s="14"/>
      <c r="R514" s="14">
        <v>0.80233559579199798</v>
      </c>
      <c r="S514" s="14">
        <v>0.60708556792940505</v>
      </c>
      <c r="T514" s="14">
        <v>0.50250474932512501</v>
      </c>
      <c r="U514" s="14">
        <v>0.65556547834135503</v>
      </c>
      <c r="V514" s="14">
        <v>0.65289104991178903</v>
      </c>
      <c r="W514" s="14">
        <v>0.64520992770276797</v>
      </c>
      <c r="X514" s="14">
        <v>0.63688103161137699</v>
      </c>
      <c r="Y514" s="14">
        <v>0.56433207361555204</v>
      </c>
      <c r="Z514" s="14">
        <v>0.53354951993326005</v>
      </c>
      <c r="AA514" s="14"/>
      <c r="AB514" s="14" t="s">
        <v>76</v>
      </c>
      <c r="AC514" s="14" t="s">
        <v>76</v>
      </c>
      <c r="AD514" s="14" t="s">
        <v>76</v>
      </c>
      <c r="AE514" s="14" t="s">
        <v>76</v>
      </c>
      <c r="AF514" s="14"/>
      <c r="AG514" s="14" t="s">
        <v>76</v>
      </c>
      <c r="AH514" s="14" t="s">
        <v>76</v>
      </c>
      <c r="AI514" s="14"/>
      <c r="AJ514" s="14" t="s">
        <v>76</v>
      </c>
      <c r="AK514" s="14" t="s">
        <v>76</v>
      </c>
      <c r="AL514" s="14"/>
      <c r="AM514" s="14">
        <v>0.66484176485430901</v>
      </c>
      <c r="AN514" s="14">
        <v>0.54848899886855396</v>
      </c>
    </row>
    <row r="515" spans="2:40" x14ac:dyDescent="0.35">
      <c r="B515" t="s">
        <v>45</v>
      </c>
      <c r="C515" s="14">
        <v>0.22545153524415301</v>
      </c>
      <c r="D515" s="14">
        <v>0.24834409918129999</v>
      </c>
      <c r="E515" s="14">
        <v>0.199871407898701</v>
      </c>
      <c r="F515" s="14"/>
      <c r="G515" s="14">
        <v>0.22545153524415301</v>
      </c>
      <c r="H515" s="14" t="s">
        <v>76</v>
      </c>
      <c r="I515" s="14" t="s">
        <v>76</v>
      </c>
      <c r="J515" s="14"/>
      <c r="K515" s="14">
        <v>0.22545153524415301</v>
      </c>
      <c r="L515" s="14" t="s">
        <v>76</v>
      </c>
      <c r="M515" s="14" t="s">
        <v>76</v>
      </c>
      <c r="N515" s="14"/>
      <c r="O515" s="14">
        <v>0.22353199882050501</v>
      </c>
      <c r="P515" s="14">
        <v>0.27210070346916798</v>
      </c>
      <c r="Q515" s="14"/>
      <c r="R515" s="14">
        <v>0.15379875096862999</v>
      </c>
      <c r="S515" s="14">
        <v>0.20388110668895301</v>
      </c>
      <c r="T515" s="14">
        <v>0.32574652582146701</v>
      </c>
      <c r="U515" s="14">
        <v>0.31220620829138401</v>
      </c>
      <c r="V515" s="14">
        <v>0.194867804952427</v>
      </c>
      <c r="W515" s="14">
        <v>0.18223525206645499</v>
      </c>
      <c r="X515" s="14">
        <v>0.17381199409489601</v>
      </c>
      <c r="Y515" s="14">
        <v>0.29589074819959399</v>
      </c>
      <c r="Z515" s="14">
        <v>0.26020891099674298</v>
      </c>
      <c r="AA515" s="14"/>
      <c r="AB515" s="14" t="s">
        <v>76</v>
      </c>
      <c r="AC515" s="14" t="s">
        <v>76</v>
      </c>
      <c r="AD515" s="14" t="s">
        <v>76</v>
      </c>
      <c r="AE515" s="14" t="s">
        <v>76</v>
      </c>
      <c r="AF515" s="14"/>
      <c r="AG515" s="14" t="s">
        <v>76</v>
      </c>
      <c r="AH515" s="14" t="s">
        <v>76</v>
      </c>
      <c r="AI515" s="14"/>
      <c r="AJ515" s="14" t="s">
        <v>76</v>
      </c>
      <c r="AK515" s="14" t="s">
        <v>76</v>
      </c>
      <c r="AL515" s="14"/>
      <c r="AM515" s="14">
        <v>0.212965706360361</v>
      </c>
      <c r="AN515" s="14">
        <v>0.27063677524660201</v>
      </c>
    </row>
    <row r="516" spans="2:40" x14ac:dyDescent="0.35">
      <c r="B516" t="s">
        <v>70</v>
      </c>
      <c r="C516" s="14">
        <v>0.139691200934003</v>
      </c>
      <c r="D516" s="14">
        <v>0.12527664042439701</v>
      </c>
      <c r="E516" s="14">
        <v>0.15579801598874299</v>
      </c>
      <c r="F516" s="14"/>
      <c r="G516" s="14">
        <v>0.139691200934003</v>
      </c>
      <c r="H516" s="14" t="s">
        <v>76</v>
      </c>
      <c r="I516" s="14" t="s">
        <v>76</v>
      </c>
      <c r="J516" s="14"/>
      <c r="K516" s="14">
        <v>0.139691200934003</v>
      </c>
      <c r="L516" s="14" t="s">
        <v>76</v>
      </c>
      <c r="M516" s="14" t="s">
        <v>76</v>
      </c>
      <c r="N516" s="14"/>
      <c r="O516" s="14">
        <v>0.146238201990848</v>
      </c>
      <c r="P516" s="14">
        <v>4.6400587717491601E-2</v>
      </c>
      <c r="Q516" s="14"/>
      <c r="R516" s="14">
        <v>4.3865653239371902E-2</v>
      </c>
      <c r="S516" s="14">
        <v>0.189033325381642</v>
      </c>
      <c r="T516" s="14">
        <v>0.171748724853408</v>
      </c>
      <c r="U516" s="14">
        <v>3.22283133672615E-2</v>
      </c>
      <c r="V516" s="14">
        <v>0.15224114513578399</v>
      </c>
      <c r="W516" s="14">
        <v>0.17255482023077701</v>
      </c>
      <c r="X516" s="14">
        <v>0.189306974293727</v>
      </c>
      <c r="Y516" s="14">
        <v>0.139777178184854</v>
      </c>
      <c r="Z516" s="14">
        <v>0.20624156906999699</v>
      </c>
      <c r="AA516" s="14"/>
      <c r="AB516" s="14" t="s">
        <v>76</v>
      </c>
      <c r="AC516" s="14" t="s">
        <v>76</v>
      </c>
      <c r="AD516" s="14" t="s">
        <v>76</v>
      </c>
      <c r="AE516" s="14" t="s">
        <v>76</v>
      </c>
      <c r="AF516" s="14"/>
      <c r="AG516" s="14" t="s">
        <v>76</v>
      </c>
      <c r="AH516" s="14" t="s">
        <v>76</v>
      </c>
      <c r="AI516" s="14"/>
      <c r="AJ516" s="14" t="s">
        <v>76</v>
      </c>
      <c r="AK516" s="14" t="s">
        <v>76</v>
      </c>
      <c r="AL516" s="14"/>
      <c r="AM516" s="14">
        <v>0.12219252878533</v>
      </c>
      <c r="AN516" s="14">
        <v>0.180874225884844</v>
      </c>
    </row>
    <row r="517" spans="2:40" x14ac:dyDescent="0.35"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F517" s="14"/>
      <c r="AG517" s="14"/>
      <c r="AH517" s="14"/>
      <c r="AI517" s="14"/>
      <c r="AJ517" s="14"/>
      <c r="AK517" s="14"/>
      <c r="AL517" s="14"/>
      <c r="AM517" s="14"/>
      <c r="AN517" s="14"/>
    </row>
    <row r="518" spans="2:40" x14ac:dyDescent="0.35">
      <c r="B518" s="6" t="s">
        <v>197</v>
      </c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F518" s="14"/>
      <c r="AG518" s="14"/>
      <c r="AH518" s="14"/>
      <c r="AI518" s="14"/>
      <c r="AJ518" s="14"/>
      <c r="AK518" s="14"/>
      <c r="AL518" s="14"/>
      <c r="AM518" s="14"/>
      <c r="AN518" s="14"/>
    </row>
    <row r="519" spans="2:40" x14ac:dyDescent="0.35">
      <c r="B519" s="26" t="s">
        <v>395</v>
      </c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F519" s="14"/>
      <c r="AG519" s="14"/>
      <c r="AH519" s="14"/>
      <c r="AI519" s="14"/>
      <c r="AJ519" s="14"/>
      <c r="AK519" s="14"/>
      <c r="AL519" s="14"/>
      <c r="AM519" s="14"/>
      <c r="AN519" s="14"/>
    </row>
    <row r="520" spans="2:40" x14ac:dyDescent="0.35">
      <c r="B520" t="s">
        <v>155</v>
      </c>
      <c r="C520" s="14">
        <v>0.19049237551075801</v>
      </c>
      <c r="D520" s="14">
        <v>0.18615594973366301</v>
      </c>
      <c r="E520" s="14">
        <v>0.195202895081725</v>
      </c>
      <c r="F520" s="14"/>
      <c r="G520" s="14">
        <v>0.19049237551075801</v>
      </c>
      <c r="H520" s="14" t="s">
        <v>76</v>
      </c>
      <c r="I520" s="14" t="s">
        <v>76</v>
      </c>
      <c r="J520" s="14"/>
      <c r="K520" s="14">
        <v>0.19049237551075801</v>
      </c>
      <c r="L520" s="14" t="s">
        <v>76</v>
      </c>
      <c r="M520" s="14" t="s">
        <v>76</v>
      </c>
      <c r="N520" s="14"/>
      <c r="O520" s="14">
        <v>0.17023665341080499</v>
      </c>
      <c r="P520" s="14">
        <v>0.357718529339068</v>
      </c>
      <c r="Q520" s="14"/>
      <c r="R520" s="14">
        <v>0.32157979201677001</v>
      </c>
      <c r="S520" s="14">
        <v>0.15649089953470999</v>
      </c>
      <c r="T520" s="14">
        <v>0.16017403509377101</v>
      </c>
      <c r="U520" s="14">
        <v>0.120817876973272</v>
      </c>
      <c r="V520" s="14">
        <v>0.13385704488254299</v>
      </c>
      <c r="W520" s="14">
        <v>0.23900914650181301</v>
      </c>
      <c r="X520" s="14">
        <v>7.7343877383382206E-2</v>
      </c>
      <c r="Y520" s="14">
        <v>0.10700025240163499</v>
      </c>
      <c r="Z520" s="14">
        <v>0.20833193384038001</v>
      </c>
      <c r="AA520" s="14"/>
      <c r="AB520" s="14" t="s">
        <v>76</v>
      </c>
      <c r="AC520" s="14" t="s">
        <v>76</v>
      </c>
      <c r="AD520" s="14" t="s">
        <v>76</v>
      </c>
      <c r="AE520" s="14" t="s">
        <v>76</v>
      </c>
      <c r="AF520" s="14"/>
      <c r="AG520" s="14" t="s">
        <v>76</v>
      </c>
      <c r="AH520" s="14" t="s">
        <v>76</v>
      </c>
      <c r="AI520" s="14"/>
      <c r="AJ520" s="14" t="s">
        <v>76</v>
      </c>
      <c r="AK520" s="14" t="s">
        <v>76</v>
      </c>
      <c r="AL520" s="14"/>
      <c r="AM520" s="14">
        <v>0.224879374659256</v>
      </c>
      <c r="AN520" s="14">
        <v>0.112927328661933</v>
      </c>
    </row>
    <row r="521" spans="2:40" x14ac:dyDescent="0.35">
      <c r="B521" t="s">
        <v>156</v>
      </c>
      <c r="C521" s="14">
        <v>0.57107805092187003</v>
      </c>
      <c r="D521" s="14">
        <v>0.53187599120672002</v>
      </c>
      <c r="E521" s="14">
        <v>0.613661985019337</v>
      </c>
      <c r="F521" s="14"/>
      <c r="G521" s="14">
        <v>0.57107805092187003</v>
      </c>
      <c r="H521" s="14" t="s">
        <v>76</v>
      </c>
      <c r="I521" s="14" t="s">
        <v>76</v>
      </c>
      <c r="J521" s="14"/>
      <c r="K521" s="14">
        <v>0.57107805092187003</v>
      </c>
      <c r="L521" s="14" t="s">
        <v>76</v>
      </c>
      <c r="M521" s="14" t="s">
        <v>76</v>
      </c>
      <c r="N521" s="14"/>
      <c r="O521" s="14">
        <v>0.60671926760445005</v>
      </c>
      <c r="P521" s="14">
        <v>0.32370319158662503</v>
      </c>
      <c r="Q521" s="14"/>
      <c r="R521" s="14">
        <v>0.56278352198252302</v>
      </c>
      <c r="S521" s="14">
        <v>0.58767850078560802</v>
      </c>
      <c r="T521" s="14">
        <v>0.63157631255389701</v>
      </c>
      <c r="U521" s="14">
        <v>0.46639206004508099</v>
      </c>
      <c r="V521" s="14">
        <v>0.70353063546956995</v>
      </c>
      <c r="W521" s="14">
        <v>0.44771461521705502</v>
      </c>
      <c r="X521" s="14">
        <v>0.58316838050408304</v>
      </c>
      <c r="Y521" s="14">
        <v>0.71296347675385296</v>
      </c>
      <c r="Z521" s="14">
        <v>0.56350843358062697</v>
      </c>
      <c r="AA521" s="14"/>
      <c r="AB521" s="14" t="s">
        <v>76</v>
      </c>
      <c r="AC521" s="14" t="s">
        <v>76</v>
      </c>
      <c r="AD521" s="14" t="s">
        <v>76</v>
      </c>
      <c r="AE521" s="14" t="s">
        <v>76</v>
      </c>
      <c r="AF521" s="14"/>
      <c r="AG521" s="14" t="s">
        <v>76</v>
      </c>
      <c r="AH521" s="14" t="s">
        <v>76</v>
      </c>
      <c r="AI521" s="14"/>
      <c r="AJ521" s="14" t="s">
        <v>76</v>
      </c>
      <c r="AK521" s="14" t="s">
        <v>76</v>
      </c>
      <c r="AL521" s="14"/>
      <c r="AM521" s="14">
        <v>0.55886556106072205</v>
      </c>
      <c r="AN521" s="14">
        <v>0.59257870030076598</v>
      </c>
    </row>
    <row r="522" spans="2:40" x14ac:dyDescent="0.35">
      <c r="B522" t="s">
        <v>157</v>
      </c>
      <c r="C522" s="14">
        <v>0.17944145812613399</v>
      </c>
      <c r="D522" s="14">
        <v>0.22313322252889201</v>
      </c>
      <c r="E522" s="14">
        <v>0.13198050251695401</v>
      </c>
      <c r="F522" s="14"/>
      <c r="G522" s="14">
        <v>0.17944145812613399</v>
      </c>
      <c r="H522" s="14" t="s">
        <v>76</v>
      </c>
      <c r="I522" s="14" t="s">
        <v>76</v>
      </c>
      <c r="J522" s="14"/>
      <c r="K522" s="14">
        <v>0.17944145812613399</v>
      </c>
      <c r="L522" s="14" t="s">
        <v>76</v>
      </c>
      <c r="M522" s="14" t="s">
        <v>76</v>
      </c>
      <c r="N522" s="14"/>
      <c r="O522" s="14">
        <v>0.16584416684912301</v>
      </c>
      <c r="P522" s="14">
        <v>0.28675600624792702</v>
      </c>
      <c r="Q522" s="14"/>
      <c r="R522" s="14">
        <v>8.5154567985917001E-2</v>
      </c>
      <c r="S522" s="14">
        <v>0.19356531642286801</v>
      </c>
      <c r="T522" s="14">
        <v>0.11082557511532599</v>
      </c>
      <c r="U522" s="14">
        <v>0.24182339172852499</v>
      </c>
      <c r="V522" s="14">
        <v>7.9977371714131704E-2</v>
      </c>
      <c r="W522" s="14">
        <v>0.278307717146205</v>
      </c>
      <c r="X522" s="14">
        <v>0.33948774211253502</v>
      </c>
      <c r="Y522" s="14">
        <v>0.18003627084451199</v>
      </c>
      <c r="Z522" s="14">
        <v>0.18387585891156699</v>
      </c>
      <c r="AA522" s="14"/>
      <c r="AB522" s="14" t="s">
        <v>76</v>
      </c>
      <c r="AC522" s="14" t="s">
        <v>76</v>
      </c>
      <c r="AD522" s="14" t="s">
        <v>76</v>
      </c>
      <c r="AE522" s="14" t="s">
        <v>76</v>
      </c>
      <c r="AF522" s="14"/>
      <c r="AG522" s="14" t="s">
        <v>76</v>
      </c>
      <c r="AH522" s="14" t="s">
        <v>76</v>
      </c>
      <c r="AI522" s="14"/>
      <c r="AJ522" s="14" t="s">
        <v>76</v>
      </c>
      <c r="AK522" s="14" t="s">
        <v>76</v>
      </c>
      <c r="AL522" s="14"/>
      <c r="AM522" s="14">
        <v>0.16718425467503001</v>
      </c>
      <c r="AN522" s="14">
        <v>0.14641719938883499</v>
      </c>
    </row>
    <row r="523" spans="2:40" x14ac:dyDescent="0.35">
      <c r="B523" t="s">
        <v>158</v>
      </c>
      <c r="C523" s="14">
        <v>3.8158906859964703E-2</v>
      </c>
      <c r="D523" s="14">
        <v>4.8114509463804203E-2</v>
      </c>
      <c r="E523" s="14">
        <v>2.73444565922242E-2</v>
      </c>
      <c r="F523" s="14"/>
      <c r="G523" s="14">
        <v>3.8158906859964703E-2</v>
      </c>
      <c r="H523" s="14" t="s">
        <v>76</v>
      </c>
      <c r="I523" s="14" t="s">
        <v>76</v>
      </c>
      <c r="J523" s="14"/>
      <c r="K523" s="14">
        <v>3.8158906859964703E-2</v>
      </c>
      <c r="L523" s="14" t="s">
        <v>76</v>
      </c>
      <c r="M523" s="14" t="s">
        <v>76</v>
      </c>
      <c r="N523" s="14"/>
      <c r="O523" s="14">
        <v>3.3722860534535902E-2</v>
      </c>
      <c r="P523" s="14">
        <v>3.1822272826379998E-2</v>
      </c>
      <c r="Q523" s="14"/>
      <c r="R523" s="14">
        <v>1.4835150511054201E-2</v>
      </c>
      <c r="S523" s="14">
        <v>6.2265283256813901E-2</v>
      </c>
      <c r="T523" s="14">
        <v>5.9158644143006298E-2</v>
      </c>
      <c r="U523" s="14">
        <v>9.3220901170325096E-2</v>
      </c>
      <c r="V523" s="14">
        <v>5.1222096948787502E-2</v>
      </c>
      <c r="W523" s="14">
        <v>3.4968521134926697E-2</v>
      </c>
      <c r="X523" s="14">
        <v>0</v>
      </c>
      <c r="Y523" s="14">
        <v>0</v>
      </c>
      <c r="Z523" s="14">
        <v>2.2731581819399199E-2</v>
      </c>
      <c r="AA523" s="14"/>
      <c r="AB523" s="14" t="s">
        <v>76</v>
      </c>
      <c r="AC523" s="14" t="s">
        <v>76</v>
      </c>
      <c r="AD523" s="14" t="s">
        <v>76</v>
      </c>
      <c r="AE523" s="14" t="s">
        <v>76</v>
      </c>
      <c r="AF523" s="14"/>
      <c r="AG523" s="14" t="s">
        <v>76</v>
      </c>
      <c r="AH523" s="14" t="s">
        <v>76</v>
      </c>
      <c r="AI523" s="14"/>
      <c r="AJ523" s="14" t="s">
        <v>76</v>
      </c>
      <c r="AK523" s="14" t="s">
        <v>76</v>
      </c>
      <c r="AL523" s="14"/>
      <c r="AM523" s="14">
        <v>2.94358144135063E-2</v>
      </c>
      <c r="AN523" s="14">
        <v>9.5650297444378404E-2</v>
      </c>
    </row>
    <row r="524" spans="2:40" x14ac:dyDescent="0.35">
      <c r="B524" t="s">
        <v>70</v>
      </c>
      <c r="C524" s="14">
        <v>2.0829208581273601E-2</v>
      </c>
      <c r="D524" s="14">
        <v>1.0720327066921101E-2</v>
      </c>
      <c r="E524" s="14">
        <v>3.1810160789760102E-2</v>
      </c>
      <c r="F524" s="14"/>
      <c r="G524" s="14">
        <v>2.0829208581273601E-2</v>
      </c>
      <c r="H524" s="14" t="s">
        <v>76</v>
      </c>
      <c r="I524" s="14" t="s">
        <v>76</v>
      </c>
      <c r="J524" s="14"/>
      <c r="K524" s="14">
        <v>2.0829208581273601E-2</v>
      </c>
      <c r="L524" s="14" t="s">
        <v>76</v>
      </c>
      <c r="M524" s="14" t="s">
        <v>76</v>
      </c>
      <c r="N524" s="14"/>
      <c r="O524" s="14">
        <v>2.3477051601085298E-2</v>
      </c>
      <c r="P524" s="14">
        <v>0</v>
      </c>
      <c r="Q524" s="14"/>
      <c r="R524" s="14">
        <v>1.5646967503735301E-2</v>
      </c>
      <c r="S524" s="14">
        <v>0</v>
      </c>
      <c r="T524" s="14">
        <v>3.8265433094000302E-2</v>
      </c>
      <c r="U524" s="14">
        <v>7.7745770082797205E-2</v>
      </c>
      <c r="V524" s="14">
        <v>3.1412850984967697E-2</v>
      </c>
      <c r="W524" s="14">
        <v>0</v>
      </c>
      <c r="X524" s="14">
        <v>0</v>
      </c>
      <c r="Y524" s="14">
        <v>0</v>
      </c>
      <c r="Z524" s="14">
        <v>2.1552191848025901E-2</v>
      </c>
      <c r="AA524" s="14"/>
      <c r="AB524" s="14" t="s">
        <v>76</v>
      </c>
      <c r="AC524" s="14" t="s">
        <v>76</v>
      </c>
      <c r="AD524" s="14" t="s">
        <v>76</v>
      </c>
      <c r="AE524" s="14" t="s">
        <v>76</v>
      </c>
      <c r="AF524" s="14"/>
      <c r="AG524" s="14" t="s">
        <v>76</v>
      </c>
      <c r="AH524" s="14" t="s">
        <v>76</v>
      </c>
      <c r="AI524" s="14"/>
      <c r="AJ524" s="14" t="s">
        <v>76</v>
      </c>
      <c r="AK524" s="14" t="s">
        <v>76</v>
      </c>
      <c r="AL524" s="14"/>
      <c r="AM524" s="14">
        <v>1.9634995191484698E-2</v>
      </c>
      <c r="AN524" s="14">
        <v>5.2426474204088302E-2</v>
      </c>
    </row>
    <row r="525" spans="2:40" x14ac:dyDescent="0.35"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  <c r="AL525" s="14"/>
      <c r="AM525" s="14"/>
      <c r="AN525" s="14"/>
    </row>
    <row r="526" spans="2:40" x14ac:dyDescent="0.35">
      <c r="B526" s="6" t="s">
        <v>199</v>
      </c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  <c r="AG526" s="14"/>
      <c r="AH526" s="14"/>
      <c r="AI526" s="14"/>
      <c r="AJ526" s="14"/>
      <c r="AK526" s="14"/>
      <c r="AL526" s="14"/>
      <c r="AM526" s="14"/>
      <c r="AN526" s="14"/>
    </row>
    <row r="527" spans="2:40" x14ac:dyDescent="0.35">
      <c r="B527" s="26" t="s">
        <v>395</v>
      </c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  <c r="AG527" s="14"/>
      <c r="AH527" s="14"/>
      <c r="AI527" s="14"/>
      <c r="AJ527" s="14"/>
      <c r="AK527" s="14"/>
      <c r="AL527" s="14"/>
      <c r="AM527" s="14"/>
      <c r="AN527" s="14"/>
    </row>
    <row r="528" spans="2:40" x14ac:dyDescent="0.35">
      <c r="B528" t="s">
        <v>160</v>
      </c>
      <c r="C528" s="14">
        <v>0.19964513255135899</v>
      </c>
      <c r="D528" s="14">
        <v>0.22949869063159101</v>
      </c>
      <c r="E528" s="14">
        <v>0.16721617450423401</v>
      </c>
      <c r="F528" s="14"/>
      <c r="G528" s="14">
        <v>0.19964513255135899</v>
      </c>
      <c r="H528" s="14" t="s">
        <v>76</v>
      </c>
      <c r="I528" s="14" t="s">
        <v>76</v>
      </c>
      <c r="J528" s="14"/>
      <c r="K528" s="14">
        <v>0.19964513255135899</v>
      </c>
      <c r="L528" s="14" t="s">
        <v>76</v>
      </c>
      <c r="M528" s="14" t="s">
        <v>76</v>
      </c>
      <c r="N528" s="14"/>
      <c r="O528" s="14">
        <v>0.173106920158379</v>
      </c>
      <c r="P528" s="14">
        <v>0.42294068769802901</v>
      </c>
      <c r="Q528" s="14"/>
      <c r="R528" s="14">
        <v>0.24222684867223401</v>
      </c>
      <c r="S528" s="14">
        <v>0.137849278792435</v>
      </c>
      <c r="T528" s="14">
        <v>7.2560164107267996E-2</v>
      </c>
      <c r="U528" s="14">
        <v>0.17344711021821799</v>
      </c>
      <c r="V528" s="14">
        <v>8.2634947933755198E-2</v>
      </c>
      <c r="W528" s="14">
        <v>0.31804132910148503</v>
      </c>
      <c r="X528" s="14">
        <v>0.36758698091383202</v>
      </c>
      <c r="Y528" s="14">
        <v>0.10700025240163499</v>
      </c>
      <c r="Z528" s="14">
        <v>0.18677974944950901</v>
      </c>
      <c r="AA528" s="14"/>
      <c r="AB528" s="14" t="s">
        <v>76</v>
      </c>
      <c r="AC528" s="14" t="s">
        <v>76</v>
      </c>
      <c r="AD528" s="14" t="s">
        <v>76</v>
      </c>
      <c r="AE528" s="14" t="s">
        <v>76</v>
      </c>
      <c r="AF528" s="14"/>
      <c r="AG528" s="14" t="s">
        <v>76</v>
      </c>
      <c r="AH528" s="14" t="s">
        <v>76</v>
      </c>
      <c r="AI528" s="14"/>
      <c r="AJ528" s="14" t="s">
        <v>76</v>
      </c>
      <c r="AK528" s="14" t="s">
        <v>76</v>
      </c>
      <c r="AL528" s="14"/>
      <c r="AM528" s="14">
        <v>0.24058220380428899</v>
      </c>
      <c r="AN528" s="14">
        <v>7.2692987077528706E-2</v>
      </c>
    </row>
    <row r="529" spans="2:40" x14ac:dyDescent="0.35">
      <c r="B529" t="s">
        <v>161</v>
      </c>
      <c r="C529" s="14">
        <v>0.58680612430464496</v>
      </c>
      <c r="D529" s="14">
        <v>0.56272236013763699</v>
      </c>
      <c r="E529" s="14">
        <v>0.61296754116791397</v>
      </c>
      <c r="F529" s="14"/>
      <c r="G529" s="14">
        <v>0.58680612430464496</v>
      </c>
      <c r="H529" s="14" t="s">
        <v>76</v>
      </c>
      <c r="I529" s="14" t="s">
        <v>76</v>
      </c>
      <c r="J529" s="14"/>
      <c r="K529" s="14">
        <v>0.58680612430464496</v>
      </c>
      <c r="L529" s="14" t="s">
        <v>76</v>
      </c>
      <c r="M529" s="14" t="s">
        <v>76</v>
      </c>
      <c r="N529" s="14"/>
      <c r="O529" s="14">
        <v>0.61997864721221096</v>
      </c>
      <c r="P529" s="14">
        <v>0.36284060283138098</v>
      </c>
      <c r="Q529" s="14"/>
      <c r="R529" s="14">
        <v>0.63856111519869097</v>
      </c>
      <c r="S529" s="14">
        <v>0.69343599981395398</v>
      </c>
      <c r="T529" s="14">
        <v>0.61295214125592501</v>
      </c>
      <c r="U529" s="14">
        <v>0.48109485144235298</v>
      </c>
      <c r="V529" s="14">
        <v>0.715697815305951</v>
      </c>
      <c r="W529" s="14">
        <v>0.455130794308784</v>
      </c>
      <c r="X529" s="14">
        <v>0.55083668184920198</v>
      </c>
      <c r="Y529" s="14">
        <v>0.57454208622494896</v>
      </c>
      <c r="Z529" s="14">
        <v>0.49039690042163098</v>
      </c>
      <c r="AA529" s="14"/>
      <c r="AB529" s="14" t="s">
        <v>76</v>
      </c>
      <c r="AC529" s="14" t="s">
        <v>76</v>
      </c>
      <c r="AD529" s="14" t="s">
        <v>76</v>
      </c>
      <c r="AE529" s="14" t="s">
        <v>76</v>
      </c>
      <c r="AF529" s="14"/>
      <c r="AG529" s="14" t="s">
        <v>76</v>
      </c>
      <c r="AH529" s="14" t="s">
        <v>76</v>
      </c>
      <c r="AI529" s="14"/>
      <c r="AJ529" s="14" t="s">
        <v>76</v>
      </c>
      <c r="AK529" s="14" t="s">
        <v>76</v>
      </c>
      <c r="AL529" s="14"/>
      <c r="AM529" s="14">
        <v>0.57907329273011698</v>
      </c>
      <c r="AN529" s="14">
        <v>0.57798229333728501</v>
      </c>
    </row>
    <row r="530" spans="2:40" x14ac:dyDescent="0.35">
      <c r="B530" t="s">
        <v>162</v>
      </c>
      <c r="C530" s="14">
        <v>0.168702108098752</v>
      </c>
      <c r="D530" s="14">
        <v>0.16240337801090601</v>
      </c>
      <c r="E530" s="14">
        <v>0.175544215602989</v>
      </c>
      <c r="F530" s="14"/>
      <c r="G530" s="14">
        <v>0.168702108098752</v>
      </c>
      <c r="H530" s="14" t="s">
        <v>76</v>
      </c>
      <c r="I530" s="14" t="s">
        <v>76</v>
      </c>
      <c r="J530" s="14"/>
      <c r="K530" s="14">
        <v>0.168702108098752</v>
      </c>
      <c r="L530" s="14" t="s">
        <v>76</v>
      </c>
      <c r="M530" s="14" t="s">
        <v>76</v>
      </c>
      <c r="N530" s="14"/>
      <c r="O530" s="14">
        <v>0.16202074018002399</v>
      </c>
      <c r="P530" s="14">
        <v>0.21421870947058999</v>
      </c>
      <c r="Q530" s="14"/>
      <c r="R530" s="14">
        <v>0.11921203612907499</v>
      </c>
      <c r="S530" s="14">
        <v>0.14759435513423499</v>
      </c>
      <c r="T530" s="14">
        <v>0.28603247448468699</v>
      </c>
      <c r="U530" s="14">
        <v>0.29629694851389099</v>
      </c>
      <c r="V530" s="14">
        <v>8.9249235982531802E-2</v>
      </c>
      <c r="W530" s="14">
        <v>7.7858653435676994E-2</v>
      </c>
      <c r="X530" s="14">
        <v>8.1576337236965293E-2</v>
      </c>
      <c r="Y530" s="14">
        <v>0.31845766137341502</v>
      </c>
      <c r="Z530" s="14">
        <v>0.25253692505530601</v>
      </c>
      <c r="AA530" s="14"/>
      <c r="AB530" s="14" t="s">
        <v>76</v>
      </c>
      <c r="AC530" s="14" t="s">
        <v>76</v>
      </c>
      <c r="AD530" s="14" t="s">
        <v>76</v>
      </c>
      <c r="AE530" s="14" t="s">
        <v>76</v>
      </c>
      <c r="AF530" s="14"/>
      <c r="AG530" s="14" t="s">
        <v>76</v>
      </c>
      <c r="AH530" s="14" t="s">
        <v>76</v>
      </c>
      <c r="AI530" s="14"/>
      <c r="AJ530" s="14" t="s">
        <v>76</v>
      </c>
      <c r="AK530" s="14" t="s">
        <v>76</v>
      </c>
      <c r="AL530" s="14"/>
      <c r="AM530" s="14">
        <v>0.14816060015328</v>
      </c>
      <c r="AN530" s="14">
        <v>0.259514447782215</v>
      </c>
    </row>
    <row r="531" spans="2:40" x14ac:dyDescent="0.35">
      <c r="B531" t="s">
        <v>163</v>
      </c>
      <c r="C531" s="14">
        <v>1.1257150237555099E-2</v>
      </c>
      <c r="D531" s="14">
        <v>1.2579539061341599E-2</v>
      </c>
      <c r="E531" s="14">
        <v>9.8206818751136998E-3</v>
      </c>
      <c r="F531" s="14"/>
      <c r="G531" s="14">
        <v>1.1257150237555099E-2</v>
      </c>
      <c r="H531" s="14" t="s">
        <v>76</v>
      </c>
      <c r="I531" s="14" t="s">
        <v>76</v>
      </c>
      <c r="J531" s="14"/>
      <c r="K531" s="14">
        <v>1.1257150237555099E-2</v>
      </c>
      <c r="L531" s="14" t="s">
        <v>76</v>
      </c>
      <c r="M531" s="14" t="s">
        <v>76</v>
      </c>
      <c r="N531" s="14"/>
      <c r="O531" s="14">
        <v>1.26881775645501E-2</v>
      </c>
      <c r="P531" s="14">
        <v>0</v>
      </c>
      <c r="Q531" s="14"/>
      <c r="R531" s="14">
        <v>0</v>
      </c>
      <c r="S531" s="14">
        <v>0</v>
      </c>
      <c r="T531" s="14">
        <v>2.845522015212E-2</v>
      </c>
      <c r="U531" s="14">
        <v>0</v>
      </c>
      <c r="V531" s="14">
        <v>2.97830528440069E-2</v>
      </c>
      <c r="W531" s="14">
        <v>5.7587115153164899E-2</v>
      </c>
      <c r="X531" s="14">
        <v>0</v>
      </c>
      <c r="Y531" s="14">
        <v>0</v>
      </c>
      <c r="Z531" s="14">
        <v>0</v>
      </c>
      <c r="AA531" s="14"/>
      <c r="AB531" s="14" t="s">
        <v>76</v>
      </c>
      <c r="AC531" s="14" t="s">
        <v>76</v>
      </c>
      <c r="AD531" s="14" t="s">
        <v>76</v>
      </c>
      <c r="AE531" s="14" t="s">
        <v>76</v>
      </c>
      <c r="AF531" s="14"/>
      <c r="AG531" s="14" t="s">
        <v>76</v>
      </c>
      <c r="AH531" s="14" t="s">
        <v>76</v>
      </c>
      <c r="AI531" s="14"/>
      <c r="AJ531" s="14" t="s">
        <v>76</v>
      </c>
      <c r="AK531" s="14" t="s">
        <v>76</v>
      </c>
      <c r="AL531" s="14"/>
      <c r="AM531" s="14">
        <v>0</v>
      </c>
      <c r="AN531" s="14">
        <v>6.3990090624779505E-2</v>
      </c>
    </row>
    <row r="532" spans="2:40" x14ac:dyDescent="0.35">
      <c r="B532" t="s">
        <v>70</v>
      </c>
      <c r="C532" s="14">
        <v>3.3589484807688898E-2</v>
      </c>
      <c r="D532" s="14">
        <v>3.2796032158523801E-2</v>
      </c>
      <c r="E532" s="14">
        <v>3.44513868497505E-2</v>
      </c>
      <c r="F532" s="14"/>
      <c r="G532" s="14">
        <v>3.3589484807688898E-2</v>
      </c>
      <c r="H532" s="14" t="s">
        <v>76</v>
      </c>
      <c r="I532" s="14" t="s">
        <v>76</v>
      </c>
      <c r="J532" s="14"/>
      <c r="K532" s="14">
        <v>3.3589484807688898E-2</v>
      </c>
      <c r="L532" s="14" t="s">
        <v>76</v>
      </c>
      <c r="M532" s="14" t="s">
        <v>76</v>
      </c>
      <c r="N532" s="14"/>
      <c r="O532" s="14">
        <v>3.2205514884835799E-2</v>
      </c>
      <c r="P532" s="14">
        <v>0</v>
      </c>
      <c r="Q532" s="14"/>
      <c r="R532" s="14">
        <v>0</v>
      </c>
      <c r="S532" s="14">
        <v>2.11203662593763E-2</v>
      </c>
      <c r="T532" s="14">
        <v>0</v>
      </c>
      <c r="U532" s="14">
        <v>4.9161089825538601E-2</v>
      </c>
      <c r="V532" s="14">
        <v>8.2634947933755198E-2</v>
      </c>
      <c r="W532" s="14">
        <v>9.13821080008895E-2</v>
      </c>
      <c r="X532" s="14">
        <v>0</v>
      </c>
      <c r="Y532" s="14">
        <v>0</v>
      </c>
      <c r="Z532" s="14">
        <v>7.0286425073553399E-2</v>
      </c>
      <c r="AA532" s="14"/>
      <c r="AB532" s="14" t="s">
        <v>76</v>
      </c>
      <c r="AC532" s="14" t="s">
        <v>76</v>
      </c>
      <c r="AD532" s="14" t="s">
        <v>76</v>
      </c>
      <c r="AE532" s="14" t="s">
        <v>76</v>
      </c>
      <c r="AF532" s="14"/>
      <c r="AG532" s="14" t="s">
        <v>76</v>
      </c>
      <c r="AH532" s="14" t="s">
        <v>76</v>
      </c>
      <c r="AI532" s="14"/>
      <c r="AJ532" s="14" t="s">
        <v>76</v>
      </c>
      <c r="AK532" s="14" t="s">
        <v>76</v>
      </c>
      <c r="AL532" s="14"/>
      <c r="AM532" s="14">
        <v>3.2183903312314098E-2</v>
      </c>
      <c r="AN532" s="14">
        <v>2.5820181178192101E-2</v>
      </c>
    </row>
    <row r="533" spans="2:40" x14ac:dyDescent="0.35">
      <c r="B533" t="s">
        <v>164</v>
      </c>
      <c r="C533" s="14">
        <v>0.78645125685600403</v>
      </c>
      <c r="D533" s="14">
        <v>0.792221050769228</v>
      </c>
      <c r="E533" s="14">
        <v>0.78018371567214695</v>
      </c>
      <c r="F533" s="14"/>
      <c r="G533" s="14">
        <v>0.78645125685600403</v>
      </c>
      <c r="H533" s="14" t="s">
        <v>76</v>
      </c>
      <c r="I533" s="14" t="s">
        <v>76</v>
      </c>
      <c r="J533" s="14"/>
      <c r="K533" s="14">
        <v>0.78645125685600403</v>
      </c>
      <c r="L533" s="14" t="s">
        <v>76</v>
      </c>
      <c r="M533" s="14" t="s">
        <v>76</v>
      </c>
      <c r="N533" s="14"/>
      <c r="O533" s="14">
        <v>0.79308556737058999</v>
      </c>
      <c r="P533" s="14">
        <v>0.78578129052941004</v>
      </c>
      <c r="Q533" s="14"/>
      <c r="R533" s="14">
        <v>0.88078796387092495</v>
      </c>
      <c r="S533" s="14">
        <v>0.83128527860638901</v>
      </c>
      <c r="T533" s="14">
        <v>0.68551230536319296</v>
      </c>
      <c r="U533" s="14">
        <v>0.65454196166057099</v>
      </c>
      <c r="V533" s="14">
        <v>0.79833276323970603</v>
      </c>
      <c r="W533" s="14">
        <v>0.77317212341026897</v>
      </c>
      <c r="X533" s="14">
        <v>0.918423662763035</v>
      </c>
      <c r="Y533" s="14">
        <v>0.68154233862658498</v>
      </c>
      <c r="Z533" s="14">
        <v>0.67717664987114001</v>
      </c>
      <c r="AA533" s="14"/>
      <c r="AB533" s="14" t="s">
        <v>76</v>
      </c>
      <c r="AC533" s="14" t="s">
        <v>76</v>
      </c>
      <c r="AD533" s="14" t="s">
        <v>76</v>
      </c>
      <c r="AE533" s="14" t="s">
        <v>76</v>
      </c>
      <c r="AF533" s="14"/>
      <c r="AG533" s="14" t="s">
        <v>76</v>
      </c>
      <c r="AH533" s="14" t="s">
        <v>76</v>
      </c>
      <c r="AI533" s="14"/>
      <c r="AJ533" s="14" t="s">
        <v>76</v>
      </c>
      <c r="AK533" s="14" t="s">
        <v>76</v>
      </c>
      <c r="AL533" s="14"/>
      <c r="AM533" s="14">
        <v>0.81965549653440595</v>
      </c>
      <c r="AN533" s="14">
        <v>0.65067528041481404</v>
      </c>
    </row>
    <row r="534" spans="2:40" x14ac:dyDescent="0.35"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F534" s="14"/>
      <c r="AG534" s="14"/>
      <c r="AH534" s="14"/>
      <c r="AI534" s="14"/>
      <c r="AJ534" s="14"/>
      <c r="AK534" s="14"/>
      <c r="AL534" s="14"/>
      <c r="AM534" s="14"/>
      <c r="AN534" s="14"/>
    </row>
    <row r="535" spans="2:40" x14ac:dyDescent="0.35">
      <c r="B535" s="6" t="s">
        <v>200</v>
      </c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  <c r="AG535" s="14"/>
      <c r="AH535" s="14"/>
      <c r="AI535" s="14"/>
      <c r="AJ535" s="14"/>
      <c r="AK535" s="14"/>
      <c r="AL535" s="14"/>
      <c r="AM535" s="14"/>
      <c r="AN535" s="14"/>
    </row>
    <row r="536" spans="2:40" x14ac:dyDescent="0.35">
      <c r="B536" s="26" t="s">
        <v>395</v>
      </c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</row>
    <row r="537" spans="2:40" x14ac:dyDescent="0.35">
      <c r="B537" t="s">
        <v>166</v>
      </c>
      <c r="C537" s="14">
        <v>0.26663753564958897</v>
      </c>
      <c r="D537" s="14">
        <v>0.285564003494654</v>
      </c>
      <c r="E537" s="14">
        <v>0.24607832357582701</v>
      </c>
      <c r="F537" s="14"/>
      <c r="G537" s="14">
        <v>0.26663753564958897</v>
      </c>
      <c r="H537" s="14" t="s">
        <v>76</v>
      </c>
      <c r="I537" s="14" t="s">
        <v>76</v>
      </c>
      <c r="J537" s="14"/>
      <c r="K537" s="14">
        <v>0.26663753564958897</v>
      </c>
      <c r="L537" s="14" t="s">
        <v>76</v>
      </c>
      <c r="M537" s="14" t="s">
        <v>76</v>
      </c>
      <c r="N537" s="14"/>
      <c r="O537" s="14">
        <v>0.241628032852824</v>
      </c>
      <c r="P537" s="14">
        <v>0.48414642445461598</v>
      </c>
      <c r="Q537" s="14"/>
      <c r="R537" s="14">
        <v>0.346634947337571</v>
      </c>
      <c r="S537" s="14">
        <v>0.234553634236913</v>
      </c>
      <c r="T537" s="14">
        <v>0.10152438402969199</v>
      </c>
      <c r="U537" s="14">
        <v>0.22714832883173899</v>
      </c>
      <c r="V537" s="14">
        <v>0.17025437655698999</v>
      </c>
      <c r="W537" s="14">
        <v>0.29733629688912</v>
      </c>
      <c r="X537" s="14">
        <v>0.42555548066029902</v>
      </c>
      <c r="Y537" s="14">
        <v>0.10700025240163499</v>
      </c>
      <c r="Z537" s="14">
        <v>0.28509108624572999</v>
      </c>
      <c r="AA537" s="14"/>
      <c r="AB537" s="14" t="s">
        <v>76</v>
      </c>
      <c r="AC537" s="14" t="s">
        <v>76</v>
      </c>
      <c r="AD537" s="14" t="s">
        <v>76</v>
      </c>
      <c r="AE537" s="14" t="s">
        <v>76</v>
      </c>
      <c r="AF537" s="14"/>
      <c r="AG537" s="14" t="s">
        <v>76</v>
      </c>
      <c r="AH537" s="14" t="s">
        <v>76</v>
      </c>
      <c r="AI537" s="14"/>
      <c r="AJ537" s="14" t="s">
        <v>76</v>
      </c>
      <c r="AK537" s="14" t="s">
        <v>76</v>
      </c>
      <c r="AL537" s="14"/>
      <c r="AM537" s="14">
        <v>0.33028062599355901</v>
      </c>
      <c r="AN537" s="14">
        <v>2.70532087522764E-2</v>
      </c>
    </row>
    <row r="538" spans="2:40" x14ac:dyDescent="0.35">
      <c r="B538" t="s">
        <v>167</v>
      </c>
      <c r="C538" s="14">
        <v>0.50727620991247402</v>
      </c>
      <c r="D538" s="14">
        <v>0.50520056896495502</v>
      </c>
      <c r="E538" s="14">
        <v>0.50953091178174903</v>
      </c>
      <c r="F538" s="14"/>
      <c r="G538" s="14">
        <v>0.50727620991247402</v>
      </c>
      <c r="H538" s="14" t="s">
        <v>76</v>
      </c>
      <c r="I538" s="14" t="s">
        <v>76</v>
      </c>
      <c r="J538" s="14"/>
      <c r="K538" s="14">
        <v>0.50727620991247402</v>
      </c>
      <c r="L538" s="14" t="s">
        <v>76</v>
      </c>
      <c r="M538" s="14" t="s">
        <v>76</v>
      </c>
      <c r="N538" s="14"/>
      <c r="O538" s="14">
        <v>0.52873152467590001</v>
      </c>
      <c r="P538" s="14">
        <v>0.29523823770238899</v>
      </c>
      <c r="Q538" s="14"/>
      <c r="R538" s="14">
        <v>0.54188457482422203</v>
      </c>
      <c r="S538" s="14">
        <v>0.51497711288236703</v>
      </c>
      <c r="T538" s="14">
        <v>0.45604617812417297</v>
      </c>
      <c r="U538" s="14">
        <v>0.53430189351832302</v>
      </c>
      <c r="V538" s="14">
        <v>0.54311169799621295</v>
      </c>
      <c r="W538" s="14">
        <v>0.466740687487462</v>
      </c>
      <c r="X538" s="14">
        <v>0.45585071305018099</v>
      </c>
      <c r="Y538" s="14">
        <v>0.50892229381616605</v>
      </c>
      <c r="Z538" s="14">
        <v>0.492787339963631</v>
      </c>
      <c r="AA538" s="14"/>
      <c r="AB538" s="14" t="s">
        <v>76</v>
      </c>
      <c r="AC538" s="14" t="s">
        <v>76</v>
      </c>
      <c r="AD538" s="14" t="s">
        <v>76</v>
      </c>
      <c r="AE538" s="14" t="s">
        <v>76</v>
      </c>
      <c r="AF538" s="14"/>
      <c r="AG538" s="14" t="s">
        <v>76</v>
      </c>
      <c r="AH538" s="14" t="s">
        <v>76</v>
      </c>
      <c r="AI538" s="14"/>
      <c r="AJ538" s="14" t="s">
        <v>76</v>
      </c>
      <c r="AK538" s="14" t="s">
        <v>76</v>
      </c>
      <c r="AL538" s="14"/>
      <c r="AM538" s="14">
        <v>0.53003267158548395</v>
      </c>
      <c r="AN538" s="14">
        <v>0.39574930950887299</v>
      </c>
    </row>
    <row r="539" spans="2:40" x14ac:dyDescent="0.35">
      <c r="B539" t="s">
        <v>168</v>
      </c>
      <c r="C539" s="14">
        <v>0.18772815418582101</v>
      </c>
      <c r="D539" s="14">
        <v>0.170286261148967</v>
      </c>
      <c r="E539" s="14">
        <v>0.206674720489056</v>
      </c>
      <c r="F539" s="14"/>
      <c r="G539" s="14">
        <v>0.18772815418582101</v>
      </c>
      <c r="H539" s="14" t="s">
        <v>76</v>
      </c>
      <c r="I539" s="14" t="s">
        <v>76</v>
      </c>
      <c r="J539" s="14"/>
      <c r="K539" s="14">
        <v>0.18772815418582101</v>
      </c>
      <c r="L539" s="14" t="s">
        <v>76</v>
      </c>
      <c r="M539" s="14" t="s">
        <v>76</v>
      </c>
      <c r="N539" s="14"/>
      <c r="O539" s="14">
        <v>0.19131895673442401</v>
      </c>
      <c r="P539" s="14">
        <v>0.177582759616108</v>
      </c>
      <c r="Q539" s="14"/>
      <c r="R539" s="14">
        <v>0.111480477838207</v>
      </c>
      <c r="S539" s="14">
        <v>0.19779243549370701</v>
      </c>
      <c r="T539" s="14">
        <v>0.41397421769401499</v>
      </c>
      <c r="U539" s="14">
        <v>0.23854977764993801</v>
      </c>
      <c r="V539" s="14">
        <v>0.225438021617822</v>
      </c>
      <c r="W539" s="14">
        <v>0.21330442160518001</v>
      </c>
      <c r="X539" s="14">
        <v>7.4034936534309398E-2</v>
      </c>
      <c r="Y539" s="14">
        <v>0.18003627084451199</v>
      </c>
      <c r="Z539" s="14">
        <v>0.15183513795363199</v>
      </c>
      <c r="AA539" s="14"/>
      <c r="AB539" s="14" t="s">
        <v>76</v>
      </c>
      <c r="AC539" s="14" t="s">
        <v>76</v>
      </c>
      <c r="AD539" s="14" t="s">
        <v>76</v>
      </c>
      <c r="AE539" s="14" t="s">
        <v>76</v>
      </c>
      <c r="AF539" s="14"/>
      <c r="AG539" s="14" t="s">
        <v>76</v>
      </c>
      <c r="AH539" s="14" t="s">
        <v>76</v>
      </c>
      <c r="AI539" s="14"/>
      <c r="AJ539" s="14" t="s">
        <v>76</v>
      </c>
      <c r="AK539" s="14" t="s">
        <v>76</v>
      </c>
      <c r="AL539" s="14"/>
      <c r="AM539" s="14">
        <v>0.12613159667304799</v>
      </c>
      <c r="AN539" s="14">
        <v>0.439964722963543</v>
      </c>
    </row>
    <row r="540" spans="2:40" x14ac:dyDescent="0.35">
      <c r="B540" t="s">
        <v>169</v>
      </c>
      <c r="C540" s="14">
        <v>3.0776440586144701E-2</v>
      </c>
      <c r="D540" s="14">
        <v>2.4387957248295001E-2</v>
      </c>
      <c r="E540" s="14">
        <v>3.7716044153368301E-2</v>
      </c>
      <c r="F540" s="14"/>
      <c r="G540" s="14">
        <v>3.0776440586144701E-2</v>
      </c>
      <c r="H540" s="14" t="s">
        <v>76</v>
      </c>
      <c r="I540" s="14" t="s">
        <v>76</v>
      </c>
      <c r="J540" s="14"/>
      <c r="K540" s="14">
        <v>3.0776440586144701E-2</v>
      </c>
      <c r="L540" s="14" t="s">
        <v>76</v>
      </c>
      <c r="M540" s="14" t="s">
        <v>76</v>
      </c>
      <c r="N540" s="14"/>
      <c r="O540" s="14">
        <v>2.97760331093385E-2</v>
      </c>
      <c r="P540" s="14">
        <v>4.3032578226887601E-2</v>
      </c>
      <c r="Q540" s="14"/>
      <c r="R540" s="14">
        <v>0</v>
      </c>
      <c r="S540" s="14">
        <v>5.2676817387013498E-2</v>
      </c>
      <c r="T540" s="14">
        <v>2.845522015212E-2</v>
      </c>
      <c r="U540" s="14">
        <v>0</v>
      </c>
      <c r="V540" s="14">
        <v>6.11959038289746E-2</v>
      </c>
      <c r="W540" s="14">
        <v>2.2618594018238201E-2</v>
      </c>
      <c r="X540" s="14">
        <v>4.4558869755211297E-2</v>
      </c>
      <c r="Y540" s="14">
        <v>0.204041182937687</v>
      </c>
      <c r="Z540" s="14">
        <v>0</v>
      </c>
      <c r="AA540" s="14"/>
      <c r="AB540" s="14" t="s">
        <v>76</v>
      </c>
      <c r="AC540" s="14" t="s">
        <v>76</v>
      </c>
      <c r="AD540" s="14" t="s">
        <v>76</v>
      </c>
      <c r="AE540" s="14" t="s">
        <v>76</v>
      </c>
      <c r="AF540" s="14"/>
      <c r="AG540" s="14" t="s">
        <v>76</v>
      </c>
      <c r="AH540" s="14" t="s">
        <v>76</v>
      </c>
      <c r="AI540" s="14"/>
      <c r="AJ540" s="14" t="s">
        <v>76</v>
      </c>
      <c r="AK540" s="14" t="s">
        <v>76</v>
      </c>
      <c r="AL540" s="14"/>
      <c r="AM540" s="14">
        <v>1.3555105747909701E-2</v>
      </c>
      <c r="AN540" s="14">
        <v>0.137232758775307</v>
      </c>
    </row>
    <row r="541" spans="2:40" x14ac:dyDescent="0.35">
      <c r="B541" t="s">
        <v>70</v>
      </c>
      <c r="C541" s="14">
        <v>7.5816596659708897E-3</v>
      </c>
      <c r="D541" s="14">
        <v>1.4561209143129399E-2</v>
      </c>
      <c r="E541" s="14">
        <v>0</v>
      </c>
      <c r="F541" s="14"/>
      <c r="G541" s="14">
        <v>7.5816596659708897E-3</v>
      </c>
      <c r="H541" s="14" t="s">
        <v>76</v>
      </c>
      <c r="I541" s="14" t="s">
        <v>76</v>
      </c>
      <c r="J541" s="14"/>
      <c r="K541" s="14">
        <v>7.5816596659708897E-3</v>
      </c>
      <c r="L541" s="14" t="s">
        <v>76</v>
      </c>
      <c r="M541" s="14" t="s">
        <v>76</v>
      </c>
      <c r="N541" s="14"/>
      <c r="O541" s="14">
        <v>8.54545262751325E-3</v>
      </c>
      <c r="P541" s="14">
        <v>0</v>
      </c>
      <c r="Q541" s="14"/>
      <c r="R541" s="14">
        <v>0</v>
      </c>
      <c r="S541" s="14">
        <v>0</v>
      </c>
      <c r="T541" s="14">
        <v>0</v>
      </c>
      <c r="U541" s="14">
        <v>0</v>
      </c>
      <c r="V541" s="14">
        <v>0</v>
      </c>
      <c r="W541" s="14">
        <v>0</v>
      </c>
      <c r="X541" s="14">
        <v>0</v>
      </c>
      <c r="Y541" s="14">
        <v>0</v>
      </c>
      <c r="Z541" s="14">
        <v>7.0286435837006805E-2</v>
      </c>
      <c r="AA541" s="14"/>
      <c r="AB541" s="14" t="s">
        <v>76</v>
      </c>
      <c r="AC541" s="14" t="s">
        <v>76</v>
      </c>
      <c r="AD541" s="14" t="s">
        <v>76</v>
      </c>
      <c r="AE541" s="14" t="s">
        <v>76</v>
      </c>
      <c r="AF541" s="14"/>
      <c r="AG541" s="14" t="s">
        <v>76</v>
      </c>
      <c r="AH541" s="14" t="s">
        <v>76</v>
      </c>
      <c r="AI541" s="14"/>
      <c r="AJ541" s="14" t="s">
        <v>76</v>
      </c>
      <c r="AK541" s="14" t="s">
        <v>76</v>
      </c>
      <c r="AL541" s="14"/>
      <c r="AM541" s="14">
        <v>0</v>
      </c>
      <c r="AN541" s="14">
        <v>0</v>
      </c>
    </row>
    <row r="542" spans="2:40" x14ac:dyDescent="0.35"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</row>
    <row r="543" spans="2:40" x14ac:dyDescent="0.35">
      <c r="B543" s="6" t="s">
        <v>201</v>
      </c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  <c r="AM543" s="14"/>
      <c r="AN543" s="14"/>
    </row>
    <row r="544" spans="2:40" x14ac:dyDescent="0.35">
      <c r="B544" s="26" t="s">
        <v>209</v>
      </c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  <c r="AG544" s="14"/>
      <c r="AH544" s="14"/>
      <c r="AI544" s="14"/>
      <c r="AJ544" s="14"/>
      <c r="AK544" s="14"/>
      <c r="AL544" s="14"/>
      <c r="AM544" s="14"/>
      <c r="AN544" s="14"/>
    </row>
    <row r="545" spans="2:40" x14ac:dyDescent="0.35">
      <c r="B545" t="s">
        <v>44</v>
      </c>
      <c r="C545" s="14">
        <v>0.86826541892240705</v>
      </c>
      <c r="D545" s="14">
        <v>0.844758722310884</v>
      </c>
      <c r="E545" s="14">
        <v>0.89811341461346905</v>
      </c>
      <c r="F545" s="14"/>
      <c r="G545" s="14" t="s">
        <v>76</v>
      </c>
      <c r="H545" s="14">
        <v>0.86826541892240705</v>
      </c>
      <c r="I545" s="14" t="s">
        <v>76</v>
      </c>
      <c r="J545" s="14"/>
      <c r="K545" s="14">
        <v>0.86826541892240705</v>
      </c>
      <c r="L545" s="14" t="s">
        <v>76</v>
      </c>
      <c r="M545" s="14" t="s">
        <v>76</v>
      </c>
      <c r="N545" s="14"/>
      <c r="O545" s="14">
        <v>0.87011471413710195</v>
      </c>
      <c r="P545" s="14">
        <v>0.85809925560422695</v>
      </c>
      <c r="Q545" s="14"/>
      <c r="R545" s="14">
        <v>0.89210419028997301</v>
      </c>
      <c r="S545" s="14">
        <v>0.84756287636670602</v>
      </c>
      <c r="T545" s="14">
        <v>0.84245144398924099</v>
      </c>
      <c r="U545" s="14">
        <v>0.87202073269895897</v>
      </c>
      <c r="V545" s="14">
        <v>0.959153172628321</v>
      </c>
      <c r="W545" s="14">
        <v>0.85939327020632394</v>
      </c>
      <c r="X545" s="14">
        <v>0.82534958157317395</v>
      </c>
      <c r="Y545" s="14">
        <v>0.958138276487699</v>
      </c>
      <c r="Z545" s="14">
        <v>0.833364102530601</v>
      </c>
      <c r="AA545" s="14"/>
      <c r="AB545" s="14" t="s">
        <v>76</v>
      </c>
      <c r="AC545" s="14" t="s">
        <v>76</v>
      </c>
      <c r="AD545" s="14" t="s">
        <v>76</v>
      </c>
      <c r="AE545" s="14" t="s">
        <v>76</v>
      </c>
      <c r="AF545" s="14"/>
      <c r="AG545" s="14" t="s">
        <v>76</v>
      </c>
      <c r="AH545" s="14" t="s">
        <v>76</v>
      </c>
      <c r="AI545" s="14"/>
      <c r="AJ545" s="14" t="s">
        <v>76</v>
      </c>
      <c r="AK545" s="14" t="s">
        <v>76</v>
      </c>
      <c r="AL545" s="14"/>
      <c r="AM545" s="14">
        <v>0.87631959343854204</v>
      </c>
      <c r="AN545" s="14">
        <v>0.84611271868528104</v>
      </c>
    </row>
    <row r="546" spans="2:40" x14ac:dyDescent="0.35">
      <c r="B546" t="s">
        <v>45</v>
      </c>
      <c r="C546" s="14">
        <v>9.3124724752933596E-2</v>
      </c>
      <c r="D546" s="14">
        <v>0.117631154517951</v>
      </c>
      <c r="E546" s="14">
        <v>6.7556477006446097E-2</v>
      </c>
      <c r="F546" s="14"/>
      <c r="G546" s="14" t="s">
        <v>76</v>
      </c>
      <c r="H546" s="14">
        <v>9.3124724752933596E-2</v>
      </c>
      <c r="I546" s="14" t="s">
        <v>76</v>
      </c>
      <c r="J546" s="14"/>
      <c r="K546" s="14">
        <v>9.3124724752933596E-2</v>
      </c>
      <c r="L546" s="14" t="s">
        <v>76</v>
      </c>
      <c r="M546" s="14" t="s">
        <v>76</v>
      </c>
      <c r="N546" s="14"/>
      <c r="O546" s="14">
        <v>8.9590215847158802E-2</v>
      </c>
      <c r="P546" s="14">
        <v>0.12722727170290801</v>
      </c>
      <c r="Q546" s="14"/>
      <c r="R546" s="14">
        <v>8.9636764865062599E-2</v>
      </c>
      <c r="S546" s="14">
        <v>9.1484031725980103E-2</v>
      </c>
      <c r="T546" s="14">
        <v>0.105268838512486</v>
      </c>
      <c r="U546" s="14">
        <v>0.109478503893498</v>
      </c>
      <c r="V546" s="14">
        <v>2.0423413829314199E-2</v>
      </c>
      <c r="W546" s="14">
        <v>0.110999704080481</v>
      </c>
      <c r="X546" s="14">
        <v>7.3073224133728701E-2</v>
      </c>
      <c r="Y546" s="14">
        <v>4.1861723512300497E-2</v>
      </c>
      <c r="Z546" s="14">
        <v>0.153321678540698</v>
      </c>
      <c r="AA546" s="14"/>
      <c r="AB546" s="14" t="s">
        <v>76</v>
      </c>
      <c r="AC546" s="14" t="s">
        <v>76</v>
      </c>
      <c r="AD546" s="14" t="s">
        <v>76</v>
      </c>
      <c r="AE546" s="14" t="s">
        <v>76</v>
      </c>
      <c r="AF546" s="14"/>
      <c r="AG546" s="14" t="s">
        <v>76</v>
      </c>
      <c r="AH546" s="14" t="s">
        <v>76</v>
      </c>
      <c r="AI546" s="14"/>
      <c r="AJ546" s="14" t="s">
        <v>76</v>
      </c>
      <c r="AK546" s="14" t="s">
        <v>76</v>
      </c>
      <c r="AL546" s="14"/>
      <c r="AM546" s="14">
        <v>0.103362883462364</v>
      </c>
      <c r="AN546" s="14">
        <v>7.2227288337449305E-2</v>
      </c>
    </row>
    <row r="547" spans="2:40" x14ac:dyDescent="0.35">
      <c r="B547" t="s">
        <v>70</v>
      </c>
      <c r="C547" s="14">
        <v>3.86098563246597E-2</v>
      </c>
      <c r="D547" s="14">
        <v>3.7610123171165397E-2</v>
      </c>
      <c r="E547" s="14">
        <v>3.4330108380085302E-2</v>
      </c>
      <c r="F547" s="14"/>
      <c r="G547" s="14" t="s">
        <v>76</v>
      </c>
      <c r="H547" s="14">
        <v>3.86098563246597E-2</v>
      </c>
      <c r="I547" s="14" t="s">
        <v>76</v>
      </c>
      <c r="J547" s="14"/>
      <c r="K547" s="14">
        <v>3.86098563246597E-2</v>
      </c>
      <c r="L547" s="14" t="s">
        <v>76</v>
      </c>
      <c r="M547" s="14" t="s">
        <v>76</v>
      </c>
      <c r="N547" s="14"/>
      <c r="O547" s="14">
        <v>4.0295070015739502E-2</v>
      </c>
      <c r="P547" s="14">
        <v>1.46734726928654E-2</v>
      </c>
      <c r="Q547" s="14"/>
      <c r="R547" s="14">
        <v>1.8259044844964899E-2</v>
      </c>
      <c r="S547" s="14">
        <v>6.0953091907313697E-2</v>
      </c>
      <c r="T547" s="14">
        <v>5.2279717498273703E-2</v>
      </c>
      <c r="U547" s="14">
        <v>1.85007634075426E-2</v>
      </c>
      <c r="V547" s="14">
        <v>2.0423413542364901E-2</v>
      </c>
      <c r="W547" s="14">
        <v>2.9607025713194901E-2</v>
      </c>
      <c r="X547" s="14">
        <v>0.101577194293097</v>
      </c>
      <c r="Y547" s="14">
        <v>0</v>
      </c>
      <c r="Z547" s="14">
        <v>1.3314218928701001E-2</v>
      </c>
      <c r="AA547" s="14"/>
      <c r="AB547" s="14" t="s">
        <v>76</v>
      </c>
      <c r="AC547" s="14" t="s">
        <v>76</v>
      </c>
      <c r="AD547" s="14" t="s">
        <v>76</v>
      </c>
      <c r="AE547" s="14" t="s">
        <v>76</v>
      </c>
      <c r="AF547" s="14"/>
      <c r="AG547" s="14" t="s">
        <v>76</v>
      </c>
      <c r="AH547" s="14" t="s">
        <v>76</v>
      </c>
      <c r="AI547" s="14"/>
      <c r="AJ547" s="14" t="s">
        <v>76</v>
      </c>
      <c r="AK547" s="14" t="s">
        <v>76</v>
      </c>
      <c r="AL547" s="14"/>
      <c r="AM547" s="14">
        <v>2.03175230990945E-2</v>
      </c>
      <c r="AN547" s="14">
        <v>8.1659992977269696E-2</v>
      </c>
    </row>
    <row r="548" spans="2:40" x14ac:dyDescent="0.35"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</row>
    <row r="549" spans="2:40" x14ac:dyDescent="0.35">
      <c r="B549" s="6" t="s">
        <v>203</v>
      </c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4"/>
      <c r="AN549" s="14"/>
    </row>
    <row r="550" spans="2:40" x14ac:dyDescent="0.35">
      <c r="B550" s="26" t="s">
        <v>395</v>
      </c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</row>
    <row r="551" spans="2:40" x14ac:dyDescent="0.35">
      <c r="B551" t="s">
        <v>155</v>
      </c>
      <c r="C551" s="14">
        <v>0.42932078346327202</v>
      </c>
      <c r="D551" s="14">
        <v>0.40179708420677201</v>
      </c>
      <c r="E551" s="14">
        <v>0.459022501515921</v>
      </c>
      <c r="F551" s="14"/>
      <c r="G551" s="14" t="s">
        <v>76</v>
      </c>
      <c r="H551" s="14">
        <v>0.42932078346327202</v>
      </c>
      <c r="I551" s="14" t="s">
        <v>76</v>
      </c>
      <c r="J551" s="14"/>
      <c r="K551" s="14">
        <v>0.42932078346327202</v>
      </c>
      <c r="L551" s="14" t="s">
        <v>76</v>
      </c>
      <c r="M551" s="14" t="s">
        <v>76</v>
      </c>
      <c r="N551" s="14"/>
      <c r="O551" s="14">
        <v>0.41567816516954198</v>
      </c>
      <c r="P551" s="14">
        <v>0.55153176283412997</v>
      </c>
      <c r="Q551" s="14"/>
      <c r="R551" s="14">
        <v>0.42617999694494402</v>
      </c>
      <c r="S551" s="14">
        <v>0.44161625312597402</v>
      </c>
      <c r="T551" s="14">
        <v>0.34191056446277401</v>
      </c>
      <c r="U551" s="14">
        <v>0.50296258346229505</v>
      </c>
      <c r="V551" s="14">
        <v>0.34165897257625899</v>
      </c>
      <c r="W551" s="14">
        <v>0.50183866414532696</v>
      </c>
      <c r="X551" s="14">
        <v>0.47939534121896099</v>
      </c>
      <c r="Y551" s="14">
        <v>0.507877104986733</v>
      </c>
      <c r="Z551" s="14">
        <v>0.35630012885589502</v>
      </c>
      <c r="AA551" s="14"/>
      <c r="AB551" s="14" t="s">
        <v>76</v>
      </c>
      <c r="AC551" s="14" t="s">
        <v>76</v>
      </c>
      <c r="AD551" s="14" t="s">
        <v>76</v>
      </c>
      <c r="AE551" s="14" t="s">
        <v>76</v>
      </c>
      <c r="AF551" s="14"/>
      <c r="AG551" s="14" t="s">
        <v>76</v>
      </c>
      <c r="AH551" s="14" t="s">
        <v>76</v>
      </c>
      <c r="AI551" s="14"/>
      <c r="AJ551" s="14" t="s">
        <v>76</v>
      </c>
      <c r="AK551" s="14" t="s">
        <v>76</v>
      </c>
      <c r="AL551" s="14"/>
      <c r="AM551" s="14">
        <v>0.462080677423927</v>
      </c>
      <c r="AN551" s="14">
        <v>0.36424898482382101</v>
      </c>
    </row>
    <row r="552" spans="2:40" x14ac:dyDescent="0.35">
      <c r="B552" t="s">
        <v>156</v>
      </c>
      <c r="C552" s="14">
        <v>0.48601566384711697</v>
      </c>
      <c r="D552" s="14">
        <v>0.49028506142890199</v>
      </c>
      <c r="E552" s="14">
        <v>0.47956889804244301</v>
      </c>
      <c r="F552" s="14"/>
      <c r="G552" s="14" t="s">
        <v>76</v>
      </c>
      <c r="H552" s="14">
        <v>0.48601566384711697</v>
      </c>
      <c r="I552" s="14" t="s">
        <v>76</v>
      </c>
      <c r="J552" s="14"/>
      <c r="K552" s="14">
        <v>0.48601566384711697</v>
      </c>
      <c r="L552" s="14" t="s">
        <v>76</v>
      </c>
      <c r="M552" s="14" t="s">
        <v>76</v>
      </c>
      <c r="N552" s="14"/>
      <c r="O552" s="14">
        <v>0.49556325185099298</v>
      </c>
      <c r="P552" s="14">
        <v>0.42901789257009298</v>
      </c>
      <c r="Q552" s="14"/>
      <c r="R552" s="14">
        <v>0.47380864752284402</v>
      </c>
      <c r="S552" s="14">
        <v>0.48315052338702202</v>
      </c>
      <c r="T552" s="14">
        <v>0.48681976668869698</v>
      </c>
      <c r="U552" s="14">
        <v>0.43449027714015198</v>
      </c>
      <c r="V552" s="14">
        <v>0.50698331445787204</v>
      </c>
      <c r="W552" s="14">
        <v>0.48047703631327099</v>
      </c>
      <c r="X552" s="14">
        <v>0.46010131797113502</v>
      </c>
      <c r="Y552" s="14">
        <v>0.365632947597752</v>
      </c>
      <c r="Z552" s="14">
        <v>0.62684912659318004</v>
      </c>
      <c r="AA552" s="14"/>
      <c r="AB552" s="14" t="s">
        <v>76</v>
      </c>
      <c r="AC552" s="14" t="s">
        <v>76</v>
      </c>
      <c r="AD552" s="14" t="s">
        <v>76</v>
      </c>
      <c r="AE552" s="14" t="s">
        <v>76</v>
      </c>
      <c r="AF552" s="14"/>
      <c r="AG552" s="14" t="s">
        <v>76</v>
      </c>
      <c r="AH552" s="14" t="s">
        <v>76</v>
      </c>
      <c r="AI552" s="14"/>
      <c r="AJ552" s="14" t="s">
        <v>76</v>
      </c>
      <c r="AK552" s="14" t="s">
        <v>76</v>
      </c>
      <c r="AL552" s="14"/>
      <c r="AM552" s="14">
        <v>0.44297575909429998</v>
      </c>
      <c r="AN552" s="14">
        <v>0.53898652405613301</v>
      </c>
    </row>
    <row r="553" spans="2:40" x14ac:dyDescent="0.35">
      <c r="B553" t="s">
        <v>157</v>
      </c>
      <c r="C553" s="14">
        <v>6.9531954487426606E-2</v>
      </c>
      <c r="D553" s="14">
        <v>8.2342749345220206E-2</v>
      </c>
      <c r="E553" s="14">
        <v>5.6814920806147702E-2</v>
      </c>
      <c r="F553" s="14"/>
      <c r="G553" s="14" t="s">
        <v>76</v>
      </c>
      <c r="H553" s="14">
        <v>6.9531954487426606E-2</v>
      </c>
      <c r="I553" s="14" t="s">
        <v>76</v>
      </c>
      <c r="J553" s="14"/>
      <c r="K553" s="14">
        <v>6.9531954487426606E-2</v>
      </c>
      <c r="L553" s="14" t="s">
        <v>76</v>
      </c>
      <c r="M553" s="14" t="s">
        <v>76</v>
      </c>
      <c r="N553" s="14"/>
      <c r="O553" s="14">
        <v>7.42080878326105E-2</v>
      </c>
      <c r="P553" s="14">
        <v>1.94503445957772E-2</v>
      </c>
      <c r="Q553" s="14"/>
      <c r="R553" s="14">
        <v>6.7769001035037704E-2</v>
      </c>
      <c r="S553" s="14">
        <v>7.52332234870043E-2</v>
      </c>
      <c r="T553" s="14">
        <v>0.12735832760626201</v>
      </c>
      <c r="U553" s="14">
        <v>6.2547139397553103E-2</v>
      </c>
      <c r="V553" s="14">
        <v>0.128899325199516</v>
      </c>
      <c r="W553" s="14">
        <v>1.76842995414026E-2</v>
      </c>
      <c r="X553" s="14">
        <v>3.0869002453415301E-2</v>
      </c>
      <c r="Y553" s="14">
        <v>0.126489947415516</v>
      </c>
      <c r="Z553" s="14">
        <v>1.68507445509248E-2</v>
      </c>
      <c r="AA553" s="14"/>
      <c r="AB553" s="14" t="s">
        <v>76</v>
      </c>
      <c r="AC553" s="14" t="s">
        <v>76</v>
      </c>
      <c r="AD553" s="14" t="s">
        <v>76</v>
      </c>
      <c r="AE553" s="14" t="s">
        <v>76</v>
      </c>
      <c r="AF553" s="14"/>
      <c r="AG553" s="14" t="s">
        <v>76</v>
      </c>
      <c r="AH553" s="14" t="s">
        <v>76</v>
      </c>
      <c r="AI553" s="14"/>
      <c r="AJ553" s="14" t="s">
        <v>76</v>
      </c>
      <c r="AK553" s="14" t="s">
        <v>76</v>
      </c>
      <c r="AL553" s="14"/>
      <c r="AM553" s="14">
        <v>7.7741581365637996E-2</v>
      </c>
      <c r="AN553" s="14">
        <v>7.4222930878726695E-2</v>
      </c>
    </row>
    <row r="554" spans="2:40" x14ac:dyDescent="0.35">
      <c r="B554" t="s">
        <v>158</v>
      </c>
      <c r="C554" s="14">
        <v>1.0233302327348899E-2</v>
      </c>
      <c r="D554" s="14">
        <v>1.58310480560989E-2</v>
      </c>
      <c r="E554" s="14">
        <v>4.5936796354887803E-3</v>
      </c>
      <c r="F554" s="14"/>
      <c r="G554" s="14" t="s">
        <v>76</v>
      </c>
      <c r="H554" s="14">
        <v>1.0233302327348899E-2</v>
      </c>
      <c r="I554" s="14" t="s">
        <v>76</v>
      </c>
      <c r="J554" s="14"/>
      <c r="K554" s="14">
        <v>1.0233302327348899E-2</v>
      </c>
      <c r="L554" s="14" t="s">
        <v>76</v>
      </c>
      <c r="M554" s="14" t="s">
        <v>76</v>
      </c>
      <c r="N554" s="14"/>
      <c r="O554" s="14">
        <v>8.9595420586873996E-3</v>
      </c>
      <c r="P554" s="14">
        <v>0</v>
      </c>
      <c r="Q554" s="14"/>
      <c r="R554" s="14">
        <v>3.2242354497174198E-2</v>
      </c>
      <c r="S554" s="14">
        <v>0</v>
      </c>
      <c r="T554" s="14">
        <v>0</v>
      </c>
      <c r="U554" s="14">
        <v>0</v>
      </c>
      <c r="V554" s="14">
        <v>2.2458387766353598E-2</v>
      </c>
      <c r="W554" s="14">
        <v>0</v>
      </c>
      <c r="X554" s="14">
        <v>2.9634338356488099E-2</v>
      </c>
      <c r="Y554" s="14">
        <v>0</v>
      </c>
      <c r="Z554" s="14">
        <v>0</v>
      </c>
      <c r="AA554" s="14"/>
      <c r="AB554" s="14" t="s">
        <v>76</v>
      </c>
      <c r="AC554" s="14" t="s">
        <v>76</v>
      </c>
      <c r="AD554" s="14" t="s">
        <v>76</v>
      </c>
      <c r="AE554" s="14" t="s">
        <v>76</v>
      </c>
      <c r="AF554" s="14"/>
      <c r="AG554" s="14" t="s">
        <v>76</v>
      </c>
      <c r="AH554" s="14" t="s">
        <v>76</v>
      </c>
      <c r="AI554" s="14"/>
      <c r="AJ554" s="14" t="s">
        <v>76</v>
      </c>
      <c r="AK554" s="14" t="s">
        <v>76</v>
      </c>
      <c r="AL554" s="14"/>
      <c r="AM554" s="14">
        <v>9.1563002762568499E-3</v>
      </c>
      <c r="AN554" s="14">
        <v>2.2541560241319401E-2</v>
      </c>
    </row>
    <row r="555" spans="2:40" x14ac:dyDescent="0.35">
      <c r="B555" t="s">
        <v>70</v>
      </c>
      <c r="C555" s="14">
        <v>4.8982958748356297E-3</v>
      </c>
      <c r="D555" s="14">
        <v>9.7440569630065504E-3</v>
      </c>
      <c r="E555" s="14">
        <v>0</v>
      </c>
      <c r="F555" s="14"/>
      <c r="G555" s="14" t="s">
        <v>76</v>
      </c>
      <c r="H555" s="14">
        <v>4.8982958748356297E-3</v>
      </c>
      <c r="I555" s="14" t="s">
        <v>76</v>
      </c>
      <c r="J555" s="14"/>
      <c r="K555" s="14">
        <v>4.8982958748356297E-3</v>
      </c>
      <c r="L555" s="14" t="s">
        <v>76</v>
      </c>
      <c r="M555" s="14" t="s">
        <v>76</v>
      </c>
      <c r="N555" s="14"/>
      <c r="O555" s="14">
        <v>5.5909530881672297E-3</v>
      </c>
      <c r="P555" s="14">
        <v>0</v>
      </c>
      <c r="Q555" s="14"/>
      <c r="R555" s="14">
        <v>0</v>
      </c>
      <c r="S555" s="14">
        <v>0</v>
      </c>
      <c r="T555" s="14">
        <v>4.3911341242266998E-2</v>
      </c>
      <c r="U555" s="14">
        <v>0</v>
      </c>
      <c r="V555" s="14">
        <v>0</v>
      </c>
      <c r="W555" s="14">
        <v>0</v>
      </c>
      <c r="X555" s="14">
        <v>0</v>
      </c>
      <c r="Y555" s="14">
        <v>0</v>
      </c>
      <c r="Z555" s="14">
        <v>0</v>
      </c>
      <c r="AA555" s="14"/>
      <c r="AB555" s="14" t="s">
        <v>76</v>
      </c>
      <c r="AC555" s="14" t="s">
        <v>76</v>
      </c>
      <c r="AD555" s="14" t="s">
        <v>76</v>
      </c>
      <c r="AE555" s="14" t="s">
        <v>76</v>
      </c>
      <c r="AF555" s="14"/>
      <c r="AG555" s="14" t="s">
        <v>76</v>
      </c>
      <c r="AH555" s="14" t="s">
        <v>76</v>
      </c>
      <c r="AI555" s="14"/>
      <c r="AJ555" s="14" t="s">
        <v>76</v>
      </c>
      <c r="AK555" s="14" t="s">
        <v>76</v>
      </c>
      <c r="AL555" s="14"/>
      <c r="AM555" s="14">
        <v>8.0456818398780394E-3</v>
      </c>
      <c r="AN555" s="14">
        <v>0</v>
      </c>
    </row>
    <row r="556" spans="2:40" x14ac:dyDescent="0.35"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4"/>
      <c r="AN556" s="14"/>
    </row>
    <row r="557" spans="2:40" x14ac:dyDescent="0.35">
      <c r="B557" s="6" t="s">
        <v>205</v>
      </c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4"/>
      <c r="AN557" s="14"/>
    </row>
    <row r="558" spans="2:40" x14ac:dyDescent="0.35">
      <c r="B558" s="26" t="s">
        <v>395</v>
      </c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4"/>
      <c r="AN558" s="14"/>
    </row>
    <row r="559" spans="2:40" x14ac:dyDescent="0.35">
      <c r="B559" t="s">
        <v>160</v>
      </c>
      <c r="C559" s="14">
        <v>0.29731574795175097</v>
      </c>
      <c r="D559" s="14">
        <v>0.322104929979591</v>
      </c>
      <c r="E559" s="14">
        <v>0.273377252799472</v>
      </c>
      <c r="F559" s="14"/>
      <c r="G559" s="14" t="s">
        <v>76</v>
      </c>
      <c r="H559" s="14">
        <v>0.29731574795175097</v>
      </c>
      <c r="I559" s="14" t="s">
        <v>76</v>
      </c>
      <c r="J559" s="14"/>
      <c r="K559" s="14">
        <v>0.29731574795175097</v>
      </c>
      <c r="L559" s="14" t="s">
        <v>76</v>
      </c>
      <c r="M559" s="14" t="s">
        <v>76</v>
      </c>
      <c r="N559" s="14"/>
      <c r="O559" s="14">
        <v>0.28844344039917502</v>
      </c>
      <c r="P559" s="14">
        <v>0.34909569193388901</v>
      </c>
      <c r="Q559" s="14"/>
      <c r="R559" s="14">
        <v>0.39677284766867799</v>
      </c>
      <c r="S559" s="14">
        <v>0.33634291042384201</v>
      </c>
      <c r="T559" s="14">
        <v>0.25498444173174001</v>
      </c>
      <c r="U559" s="14">
        <v>0.23841271527458199</v>
      </c>
      <c r="V559" s="14">
        <v>0.26252112548603901</v>
      </c>
      <c r="W559" s="14">
        <v>0.30674809457623597</v>
      </c>
      <c r="X559" s="14">
        <v>0.323525661649254</v>
      </c>
      <c r="Y559" s="14">
        <v>8.7381379665901093E-2</v>
      </c>
      <c r="Z559" s="14">
        <v>0.30098503796645798</v>
      </c>
      <c r="AA559" s="14"/>
      <c r="AB559" s="14" t="s">
        <v>76</v>
      </c>
      <c r="AC559" s="14" t="s">
        <v>76</v>
      </c>
      <c r="AD559" s="14" t="s">
        <v>76</v>
      </c>
      <c r="AE559" s="14" t="s">
        <v>76</v>
      </c>
      <c r="AF559" s="14"/>
      <c r="AG559" s="14" t="s">
        <v>76</v>
      </c>
      <c r="AH559" s="14" t="s">
        <v>76</v>
      </c>
      <c r="AI559" s="14"/>
      <c r="AJ559" s="14" t="s">
        <v>76</v>
      </c>
      <c r="AK559" s="14" t="s">
        <v>76</v>
      </c>
      <c r="AL559" s="14"/>
      <c r="AM559" s="14">
        <v>0.41399329096931298</v>
      </c>
      <c r="AN559" s="14">
        <v>5.00406623890862E-2</v>
      </c>
    </row>
    <row r="560" spans="2:40" x14ac:dyDescent="0.35">
      <c r="B560" t="s">
        <v>161</v>
      </c>
      <c r="C560" s="14">
        <v>0.55296774929238801</v>
      </c>
      <c r="D560" s="14">
        <v>0.54100727485590705</v>
      </c>
      <c r="E560" s="14">
        <v>0.56326955064921502</v>
      </c>
      <c r="F560" s="14"/>
      <c r="G560" s="14" t="s">
        <v>76</v>
      </c>
      <c r="H560" s="14">
        <v>0.55296774929238801</v>
      </c>
      <c r="I560" s="14" t="s">
        <v>76</v>
      </c>
      <c r="J560" s="14"/>
      <c r="K560" s="14">
        <v>0.55296774929238801</v>
      </c>
      <c r="L560" s="14" t="s">
        <v>76</v>
      </c>
      <c r="M560" s="14" t="s">
        <v>76</v>
      </c>
      <c r="N560" s="14"/>
      <c r="O560" s="14">
        <v>0.54785008551597902</v>
      </c>
      <c r="P560" s="14">
        <v>0.58900279693372204</v>
      </c>
      <c r="Q560" s="14"/>
      <c r="R560" s="14">
        <v>0.470973436499946</v>
      </c>
      <c r="S560" s="14">
        <v>0.46171123992465901</v>
      </c>
      <c r="T560" s="14">
        <v>0.60310325057136704</v>
      </c>
      <c r="U560" s="14">
        <v>0.63624083149990196</v>
      </c>
      <c r="V560" s="14">
        <v>0.46110202259064098</v>
      </c>
      <c r="W560" s="14">
        <v>0.51131386681824598</v>
      </c>
      <c r="X560" s="14">
        <v>0.61473633344391598</v>
      </c>
      <c r="Y560" s="14">
        <v>0.86653706396206498</v>
      </c>
      <c r="Z560" s="14">
        <v>0.58328197698287598</v>
      </c>
      <c r="AA560" s="14"/>
      <c r="AB560" s="14" t="s">
        <v>76</v>
      </c>
      <c r="AC560" s="14" t="s">
        <v>76</v>
      </c>
      <c r="AD560" s="14" t="s">
        <v>76</v>
      </c>
      <c r="AE560" s="14" t="s">
        <v>76</v>
      </c>
      <c r="AF560" s="14"/>
      <c r="AG560" s="14" t="s">
        <v>76</v>
      </c>
      <c r="AH560" s="14" t="s">
        <v>76</v>
      </c>
      <c r="AI560" s="14"/>
      <c r="AJ560" s="14" t="s">
        <v>76</v>
      </c>
      <c r="AK560" s="14" t="s">
        <v>76</v>
      </c>
      <c r="AL560" s="14"/>
      <c r="AM560" s="14">
        <v>0.54542175884858801</v>
      </c>
      <c r="AN560" s="14">
        <v>0.515970195391384</v>
      </c>
    </row>
    <row r="561" spans="2:40" x14ac:dyDescent="0.35">
      <c r="B561" t="s">
        <v>162</v>
      </c>
      <c r="C561" s="14">
        <v>0.12116637799159</v>
      </c>
      <c r="D561" s="14">
        <v>0.11733361778021301</v>
      </c>
      <c r="E561" s="14">
        <v>0.125554817522607</v>
      </c>
      <c r="F561" s="14"/>
      <c r="G561" s="14" t="s">
        <v>76</v>
      </c>
      <c r="H561" s="14">
        <v>0.12116637799159</v>
      </c>
      <c r="I561" s="14" t="s">
        <v>76</v>
      </c>
      <c r="J561" s="14"/>
      <c r="K561" s="14">
        <v>0.12116637799159</v>
      </c>
      <c r="L561" s="14" t="s">
        <v>76</v>
      </c>
      <c r="M561" s="14" t="s">
        <v>76</v>
      </c>
      <c r="N561" s="14"/>
      <c r="O561" s="14">
        <v>0.131119139163245</v>
      </c>
      <c r="P561" s="14">
        <v>6.1901511132389099E-2</v>
      </c>
      <c r="Q561" s="14"/>
      <c r="R561" s="14">
        <v>0.13225371583137499</v>
      </c>
      <c r="S561" s="14">
        <v>0.14579869527708</v>
      </c>
      <c r="T561" s="14">
        <v>0.120895951328663</v>
      </c>
      <c r="U561" s="14">
        <v>0.12534645322551599</v>
      </c>
      <c r="V561" s="14">
        <v>0.22804994341107299</v>
      </c>
      <c r="W561" s="14">
        <v>0.12690723291822001</v>
      </c>
      <c r="X561" s="14">
        <v>3.0869002453415301E-2</v>
      </c>
      <c r="Y561" s="14">
        <v>4.6081556372034503E-2</v>
      </c>
      <c r="Z561" s="14">
        <v>8.2031495948816993E-2</v>
      </c>
      <c r="AA561" s="14"/>
      <c r="AB561" s="14" t="s">
        <v>76</v>
      </c>
      <c r="AC561" s="14" t="s">
        <v>76</v>
      </c>
      <c r="AD561" s="14" t="s">
        <v>76</v>
      </c>
      <c r="AE561" s="14" t="s">
        <v>76</v>
      </c>
      <c r="AF561" s="14"/>
      <c r="AG561" s="14" t="s">
        <v>76</v>
      </c>
      <c r="AH561" s="14" t="s">
        <v>76</v>
      </c>
      <c r="AI561" s="14"/>
      <c r="AJ561" s="14" t="s">
        <v>76</v>
      </c>
      <c r="AK561" s="14" t="s">
        <v>76</v>
      </c>
      <c r="AL561" s="14"/>
      <c r="AM561" s="14">
        <v>3.7041873935305801E-2</v>
      </c>
      <c r="AN561" s="14">
        <v>0.32736642141185002</v>
      </c>
    </row>
    <row r="562" spans="2:40" x14ac:dyDescent="0.35">
      <c r="B562" t="s">
        <v>163</v>
      </c>
      <c r="C562" s="14">
        <v>2.8550124764271899E-2</v>
      </c>
      <c r="D562" s="14">
        <v>1.95541773842892E-2</v>
      </c>
      <c r="E562" s="14">
        <v>3.7798379028705802E-2</v>
      </c>
      <c r="F562" s="14"/>
      <c r="G562" s="14" t="s">
        <v>76</v>
      </c>
      <c r="H562" s="14">
        <v>2.8550124764271899E-2</v>
      </c>
      <c r="I562" s="14" t="s">
        <v>76</v>
      </c>
      <c r="J562" s="14"/>
      <c r="K562" s="14">
        <v>2.8550124764271899E-2</v>
      </c>
      <c r="L562" s="14" t="s">
        <v>76</v>
      </c>
      <c r="M562" s="14" t="s">
        <v>76</v>
      </c>
      <c r="N562" s="14"/>
      <c r="O562" s="14">
        <v>3.2587334921600999E-2</v>
      </c>
      <c r="P562" s="14">
        <v>0</v>
      </c>
      <c r="Q562" s="14"/>
      <c r="R562" s="14">
        <v>0</v>
      </c>
      <c r="S562" s="14">
        <v>5.6147154374418397E-2</v>
      </c>
      <c r="T562" s="14">
        <v>2.1016356368229398E-2</v>
      </c>
      <c r="U562" s="14">
        <v>0</v>
      </c>
      <c r="V562" s="14">
        <v>4.83269085122476E-2</v>
      </c>
      <c r="W562" s="14">
        <v>5.5030805687297797E-2</v>
      </c>
      <c r="X562" s="14">
        <v>3.0869002453415301E-2</v>
      </c>
      <c r="Y562" s="14">
        <v>0</v>
      </c>
      <c r="Z562" s="14">
        <v>3.3701489101849599E-2</v>
      </c>
      <c r="AA562" s="14"/>
      <c r="AB562" s="14" t="s">
        <v>76</v>
      </c>
      <c r="AC562" s="14" t="s">
        <v>76</v>
      </c>
      <c r="AD562" s="14" t="s">
        <v>76</v>
      </c>
      <c r="AE562" s="14" t="s">
        <v>76</v>
      </c>
      <c r="AF562" s="14"/>
      <c r="AG562" s="14" t="s">
        <v>76</v>
      </c>
      <c r="AH562" s="14" t="s">
        <v>76</v>
      </c>
      <c r="AI562" s="14"/>
      <c r="AJ562" s="14" t="s">
        <v>76</v>
      </c>
      <c r="AK562" s="14" t="s">
        <v>76</v>
      </c>
      <c r="AL562" s="14"/>
      <c r="AM562" s="14">
        <v>3.5430762467931701E-3</v>
      </c>
      <c r="AN562" s="14">
        <v>0.106622720807679</v>
      </c>
    </row>
    <row r="563" spans="2:40" x14ac:dyDescent="0.35">
      <c r="B563" t="s">
        <v>70</v>
      </c>
      <c r="C563" s="14">
        <v>0</v>
      </c>
      <c r="D563" s="14">
        <v>0</v>
      </c>
      <c r="E563" s="14">
        <v>0</v>
      </c>
      <c r="F563" s="14"/>
      <c r="G563" s="14" t="s">
        <v>76</v>
      </c>
      <c r="H563" s="14">
        <v>0</v>
      </c>
      <c r="I563" s="14" t="s">
        <v>76</v>
      </c>
      <c r="J563" s="14"/>
      <c r="K563" s="14">
        <v>0</v>
      </c>
      <c r="L563" s="14" t="s">
        <v>76</v>
      </c>
      <c r="M563" s="14" t="s">
        <v>76</v>
      </c>
      <c r="N563" s="14"/>
      <c r="O563" s="14">
        <v>0</v>
      </c>
      <c r="P563" s="14">
        <v>0</v>
      </c>
      <c r="Q563" s="14"/>
      <c r="R563" s="14">
        <v>0</v>
      </c>
      <c r="S563" s="14">
        <v>0</v>
      </c>
      <c r="T563" s="14">
        <v>0</v>
      </c>
      <c r="U563" s="14">
        <v>0</v>
      </c>
      <c r="V563" s="14">
        <v>0</v>
      </c>
      <c r="W563" s="14">
        <v>0</v>
      </c>
      <c r="X563" s="14">
        <v>0</v>
      </c>
      <c r="Y563" s="14">
        <v>0</v>
      </c>
      <c r="Z563" s="14">
        <v>0</v>
      </c>
      <c r="AA563" s="14"/>
      <c r="AB563" s="14" t="s">
        <v>76</v>
      </c>
      <c r="AC563" s="14" t="s">
        <v>76</v>
      </c>
      <c r="AD563" s="14" t="s">
        <v>76</v>
      </c>
      <c r="AE563" s="14" t="s">
        <v>76</v>
      </c>
      <c r="AF563" s="14"/>
      <c r="AG563" s="14" t="s">
        <v>76</v>
      </c>
      <c r="AH563" s="14" t="s">
        <v>76</v>
      </c>
      <c r="AI563" s="14"/>
      <c r="AJ563" s="14" t="s">
        <v>76</v>
      </c>
      <c r="AK563" s="14" t="s">
        <v>76</v>
      </c>
      <c r="AL563" s="14"/>
      <c r="AM563" s="14">
        <v>0</v>
      </c>
      <c r="AN563" s="14">
        <v>0</v>
      </c>
    </row>
    <row r="564" spans="2:40" x14ac:dyDescent="0.35">
      <c r="B564" t="s">
        <v>164</v>
      </c>
      <c r="C564" s="14">
        <v>0.85028349724413899</v>
      </c>
      <c r="D564" s="14">
        <v>0.863112204835498</v>
      </c>
      <c r="E564" s="14">
        <v>0.83664680344868703</v>
      </c>
      <c r="F564" s="14"/>
      <c r="G564" s="14" t="s">
        <v>76</v>
      </c>
      <c r="H564" s="14">
        <v>0.85028349724413899</v>
      </c>
      <c r="I564" s="14" t="s">
        <v>76</v>
      </c>
      <c r="J564" s="14"/>
      <c r="K564" s="14">
        <v>0.85028349724413899</v>
      </c>
      <c r="L564" s="14" t="s">
        <v>76</v>
      </c>
      <c r="M564" s="14" t="s">
        <v>76</v>
      </c>
      <c r="N564" s="14"/>
      <c r="O564" s="14">
        <v>0.83629352591515405</v>
      </c>
      <c r="P564" s="14">
        <v>0.93809848886761105</v>
      </c>
      <c r="Q564" s="14"/>
      <c r="R564" s="14">
        <v>0.86774628416862498</v>
      </c>
      <c r="S564" s="14">
        <v>0.79805415034850102</v>
      </c>
      <c r="T564" s="14">
        <v>0.858087692303108</v>
      </c>
      <c r="U564" s="14">
        <v>0.87465354677448404</v>
      </c>
      <c r="V564" s="14">
        <v>0.72362314807668005</v>
      </c>
      <c r="W564" s="14">
        <v>0.81806196139448195</v>
      </c>
      <c r="X564" s="14">
        <v>0.93826199509316899</v>
      </c>
      <c r="Y564" s="14">
        <v>0.95391844362796596</v>
      </c>
      <c r="Z564" s="14">
        <v>0.88426701494933302</v>
      </c>
      <c r="AA564" s="14"/>
      <c r="AB564" s="14" t="s">
        <v>76</v>
      </c>
      <c r="AC564" s="14" t="s">
        <v>76</v>
      </c>
      <c r="AD564" s="14" t="s">
        <v>76</v>
      </c>
      <c r="AE564" s="14" t="s">
        <v>76</v>
      </c>
      <c r="AF564" s="14"/>
      <c r="AG564" s="14" t="s">
        <v>76</v>
      </c>
      <c r="AH564" s="14" t="s">
        <v>76</v>
      </c>
      <c r="AI564" s="14"/>
      <c r="AJ564" s="14" t="s">
        <v>76</v>
      </c>
      <c r="AK564" s="14" t="s">
        <v>76</v>
      </c>
      <c r="AL564" s="14"/>
      <c r="AM564" s="14">
        <v>0.95941504981790104</v>
      </c>
      <c r="AN564" s="14">
        <v>0.566010857780471</v>
      </c>
    </row>
    <row r="565" spans="2:40" x14ac:dyDescent="0.35"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4"/>
      <c r="AN565" s="14"/>
    </row>
    <row r="566" spans="2:40" x14ac:dyDescent="0.35">
      <c r="B566" s="6" t="s">
        <v>206</v>
      </c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4"/>
      <c r="AN566" s="14"/>
    </row>
    <row r="567" spans="2:40" x14ac:dyDescent="0.35">
      <c r="B567" s="26" t="s">
        <v>395</v>
      </c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4"/>
      <c r="AN567" s="14"/>
    </row>
    <row r="568" spans="2:40" x14ac:dyDescent="0.35">
      <c r="B568" t="s">
        <v>166</v>
      </c>
      <c r="C568" s="14">
        <v>0.28167761369577399</v>
      </c>
      <c r="D568" s="14">
        <v>0.32924874043282898</v>
      </c>
      <c r="E568" s="14">
        <v>0.234551199411872</v>
      </c>
      <c r="F568" s="14"/>
      <c r="G568" s="14" t="s">
        <v>76</v>
      </c>
      <c r="H568" s="14">
        <v>0.28167761369577399</v>
      </c>
      <c r="I568" s="14" t="s">
        <v>76</v>
      </c>
      <c r="J568" s="14"/>
      <c r="K568" s="14">
        <v>0.28167761369577399</v>
      </c>
      <c r="L568" s="14" t="s">
        <v>76</v>
      </c>
      <c r="M568" s="14" t="s">
        <v>76</v>
      </c>
      <c r="N568" s="14"/>
      <c r="O568" s="14">
        <v>0.26241905855812098</v>
      </c>
      <c r="P568" s="14">
        <v>0.41956367398317601</v>
      </c>
      <c r="Q568" s="14"/>
      <c r="R568" s="14">
        <v>0.30643148738471498</v>
      </c>
      <c r="S568" s="14">
        <v>0.23109529847612201</v>
      </c>
      <c r="T568" s="14">
        <v>0.31564354515911303</v>
      </c>
      <c r="U568" s="14">
        <v>0.19518507879463201</v>
      </c>
      <c r="V568" s="14">
        <v>0.26135591008479198</v>
      </c>
      <c r="W568" s="14">
        <v>0.38862257873747003</v>
      </c>
      <c r="X568" s="14">
        <v>0.38763600297321099</v>
      </c>
      <c r="Y568" s="14">
        <v>0.22620376580366799</v>
      </c>
      <c r="Z568" s="14">
        <v>0.223082628131823</v>
      </c>
      <c r="AA568" s="14"/>
      <c r="AB568" s="14" t="s">
        <v>76</v>
      </c>
      <c r="AC568" s="14" t="s">
        <v>76</v>
      </c>
      <c r="AD568" s="14" t="s">
        <v>76</v>
      </c>
      <c r="AE568" s="14" t="s">
        <v>76</v>
      </c>
      <c r="AF568" s="14"/>
      <c r="AG568" s="14" t="s">
        <v>76</v>
      </c>
      <c r="AH568" s="14" t="s">
        <v>76</v>
      </c>
      <c r="AI568" s="14"/>
      <c r="AJ568" s="14" t="s">
        <v>76</v>
      </c>
      <c r="AK568" s="14" t="s">
        <v>76</v>
      </c>
      <c r="AL568" s="14"/>
      <c r="AM568" s="14">
        <v>0.41892874479192299</v>
      </c>
      <c r="AN568" s="14">
        <v>1.02148278611617E-2</v>
      </c>
    </row>
    <row r="569" spans="2:40" x14ac:dyDescent="0.35">
      <c r="B569" t="s">
        <v>167</v>
      </c>
      <c r="C569" s="14">
        <v>0.38957783431628501</v>
      </c>
      <c r="D569" s="14">
        <v>0.39151831217817401</v>
      </c>
      <c r="E569" s="14">
        <v>0.38509839537949297</v>
      </c>
      <c r="F569" s="14"/>
      <c r="G569" s="14" t="s">
        <v>76</v>
      </c>
      <c r="H569" s="14">
        <v>0.38957783431628501</v>
      </c>
      <c r="I569" s="14" t="s">
        <v>76</v>
      </c>
      <c r="J569" s="14"/>
      <c r="K569" s="14">
        <v>0.38957783431628501</v>
      </c>
      <c r="L569" s="14" t="s">
        <v>76</v>
      </c>
      <c r="M569" s="14" t="s">
        <v>76</v>
      </c>
      <c r="N569" s="14"/>
      <c r="O569" s="14">
        <v>0.38185672847010699</v>
      </c>
      <c r="P569" s="14">
        <v>0.45216011604852202</v>
      </c>
      <c r="Q569" s="14"/>
      <c r="R569" s="14">
        <v>0.49525539625644099</v>
      </c>
      <c r="S569" s="14">
        <v>0.38731671583259403</v>
      </c>
      <c r="T569" s="14">
        <v>0.36383020296637902</v>
      </c>
      <c r="U569" s="14">
        <v>0.37711394642443702</v>
      </c>
      <c r="V569" s="14">
        <v>0.345637337104717</v>
      </c>
      <c r="W569" s="14">
        <v>0.31793985518103401</v>
      </c>
      <c r="X569" s="14">
        <v>0.36786122423446299</v>
      </c>
      <c r="Y569" s="14">
        <v>0.401225184646888</v>
      </c>
      <c r="Z569" s="14">
        <v>0.411758768806048</v>
      </c>
      <c r="AA569" s="14"/>
      <c r="AB569" s="14" t="s">
        <v>76</v>
      </c>
      <c r="AC569" s="14" t="s">
        <v>76</v>
      </c>
      <c r="AD569" s="14" t="s">
        <v>76</v>
      </c>
      <c r="AE569" s="14" t="s">
        <v>76</v>
      </c>
      <c r="AF569" s="14"/>
      <c r="AG569" s="14" t="s">
        <v>76</v>
      </c>
      <c r="AH569" s="14" t="s">
        <v>76</v>
      </c>
      <c r="AI569" s="14"/>
      <c r="AJ569" s="14" t="s">
        <v>76</v>
      </c>
      <c r="AK569" s="14" t="s">
        <v>76</v>
      </c>
      <c r="AL569" s="14"/>
      <c r="AM569" s="14">
        <v>0.46215476941379102</v>
      </c>
      <c r="AN569" s="14">
        <v>0.177572778767803</v>
      </c>
    </row>
    <row r="570" spans="2:40" x14ac:dyDescent="0.35">
      <c r="B570" t="s">
        <v>168</v>
      </c>
      <c r="C570" s="14">
        <v>0.22450051218970801</v>
      </c>
      <c r="D570" s="14">
        <v>0.21090835969813401</v>
      </c>
      <c r="E570" s="14">
        <v>0.23921958841444399</v>
      </c>
      <c r="F570" s="14"/>
      <c r="G570" s="14" t="s">
        <v>76</v>
      </c>
      <c r="H570" s="14">
        <v>0.22450051218970801</v>
      </c>
      <c r="I570" s="14" t="s">
        <v>76</v>
      </c>
      <c r="J570" s="14"/>
      <c r="K570" s="14">
        <v>0.22450051218970801</v>
      </c>
      <c r="L570" s="14" t="s">
        <v>76</v>
      </c>
      <c r="M570" s="14" t="s">
        <v>76</v>
      </c>
      <c r="N570" s="14"/>
      <c r="O570" s="14">
        <v>0.241474581244567</v>
      </c>
      <c r="P570" s="14">
        <v>8.7457453012975694E-2</v>
      </c>
      <c r="Q570" s="14"/>
      <c r="R570" s="14">
        <v>0.14666529380278501</v>
      </c>
      <c r="S570" s="14">
        <v>0.221572234676635</v>
      </c>
      <c r="T570" s="14">
        <v>0.25831777231814002</v>
      </c>
      <c r="U570" s="14">
        <v>0.30345527559950702</v>
      </c>
      <c r="V570" s="14">
        <v>0.23122268744246999</v>
      </c>
      <c r="W570" s="14">
        <v>0.19922521263923301</v>
      </c>
      <c r="X570" s="14">
        <v>0.182764769195393</v>
      </c>
      <c r="Y570" s="14">
        <v>0.27983021453754597</v>
      </c>
      <c r="Z570" s="14">
        <v>0.24745485583915899</v>
      </c>
      <c r="AA570" s="14"/>
      <c r="AB570" s="14" t="s">
        <v>76</v>
      </c>
      <c r="AC570" s="14" t="s">
        <v>76</v>
      </c>
      <c r="AD570" s="14" t="s">
        <v>76</v>
      </c>
      <c r="AE570" s="14" t="s">
        <v>76</v>
      </c>
      <c r="AF570" s="14"/>
      <c r="AG570" s="14" t="s">
        <v>76</v>
      </c>
      <c r="AH570" s="14" t="s">
        <v>76</v>
      </c>
      <c r="AI570" s="14"/>
      <c r="AJ570" s="14" t="s">
        <v>76</v>
      </c>
      <c r="AK570" s="14" t="s">
        <v>76</v>
      </c>
      <c r="AL570" s="14"/>
      <c r="AM570" s="14">
        <v>0.104395462563175</v>
      </c>
      <c r="AN570" s="14">
        <v>0.42110936211521699</v>
      </c>
    </row>
    <row r="571" spans="2:40" x14ac:dyDescent="0.35">
      <c r="B571" t="s">
        <v>169</v>
      </c>
      <c r="C571" s="14">
        <v>0.102072230481927</v>
      </c>
      <c r="D571" s="14">
        <v>6.8324587690863803E-2</v>
      </c>
      <c r="E571" s="14">
        <v>0.13674569636348199</v>
      </c>
      <c r="F571" s="14"/>
      <c r="G571" s="14" t="s">
        <v>76</v>
      </c>
      <c r="H571" s="14">
        <v>0.102072230481927</v>
      </c>
      <c r="I571" s="14" t="s">
        <v>76</v>
      </c>
      <c r="J571" s="14"/>
      <c r="K571" s="14">
        <v>0.102072230481927</v>
      </c>
      <c r="L571" s="14" t="s">
        <v>76</v>
      </c>
      <c r="M571" s="14" t="s">
        <v>76</v>
      </c>
      <c r="N571" s="14"/>
      <c r="O571" s="14">
        <v>0.11424963172720499</v>
      </c>
      <c r="P571" s="14">
        <v>1.94503445957772E-2</v>
      </c>
      <c r="Q571" s="14"/>
      <c r="R571" s="14">
        <v>5.1647822556058397E-2</v>
      </c>
      <c r="S571" s="14">
        <v>0.16001575101464799</v>
      </c>
      <c r="T571" s="14">
        <v>6.2208479556367602E-2</v>
      </c>
      <c r="U571" s="14">
        <v>0.124245699181424</v>
      </c>
      <c r="V571" s="14">
        <v>0.16178406536802101</v>
      </c>
      <c r="W571" s="14">
        <v>9.42123534422631E-2</v>
      </c>
      <c r="X571" s="14">
        <v>6.1738003596933801E-2</v>
      </c>
      <c r="Y571" s="14">
        <v>4.6081556372034503E-2</v>
      </c>
      <c r="Z571" s="14">
        <v>0.11770374722297</v>
      </c>
      <c r="AA571" s="14"/>
      <c r="AB571" s="14" t="s">
        <v>76</v>
      </c>
      <c r="AC571" s="14" t="s">
        <v>76</v>
      </c>
      <c r="AD571" s="14" t="s">
        <v>76</v>
      </c>
      <c r="AE571" s="14" t="s">
        <v>76</v>
      </c>
      <c r="AF571" s="14"/>
      <c r="AG571" s="14" t="s">
        <v>76</v>
      </c>
      <c r="AH571" s="14" t="s">
        <v>76</v>
      </c>
      <c r="AI571" s="14"/>
      <c r="AJ571" s="14" t="s">
        <v>76</v>
      </c>
      <c r="AK571" s="14" t="s">
        <v>76</v>
      </c>
      <c r="AL571" s="14"/>
      <c r="AM571" s="14">
        <v>1.45210232311106E-2</v>
      </c>
      <c r="AN571" s="14">
        <v>0.38059486551899202</v>
      </c>
    </row>
    <row r="572" spans="2:40" x14ac:dyDescent="0.35">
      <c r="B572" t="s">
        <v>70</v>
      </c>
      <c r="C572" s="14">
        <v>2.17180931630561E-3</v>
      </c>
      <c r="D572" s="14">
        <v>0</v>
      </c>
      <c r="E572" s="14">
        <v>4.3851204307078099E-3</v>
      </c>
      <c r="F572" s="14"/>
      <c r="G572" s="14" t="s">
        <v>76</v>
      </c>
      <c r="H572" s="14">
        <v>2.17180931630561E-3</v>
      </c>
      <c r="I572" s="14" t="s">
        <v>76</v>
      </c>
      <c r="J572" s="14"/>
      <c r="K572" s="14">
        <v>2.17180931630561E-3</v>
      </c>
      <c r="L572" s="14" t="s">
        <v>76</v>
      </c>
      <c r="M572" s="14" t="s">
        <v>76</v>
      </c>
      <c r="N572" s="14"/>
      <c r="O572" s="14">
        <v>0</v>
      </c>
      <c r="P572" s="14">
        <v>2.1368412359549199E-2</v>
      </c>
      <c r="Q572" s="14"/>
      <c r="R572" s="14">
        <v>0</v>
      </c>
      <c r="S572" s="14">
        <v>0</v>
      </c>
      <c r="T572" s="14">
        <v>0</v>
      </c>
      <c r="U572" s="14">
        <v>0</v>
      </c>
      <c r="V572" s="14">
        <v>0</v>
      </c>
      <c r="W572" s="14">
        <v>0</v>
      </c>
      <c r="X572" s="14">
        <v>0</v>
      </c>
      <c r="Y572" s="14">
        <v>4.6659278639864001E-2</v>
      </c>
      <c r="Z572" s="14">
        <v>0</v>
      </c>
      <c r="AA572" s="14"/>
      <c r="AB572" s="14" t="s">
        <v>76</v>
      </c>
      <c r="AC572" s="14" t="s">
        <v>76</v>
      </c>
      <c r="AD572" s="14" t="s">
        <v>76</v>
      </c>
      <c r="AE572" s="14" t="s">
        <v>76</v>
      </c>
      <c r="AF572" s="14"/>
      <c r="AG572" s="14" t="s">
        <v>76</v>
      </c>
      <c r="AH572" s="14" t="s">
        <v>76</v>
      </c>
      <c r="AI572" s="14"/>
      <c r="AJ572" s="14" t="s">
        <v>76</v>
      </c>
      <c r="AK572" s="14" t="s">
        <v>76</v>
      </c>
      <c r="AL572" s="14"/>
      <c r="AM572" s="14">
        <v>0</v>
      </c>
      <c r="AN572" s="14">
        <v>1.05081657368258E-2</v>
      </c>
    </row>
    <row r="573" spans="2:40" x14ac:dyDescent="0.35"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4"/>
      <c r="AN573" s="14"/>
    </row>
    <row r="574" spans="2:40" x14ac:dyDescent="0.35">
      <c r="B574" s="6" t="s">
        <v>207</v>
      </c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4"/>
      <c r="AN574" s="14"/>
    </row>
    <row r="575" spans="2:40" x14ac:dyDescent="0.35">
      <c r="B575" s="26" t="s">
        <v>209</v>
      </c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4"/>
      <c r="AN575" s="14"/>
    </row>
    <row r="576" spans="2:40" x14ac:dyDescent="0.35">
      <c r="B576" t="s">
        <v>44</v>
      </c>
      <c r="C576" s="14">
        <v>0.82808167498929197</v>
      </c>
      <c r="D576" s="14">
        <v>0.84416934381594</v>
      </c>
      <c r="E576" s="14">
        <v>0.818517638998708</v>
      </c>
      <c r="F576" s="14"/>
      <c r="G576" s="14" t="s">
        <v>76</v>
      </c>
      <c r="H576" s="14">
        <v>0.82808167498929197</v>
      </c>
      <c r="I576" s="14" t="s">
        <v>76</v>
      </c>
      <c r="J576" s="14"/>
      <c r="K576" s="14">
        <v>0.82808167498929197</v>
      </c>
      <c r="L576" s="14" t="s">
        <v>76</v>
      </c>
      <c r="M576" s="14" t="s">
        <v>76</v>
      </c>
      <c r="N576" s="14"/>
      <c r="O576" s="14">
        <v>0.82869150971963501</v>
      </c>
      <c r="P576" s="14">
        <v>0.82293546429567299</v>
      </c>
      <c r="Q576" s="14"/>
      <c r="R576" s="14">
        <v>0.80211346209759005</v>
      </c>
      <c r="S576" s="14">
        <v>0.92030763379105496</v>
      </c>
      <c r="T576" s="14">
        <v>0.70968311073568202</v>
      </c>
      <c r="U576" s="14">
        <v>0.92037858547400098</v>
      </c>
      <c r="V576" s="14">
        <v>0.73186911701872903</v>
      </c>
      <c r="W576" s="14">
        <v>0.82375453664069098</v>
      </c>
      <c r="X576" s="14">
        <v>0.847914256223531</v>
      </c>
      <c r="Y576" s="14">
        <v>0.73235220137747803</v>
      </c>
      <c r="Z576" s="14">
        <v>0.84882910112434895</v>
      </c>
      <c r="AA576" s="14"/>
      <c r="AB576" s="14" t="s">
        <v>76</v>
      </c>
      <c r="AC576" s="14" t="s">
        <v>76</v>
      </c>
      <c r="AD576" s="14" t="s">
        <v>76</v>
      </c>
      <c r="AE576" s="14" t="s">
        <v>76</v>
      </c>
      <c r="AF576" s="14"/>
      <c r="AG576" s="14" t="s">
        <v>76</v>
      </c>
      <c r="AH576" s="14" t="s">
        <v>76</v>
      </c>
      <c r="AI576" s="14"/>
      <c r="AJ576" s="14" t="s">
        <v>76</v>
      </c>
      <c r="AK576" s="14" t="s">
        <v>76</v>
      </c>
      <c r="AL576" s="14"/>
      <c r="AM576" s="14">
        <v>0.85489452191688098</v>
      </c>
      <c r="AN576" s="14">
        <v>0.78090940702219003</v>
      </c>
    </row>
    <row r="577" spans="2:40" x14ac:dyDescent="0.35">
      <c r="B577" t="s">
        <v>45</v>
      </c>
      <c r="C577" s="14">
        <v>0.13858534819623999</v>
      </c>
      <c r="D577" s="14">
        <v>0.13256925623074101</v>
      </c>
      <c r="E577" s="14">
        <v>0.13696727553518601</v>
      </c>
      <c r="F577" s="14"/>
      <c r="G577" s="14" t="s">
        <v>76</v>
      </c>
      <c r="H577" s="14">
        <v>0.13858534819623999</v>
      </c>
      <c r="I577" s="14" t="s">
        <v>76</v>
      </c>
      <c r="J577" s="14"/>
      <c r="K577" s="14">
        <v>0.13858534819623999</v>
      </c>
      <c r="L577" s="14" t="s">
        <v>76</v>
      </c>
      <c r="M577" s="14" t="s">
        <v>76</v>
      </c>
      <c r="N577" s="14"/>
      <c r="O577" s="14">
        <v>0.13957761081921699</v>
      </c>
      <c r="P577" s="14">
        <v>0.140898027162008</v>
      </c>
      <c r="Q577" s="14"/>
      <c r="R577" s="14">
        <v>0.149886770808565</v>
      </c>
      <c r="S577" s="14">
        <v>4.7588244126032901E-2</v>
      </c>
      <c r="T577" s="14">
        <v>0.25676323588851702</v>
      </c>
      <c r="U577" s="14">
        <v>7.9621414525998802E-2</v>
      </c>
      <c r="V577" s="14">
        <v>0.17981352738068099</v>
      </c>
      <c r="W577" s="14">
        <v>0.14584992624566101</v>
      </c>
      <c r="X577" s="14">
        <v>0.127627056426135</v>
      </c>
      <c r="Y577" s="14">
        <v>0.22349529562234999</v>
      </c>
      <c r="Z577" s="14">
        <v>0.13712809326599701</v>
      </c>
      <c r="AA577" s="14"/>
      <c r="AB577" s="14" t="s">
        <v>76</v>
      </c>
      <c r="AC577" s="14" t="s">
        <v>76</v>
      </c>
      <c r="AD577" s="14" t="s">
        <v>76</v>
      </c>
      <c r="AE577" s="14" t="s">
        <v>76</v>
      </c>
      <c r="AF577" s="14"/>
      <c r="AG577" s="14" t="s">
        <v>76</v>
      </c>
      <c r="AH577" s="14" t="s">
        <v>76</v>
      </c>
      <c r="AI577" s="14"/>
      <c r="AJ577" s="14" t="s">
        <v>76</v>
      </c>
      <c r="AK577" s="14" t="s">
        <v>76</v>
      </c>
      <c r="AL577" s="14"/>
      <c r="AM577" s="14">
        <v>0.12609458143538299</v>
      </c>
      <c r="AN577" s="14">
        <v>0.14740869386142499</v>
      </c>
    </row>
    <row r="578" spans="2:40" x14ac:dyDescent="0.35">
      <c r="B578" t="s">
        <v>70</v>
      </c>
      <c r="C578" s="14">
        <v>3.3332976814467098E-2</v>
      </c>
      <c r="D578" s="14">
        <v>2.3261399953319599E-2</v>
      </c>
      <c r="E578" s="14">
        <v>4.4515085466106101E-2</v>
      </c>
      <c r="F578" s="14"/>
      <c r="G578" s="14" t="s">
        <v>76</v>
      </c>
      <c r="H578" s="14">
        <v>3.3332976814467098E-2</v>
      </c>
      <c r="I578" s="14" t="s">
        <v>76</v>
      </c>
      <c r="J578" s="14"/>
      <c r="K578" s="14">
        <v>3.3332976814467098E-2</v>
      </c>
      <c r="L578" s="14" t="s">
        <v>76</v>
      </c>
      <c r="M578" s="14" t="s">
        <v>76</v>
      </c>
      <c r="N578" s="14"/>
      <c r="O578" s="14">
        <v>3.1730879461147402E-2</v>
      </c>
      <c r="P578" s="14">
        <v>3.61665085423181E-2</v>
      </c>
      <c r="Q578" s="14"/>
      <c r="R578" s="14">
        <v>4.7999767093844299E-2</v>
      </c>
      <c r="S578" s="14">
        <v>3.2104122082911697E-2</v>
      </c>
      <c r="T578" s="14">
        <v>3.3553653375801101E-2</v>
      </c>
      <c r="U578" s="14">
        <v>0</v>
      </c>
      <c r="V578" s="14">
        <v>8.8317355600590397E-2</v>
      </c>
      <c r="W578" s="14">
        <v>3.03955371136479E-2</v>
      </c>
      <c r="X578" s="14">
        <v>2.4458687350334699E-2</v>
      </c>
      <c r="Y578" s="14">
        <v>4.41525030001719E-2</v>
      </c>
      <c r="Z578" s="14">
        <v>1.40428056096539E-2</v>
      </c>
      <c r="AA578" s="14"/>
      <c r="AB578" s="14" t="s">
        <v>76</v>
      </c>
      <c r="AC578" s="14" t="s">
        <v>76</v>
      </c>
      <c r="AD578" s="14" t="s">
        <v>76</v>
      </c>
      <c r="AE578" s="14" t="s">
        <v>76</v>
      </c>
      <c r="AF578" s="14"/>
      <c r="AG578" s="14" t="s">
        <v>76</v>
      </c>
      <c r="AH578" s="14" t="s">
        <v>76</v>
      </c>
      <c r="AI578" s="14"/>
      <c r="AJ578" s="14" t="s">
        <v>76</v>
      </c>
      <c r="AK578" s="14" t="s">
        <v>76</v>
      </c>
      <c r="AL578" s="14"/>
      <c r="AM578" s="14">
        <v>1.9010896647736399E-2</v>
      </c>
      <c r="AN578" s="14">
        <v>7.1681899116385395E-2</v>
      </c>
    </row>
    <row r="579" spans="2:40" x14ac:dyDescent="0.35"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4"/>
      <c r="AN579" s="14"/>
    </row>
    <row r="580" spans="2:40" x14ac:dyDescent="0.35">
      <c r="B580" s="6" t="s">
        <v>208</v>
      </c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/>
    </row>
    <row r="581" spans="2:40" x14ac:dyDescent="0.35">
      <c r="B581" s="26" t="s">
        <v>395</v>
      </c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4"/>
      <c r="AN581" s="14"/>
    </row>
    <row r="582" spans="2:40" x14ac:dyDescent="0.35">
      <c r="B582" t="s">
        <v>155</v>
      </c>
      <c r="C582" s="14">
        <v>0.26166893719927298</v>
      </c>
      <c r="D582" s="14">
        <v>0.24109209082725799</v>
      </c>
      <c r="E582" s="14">
        <v>0.28456938006868199</v>
      </c>
      <c r="F582" s="14"/>
      <c r="G582" s="14" t="s">
        <v>76</v>
      </c>
      <c r="H582" s="14">
        <v>0.26166893719927298</v>
      </c>
      <c r="I582" s="14" t="s">
        <v>76</v>
      </c>
      <c r="J582" s="14"/>
      <c r="K582" s="14">
        <v>0.26166893719927298</v>
      </c>
      <c r="L582" s="14" t="s">
        <v>76</v>
      </c>
      <c r="M582" s="14" t="s">
        <v>76</v>
      </c>
      <c r="N582" s="14"/>
      <c r="O582" s="14">
        <v>0.24627869491023999</v>
      </c>
      <c r="P582" s="14">
        <v>0.38288698427338302</v>
      </c>
      <c r="Q582" s="14"/>
      <c r="R582" s="14">
        <v>0.383408322034133</v>
      </c>
      <c r="S582" s="14">
        <v>0.229347233050364</v>
      </c>
      <c r="T582" s="14">
        <v>0.140977368188625</v>
      </c>
      <c r="U582" s="14">
        <v>0.27789910700049603</v>
      </c>
      <c r="V582" s="14">
        <v>0.175085762247875</v>
      </c>
      <c r="W582" s="14">
        <v>0.29194900862184697</v>
      </c>
      <c r="X582" s="14">
        <v>0.21215386494180699</v>
      </c>
      <c r="Y582" s="14">
        <v>0.29590375617269998</v>
      </c>
      <c r="Z582" s="14">
        <v>0.32370011427668099</v>
      </c>
      <c r="AA582" s="14"/>
      <c r="AB582" s="14" t="s">
        <v>76</v>
      </c>
      <c r="AC582" s="14" t="s">
        <v>76</v>
      </c>
      <c r="AD582" s="14" t="s">
        <v>76</v>
      </c>
      <c r="AE582" s="14" t="s">
        <v>76</v>
      </c>
      <c r="AF582" s="14"/>
      <c r="AG582" s="14" t="s">
        <v>76</v>
      </c>
      <c r="AH582" s="14" t="s">
        <v>76</v>
      </c>
      <c r="AI582" s="14"/>
      <c r="AJ582" s="14" t="s">
        <v>76</v>
      </c>
      <c r="AK582" s="14" t="s">
        <v>76</v>
      </c>
      <c r="AL582" s="14"/>
      <c r="AM582" s="14">
        <v>0.29509515790033303</v>
      </c>
      <c r="AN582" s="14">
        <v>0.24457911906945601</v>
      </c>
    </row>
    <row r="583" spans="2:40" x14ac:dyDescent="0.35">
      <c r="B583" t="s">
        <v>156</v>
      </c>
      <c r="C583" s="14">
        <v>0.52833108539520601</v>
      </c>
      <c r="D583" s="14">
        <v>0.54269281612923603</v>
      </c>
      <c r="E583" s="14">
        <v>0.51234758684375703</v>
      </c>
      <c r="F583" s="14"/>
      <c r="G583" s="14" t="s">
        <v>76</v>
      </c>
      <c r="H583" s="14">
        <v>0.52833108539520601</v>
      </c>
      <c r="I583" s="14" t="s">
        <v>76</v>
      </c>
      <c r="J583" s="14"/>
      <c r="K583" s="14">
        <v>0.52833108539520601</v>
      </c>
      <c r="L583" s="14" t="s">
        <v>76</v>
      </c>
      <c r="M583" s="14" t="s">
        <v>76</v>
      </c>
      <c r="N583" s="14"/>
      <c r="O583" s="14">
        <v>0.53273269810940904</v>
      </c>
      <c r="P583" s="14">
        <v>0.52081084830486202</v>
      </c>
      <c r="Q583" s="14"/>
      <c r="R583" s="14">
        <v>0.48546766588020901</v>
      </c>
      <c r="S583" s="14">
        <v>0.55500788604780205</v>
      </c>
      <c r="T583" s="14">
        <v>0.682889841168831</v>
      </c>
      <c r="U583" s="14">
        <v>0.406310662116598</v>
      </c>
      <c r="V583" s="14">
        <v>0.49866604519692498</v>
      </c>
      <c r="W583" s="14">
        <v>0.52153958150917001</v>
      </c>
      <c r="X583" s="14">
        <v>0.66005052397582797</v>
      </c>
      <c r="Y583" s="14">
        <v>0.46919772068526899</v>
      </c>
      <c r="Z583" s="14">
        <v>0.45941141112853801</v>
      </c>
      <c r="AA583" s="14"/>
      <c r="AB583" s="14" t="s">
        <v>76</v>
      </c>
      <c r="AC583" s="14" t="s">
        <v>76</v>
      </c>
      <c r="AD583" s="14" t="s">
        <v>76</v>
      </c>
      <c r="AE583" s="14" t="s">
        <v>76</v>
      </c>
      <c r="AF583" s="14"/>
      <c r="AG583" s="14" t="s">
        <v>76</v>
      </c>
      <c r="AH583" s="14" t="s">
        <v>76</v>
      </c>
      <c r="AI583" s="14"/>
      <c r="AJ583" s="14" t="s">
        <v>76</v>
      </c>
      <c r="AK583" s="14" t="s">
        <v>76</v>
      </c>
      <c r="AL583" s="14"/>
      <c r="AM583" s="14">
        <v>0.50363745064432697</v>
      </c>
      <c r="AN583" s="14">
        <v>0.51264489238118904</v>
      </c>
    </row>
    <row r="584" spans="2:40" x14ac:dyDescent="0.35">
      <c r="B584" t="s">
        <v>157</v>
      </c>
      <c r="C584" s="14">
        <v>0.149362340447491</v>
      </c>
      <c r="D584" s="14">
        <v>0.15739227556871199</v>
      </c>
      <c r="E584" s="14">
        <v>0.14042564202617</v>
      </c>
      <c r="F584" s="14"/>
      <c r="G584" s="14" t="s">
        <v>76</v>
      </c>
      <c r="H584" s="14">
        <v>0.149362340447491</v>
      </c>
      <c r="I584" s="14" t="s">
        <v>76</v>
      </c>
      <c r="J584" s="14"/>
      <c r="K584" s="14">
        <v>0.149362340447491</v>
      </c>
      <c r="L584" s="14" t="s">
        <v>76</v>
      </c>
      <c r="M584" s="14" t="s">
        <v>76</v>
      </c>
      <c r="N584" s="14"/>
      <c r="O584" s="14">
        <v>0.154724734474673</v>
      </c>
      <c r="P584" s="14">
        <v>9.6302167421755305E-2</v>
      </c>
      <c r="Q584" s="14"/>
      <c r="R584" s="14">
        <v>0.109541404487531</v>
      </c>
      <c r="S584" s="14">
        <v>0.16809119166009701</v>
      </c>
      <c r="T584" s="14">
        <v>0.1511846705554</v>
      </c>
      <c r="U584" s="14">
        <v>0.15711616306625001</v>
      </c>
      <c r="V584" s="14">
        <v>0.26738238265589098</v>
      </c>
      <c r="W584" s="14">
        <v>0.14659193612239399</v>
      </c>
      <c r="X584" s="14">
        <v>3.4292389278142897E-2</v>
      </c>
      <c r="Y584" s="14">
        <v>0.17460990734274001</v>
      </c>
      <c r="Z584" s="14">
        <v>0.184659343310146</v>
      </c>
      <c r="AA584" s="14"/>
      <c r="AB584" s="14" t="s">
        <v>76</v>
      </c>
      <c r="AC584" s="14" t="s">
        <v>76</v>
      </c>
      <c r="AD584" s="14" t="s">
        <v>76</v>
      </c>
      <c r="AE584" s="14" t="s">
        <v>76</v>
      </c>
      <c r="AF584" s="14"/>
      <c r="AG584" s="14" t="s">
        <v>76</v>
      </c>
      <c r="AH584" s="14" t="s">
        <v>76</v>
      </c>
      <c r="AI584" s="14"/>
      <c r="AJ584" s="14" t="s">
        <v>76</v>
      </c>
      <c r="AK584" s="14" t="s">
        <v>76</v>
      </c>
      <c r="AL584" s="14"/>
      <c r="AM584" s="14">
        <v>0.15776561791454999</v>
      </c>
      <c r="AN584" s="14">
        <v>0.13850547620793799</v>
      </c>
    </row>
    <row r="585" spans="2:40" x14ac:dyDescent="0.35">
      <c r="B585" t="s">
        <v>158</v>
      </c>
      <c r="C585" s="14">
        <v>5.3005136148388102E-2</v>
      </c>
      <c r="D585" s="14">
        <v>4.43322485705799E-2</v>
      </c>
      <c r="E585" s="14">
        <v>6.2657391061391399E-2</v>
      </c>
      <c r="F585" s="14"/>
      <c r="G585" s="14" t="s">
        <v>76</v>
      </c>
      <c r="H585" s="14">
        <v>5.3005136148388102E-2</v>
      </c>
      <c r="I585" s="14" t="s">
        <v>76</v>
      </c>
      <c r="J585" s="14"/>
      <c r="K585" s="14">
        <v>5.3005136148388102E-2</v>
      </c>
      <c r="L585" s="14" t="s">
        <v>76</v>
      </c>
      <c r="M585" s="14" t="s">
        <v>76</v>
      </c>
      <c r="N585" s="14"/>
      <c r="O585" s="14">
        <v>5.7539946246677E-2</v>
      </c>
      <c r="P585" s="14">
        <v>0</v>
      </c>
      <c r="Q585" s="14"/>
      <c r="R585" s="14">
        <v>2.1582607598127201E-2</v>
      </c>
      <c r="S585" s="14">
        <v>4.75536892417373E-2</v>
      </c>
      <c r="T585" s="14">
        <v>2.4948120087144299E-2</v>
      </c>
      <c r="U585" s="14">
        <v>0.139615741398121</v>
      </c>
      <c r="V585" s="14">
        <v>5.8865809899309202E-2</v>
      </c>
      <c r="W585" s="14">
        <v>3.9919473746589003E-2</v>
      </c>
      <c r="X585" s="14">
        <v>6.5014671407328806E-2</v>
      </c>
      <c r="Y585" s="14">
        <v>6.02886157992907E-2</v>
      </c>
      <c r="Z585" s="14">
        <v>1.6543737238806901E-2</v>
      </c>
      <c r="AA585" s="14"/>
      <c r="AB585" s="14" t="s">
        <v>76</v>
      </c>
      <c r="AC585" s="14" t="s">
        <v>76</v>
      </c>
      <c r="AD585" s="14" t="s">
        <v>76</v>
      </c>
      <c r="AE585" s="14" t="s">
        <v>76</v>
      </c>
      <c r="AF585" s="14"/>
      <c r="AG585" s="14" t="s">
        <v>76</v>
      </c>
      <c r="AH585" s="14" t="s">
        <v>76</v>
      </c>
      <c r="AI585" s="14"/>
      <c r="AJ585" s="14" t="s">
        <v>76</v>
      </c>
      <c r="AK585" s="14" t="s">
        <v>76</v>
      </c>
      <c r="AL585" s="14"/>
      <c r="AM585" s="14">
        <v>4.3501773540789601E-2</v>
      </c>
      <c r="AN585" s="14">
        <v>8.26293989451755E-2</v>
      </c>
    </row>
    <row r="586" spans="2:40" x14ac:dyDescent="0.35">
      <c r="B586" t="s">
        <v>70</v>
      </c>
      <c r="C586" s="14">
        <v>7.6325008096412997E-3</v>
      </c>
      <c r="D586" s="14">
        <v>1.44905689042139E-2</v>
      </c>
      <c r="E586" s="14">
        <v>0</v>
      </c>
      <c r="F586" s="14"/>
      <c r="G586" s="14" t="s">
        <v>76</v>
      </c>
      <c r="H586" s="14">
        <v>7.6325008096412997E-3</v>
      </c>
      <c r="I586" s="14" t="s">
        <v>76</v>
      </c>
      <c r="J586" s="14"/>
      <c r="K586" s="14">
        <v>7.6325008096412997E-3</v>
      </c>
      <c r="L586" s="14" t="s">
        <v>76</v>
      </c>
      <c r="M586" s="14" t="s">
        <v>76</v>
      </c>
      <c r="N586" s="14"/>
      <c r="O586" s="14">
        <v>8.7239262590006108E-3</v>
      </c>
      <c r="P586" s="14">
        <v>0</v>
      </c>
      <c r="Q586" s="14"/>
      <c r="R586" s="14">
        <v>0</v>
      </c>
      <c r="S586" s="14">
        <v>0</v>
      </c>
      <c r="T586" s="14">
        <v>0</v>
      </c>
      <c r="U586" s="14">
        <v>1.9058326418534999E-2</v>
      </c>
      <c r="V586" s="14">
        <v>0</v>
      </c>
      <c r="W586" s="14">
        <v>0</v>
      </c>
      <c r="X586" s="14">
        <v>2.84885503968938E-2</v>
      </c>
      <c r="Y586" s="14">
        <v>0</v>
      </c>
      <c r="Z586" s="14">
        <v>1.56853940458275E-2</v>
      </c>
      <c r="AA586" s="14"/>
      <c r="AB586" s="14" t="s">
        <v>76</v>
      </c>
      <c r="AC586" s="14" t="s">
        <v>76</v>
      </c>
      <c r="AD586" s="14" t="s">
        <v>76</v>
      </c>
      <c r="AE586" s="14" t="s">
        <v>76</v>
      </c>
      <c r="AF586" s="14"/>
      <c r="AG586" s="14" t="s">
        <v>76</v>
      </c>
      <c r="AH586" s="14" t="s">
        <v>76</v>
      </c>
      <c r="AI586" s="14"/>
      <c r="AJ586" s="14" t="s">
        <v>76</v>
      </c>
      <c r="AK586" s="14" t="s">
        <v>76</v>
      </c>
      <c r="AL586" s="14"/>
      <c r="AM586" s="14">
        <v>0</v>
      </c>
      <c r="AN586" s="14">
        <v>2.1641113396241401E-2</v>
      </c>
    </row>
    <row r="587" spans="2:40" x14ac:dyDescent="0.35"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4"/>
      <c r="AN587" s="14"/>
    </row>
    <row r="588" spans="2:40" x14ac:dyDescent="0.35">
      <c r="B588" s="6" t="s">
        <v>210</v>
      </c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4"/>
      <c r="AN588" s="14"/>
    </row>
    <row r="589" spans="2:40" x14ac:dyDescent="0.35">
      <c r="B589" s="26" t="s">
        <v>395</v>
      </c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4"/>
      <c r="AN589" s="14"/>
    </row>
    <row r="590" spans="2:40" x14ac:dyDescent="0.35">
      <c r="B590" t="s">
        <v>160</v>
      </c>
      <c r="C590" s="14">
        <v>0.18163796668109999</v>
      </c>
      <c r="D590" s="14">
        <v>0.19906463632548899</v>
      </c>
      <c r="E590" s="14">
        <v>0.16224342752868101</v>
      </c>
      <c r="F590" s="14"/>
      <c r="G590" s="14" t="s">
        <v>76</v>
      </c>
      <c r="H590" s="14">
        <v>0.18163796668109999</v>
      </c>
      <c r="I590" s="14" t="s">
        <v>76</v>
      </c>
      <c r="J590" s="14"/>
      <c r="K590" s="14">
        <v>0.18163796668109999</v>
      </c>
      <c r="L590" s="14" t="s">
        <v>76</v>
      </c>
      <c r="M590" s="14" t="s">
        <v>76</v>
      </c>
      <c r="N590" s="14"/>
      <c r="O590" s="14">
        <v>0.163502412362072</v>
      </c>
      <c r="P590" s="14">
        <v>0.33007988987421399</v>
      </c>
      <c r="Q590" s="14"/>
      <c r="R590" s="14">
        <v>0.22488671506148</v>
      </c>
      <c r="S590" s="14">
        <v>0.14261519658477401</v>
      </c>
      <c r="T590" s="14">
        <v>0.24405533604778801</v>
      </c>
      <c r="U590" s="14">
        <v>0.15583431179252999</v>
      </c>
      <c r="V590" s="14">
        <v>0.14412578128923501</v>
      </c>
      <c r="W590" s="14">
        <v>0.20410290311527901</v>
      </c>
      <c r="X590" s="14">
        <v>0.18791018938791801</v>
      </c>
      <c r="Y590" s="14">
        <v>0</v>
      </c>
      <c r="Z590" s="14">
        <v>0.22682509958208999</v>
      </c>
      <c r="AA590" s="14"/>
      <c r="AB590" s="14" t="s">
        <v>76</v>
      </c>
      <c r="AC590" s="14" t="s">
        <v>76</v>
      </c>
      <c r="AD590" s="14" t="s">
        <v>76</v>
      </c>
      <c r="AE590" s="14" t="s">
        <v>76</v>
      </c>
      <c r="AF590" s="14"/>
      <c r="AG590" s="14" t="s">
        <v>76</v>
      </c>
      <c r="AH590" s="14" t="s">
        <v>76</v>
      </c>
      <c r="AI590" s="14"/>
      <c r="AJ590" s="14" t="s">
        <v>76</v>
      </c>
      <c r="AK590" s="14" t="s">
        <v>76</v>
      </c>
      <c r="AL590" s="14"/>
      <c r="AM590" s="14">
        <v>0.26889092073502902</v>
      </c>
      <c r="AN590" s="14">
        <v>2.5946439718976099E-2</v>
      </c>
    </row>
    <row r="591" spans="2:40" x14ac:dyDescent="0.35">
      <c r="B591" t="s">
        <v>161</v>
      </c>
      <c r="C591" s="14">
        <v>0.46728094236999301</v>
      </c>
      <c r="D591" s="14">
        <v>0.500796978919687</v>
      </c>
      <c r="E591" s="14">
        <v>0.429980178864312</v>
      </c>
      <c r="F591" s="14"/>
      <c r="G591" s="14" t="s">
        <v>76</v>
      </c>
      <c r="H591" s="14">
        <v>0.46728094236999301</v>
      </c>
      <c r="I591" s="14" t="s">
        <v>76</v>
      </c>
      <c r="J591" s="14"/>
      <c r="K591" s="14">
        <v>0.46728094236999301</v>
      </c>
      <c r="L591" s="14" t="s">
        <v>76</v>
      </c>
      <c r="M591" s="14" t="s">
        <v>76</v>
      </c>
      <c r="N591" s="14"/>
      <c r="O591" s="14">
        <v>0.46510603657148297</v>
      </c>
      <c r="P591" s="14">
        <v>0.52262197449173198</v>
      </c>
      <c r="Q591" s="14"/>
      <c r="R591" s="14">
        <v>0.56739888333489497</v>
      </c>
      <c r="S591" s="14">
        <v>0.44946039089747503</v>
      </c>
      <c r="T591" s="14">
        <v>0.47635093036354098</v>
      </c>
      <c r="U591" s="14">
        <v>0.485572140138324</v>
      </c>
      <c r="V591" s="14">
        <v>0.44695454937905499</v>
      </c>
      <c r="W591" s="14">
        <v>0.52309948914480398</v>
      </c>
      <c r="X591" s="14">
        <v>0.440176686059503</v>
      </c>
      <c r="Y591" s="14">
        <v>0.35382023577159899</v>
      </c>
      <c r="Z591" s="14">
        <v>0.37566676214334899</v>
      </c>
      <c r="AA591" s="14"/>
      <c r="AB591" s="14" t="s">
        <v>76</v>
      </c>
      <c r="AC591" s="14" t="s">
        <v>76</v>
      </c>
      <c r="AD591" s="14" t="s">
        <v>76</v>
      </c>
      <c r="AE591" s="14" t="s">
        <v>76</v>
      </c>
      <c r="AF591" s="14"/>
      <c r="AG591" s="14" t="s">
        <v>76</v>
      </c>
      <c r="AH591" s="14" t="s">
        <v>76</v>
      </c>
      <c r="AI591" s="14"/>
      <c r="AJ591" s="14" t="s">
        <v>76</v>
      </c>
      <c r="AK591" s="14" t="s">
        <v>76</v>
      </c>
      <c r="AL591" s="14"/>
      <c r="AM591" s="14">
        <v>0.51091355553208795</v>
      </c>
      <c r="AN591" s="14">
        <v>0.31223246996524301</v>
      </c>
    </row>
    <row r="592" spans="2:40" x14ac:dyDescent="0.35">
      <c r="B592" t="s">
        <v>162</v>
      </c>
      <c r="C592" s="14">
        <v>0.29607311822599502</v>
      </c>
      <c r="D592" s="14">
        <v>0.26588571105293102</v>
      </c>
      <c r="E592" s="14">
        <v>0.32966937398083801</v>
      </c>
      <c r="F592" s="14"/>
      <c r="G592" s="14" t="s">
        <v>76</v>
      </c>
      <c r="H592" s="14">
        <v>0.29607311822599502</v>
      </c>
      <c r="I592" s="14" t="s">
        <v>76</v>
      </c>
      <c r="J592" s="14"/>
      <c r="K592" s="14">
        <v>0.29607311822599502</v>
      </c>
      <c r="L592" s="14" t="s">
        <v>76</v>
      </c>
      <c r="M592" s="14" t="s">
        <v>76</v>
      </c>
      <c r="N592" s="14"/>
      <c r="O592" s="14">
        <v>0.31088679510289002</v>
      </c>
      <c r="P592" s="14">
        <v>0.12701668351172199</v>
      </c>
      <c r="Q592" s="14"/>
      <c r="R592" s="14">
        <v>0.207714401603625</v>
      </c>
      <c r="S592" s="14">
        <v>0.34817506840540902</v>
      </c>
      <c r="T592" s="14">
        <v>0.23099188607274199</v>
      </c>
      <c r="U592" s="14">
        <v>0.29705803537910003</v>
      </c>
      <c r="V592" s="14">
        <v>0.29081905124500301</v>
      </c>
      <c r="W592" s="14">
        <v>0.214428744838918</v>
      </c>
      <c r="X592" s="14">
        <v>0.33574416317218198</v>
      </c>
      <c r="Y592" s="14">
        <v>0.53472530825521403</v>
      </c>
      <c r="Z592" s="14">
        <v>0.33199488672296901</v>
      </c>
      <c r="AA592" s="14"/>
      <c r="AB592" s="14" t="s">
        <v>76</v>
      </c>
      <c r="AC592" s="14" t="s">
        <v>76</v>
      </c>
      <c r="AD592" s="14" t="s">
        <v>76</v>
      </c>
      <c r="AE592" s="14" t="s">
        <v>76</v>
      </c>
      <c r="AF592" s="14"/>
      <c r="AG592" s="14" t="s">
        <v>76</v>
      </c>
      <c r="AH592" s="14" t="s">
        <v>76</v>
      </c>
      <c r="AI592" s="14"/>
      <c r="AJ592" s="14" t="s">
        <v>76</v>
      </c>
      <c r="AK592" s="14" t="s">
        <v>76</v>
      </c>
      <c r="AL592" s="14"/>
      <c r="AM592" s="14">
        <v>0.19571729417251901</v>
      </c>
      <c r="AN592" s="14">
        <v>0.51042603173161705</v>
      </c>
    </row>
    <row r="593" spans="2:40" x14ac:dyDescent="0.35">
      <c r="B593" t="s">
        <v>163</v>
      </c>
      <c r="C593" s="14">
        <v>4.7933854150204902E-2</v>
      </c>
      <c r="D593" s="14">
        <v>2.4972831918789899E-2</v>
      </c>
      <c r="E593" s="14">
        <v>7.3487700853791402E-2</v>
      </c>
      <c r="F593" s="14"/>
      <c r="G593" s="14" t="s">
        <v>76</v>
      </c>
      <c r="H593" s="14">
        <v>4.7933854150204902E-2</v>
      </c>
      <c r="I593" s="14" t="s">
        <v>76</v>
      </c>
      <c r="J593" s="14"/>
      <c r="K593" s="14">
        <v>4.7933854150204902E-2</v>
      </c>
      <c r="L593" s="14" t="s">
        <v>76</v>
      </c>
      <c r="M593" s="14" t="s">
        <v>76</v>
      </c>
      <c r="N593" s="14"/>
      <c r="O593" s="14">
        <v>5.2419058979709103E-2</v>
      </c>
      <c r="P593" s="14">
        <v>2.02814521223324E-2</v>
      </c>
      <c r="Q593" s="14"/>
      <c r="R593" s="14">
        <v>0</v>
      </c>
      <c r="S593" s="14">
        <v>4.77046925783189E-2</v>
      </c>
      <c r="T593" s="14">
        <v>2.4948120087144299E-2</v>
      </c>
      <c r="U593" s="14">
        <v>4.2238253598429698E-2</v>
      </c>
      <c r="V593" s="14">
        <v>0.11810061808670599</v>
      </c>
      <c r="W593" s="14">
        <v>5.83688629009982E-2</v>
      </c>
      <c r="X593" s="14">
        <v>3.6168961380397303E-2</v>
      </c>
      <c r="Y593" s="14">
        <v>0.111454455973187</v>
      </c>
      <c r="Z593" s="14">
        <v>6.5513251551591503E-2</v>
      </c>
      <c r="AA593" s="14"/>
      <c r="AB593" s="14" t="s">
        <v>76</v>
      </c>
      <c r="AC593" s="14" t="s">
        <v>76</v>
      </c>
      <c r="AD593" s="14" t="s">
        <v>76</v>
      </c>
      <c r="AE593" s="14" t="s">
        <v>76</v>
      </c>
      <c r="AF593" s="14"/>
      <c r="AG593" s="14" t="s">
        <v>76</v>
      </c>
      <c r="AH593" s="14" t="s">
        <v>76</v>
      </c>
      <c r="AI593" s="14"/>
      <c r="AJ593" s="14" t="s">
        <v>76</v>
      </c>
      <c r="AK593" s="14" t="s">
        <v>76</v>
      </c>
      <c r="AL593" s="14"/>
      <c r="AM593" s="14">
        <v>1.7225173853876601E-2</v>
      </c>
      <c r="AN593" s="14">
        <v>0.138609038822918</v>
      </c>
    </row>
    <row r="594" spans="2:40" x14ac:dyDescent="0.35">
      <c r="B594" t="s">
        <v>70</v>
      </c>
      <c r="C594" s="14">
        <v>7.0741185727070102E-3</v>
      </c>
      <c r="D594" s="14">
        <v>9.2798417831035998E-3</v>
      </c>
      <c r="E594" s="14">
        <v>4.6193187723784501E-3</v>
      </c>
      <c r="F594" s="14"/>
      <c r="G594" s="14" t="s">
        <v>76</v>
      </c>
      <c r="H594" s="14">
        <v>7.0741185727070102E-3</v>
      </c>
      <c r="I594" s="14" t="s">
        <v>76</v>
      </c>
      <c r="J594" s="14"/>
      <c r="K594" s="14">
        <v>7.0741185727070102E-3</v>
      </c>
      <c r="L594" s="14" t="s">
        <v>76</v>
      </c>
      <c r="M594" s="14" t="s">
        <v>76</v>
      </c>
      <c r="N594" s="14"/>
      <c r="O594" s="14">
        <v>8.0856969838465007E-3</v>
      </c>
      <c r="P594" s="14">
        <v>0</v>
      </c>
      <c r="Q594" s="14"/>
      <c r="R594" s="14">
        <v>0</v>
      </c>
      <c r="S594" s="14">
        <v>1.20446515340233E-2</v>
      </c>
      <c r="T594" s="14">
        <v>2.3653727428784702E-2</v>
      </c>
      <c r="U594" s="14">
        <v>1.92972590916166E-2</v>
      </c>
      <c r="V594" s="14">
        <v>0</v>
      </c>
      <c r="W594" s="14">
        <v>0</v>
      </c>
      <c r="X594" s="14">
        <v>0</v>
      </c>
      <c r="Y594" s="14">
        <v>0</v>
      </c>
      <c r="Z594" s="14">
        <v>0</v>
      </c>
      <c r="AA594" s="14"/>
      <c r="AB594" s="14" t="s">
        <v>76</v>
      </c>
      <c r="AC594" s="14" t="s">
        <v>76</v>
      </c>
      <c r="AD594" s="14" t="s">
        <v>76</v>
      </c>
      <c r="AE594" s="14" t="s">
        <v>76</v>
      </c>
      <c r="AF594" s="14"/>
      <c r="AG594" s="14" t="s">
        <v>76</v>
      </c>
      <c r="AH594" s="14" t="s">
        <v>76</v>
      </c>
      <c r="AI594" s="14"/>
      <c r="AJ594" s="14" t="s">
        <v>76</v>
      </c>
      <c r="AK594" s="14" t="s">
        <v>76</v>
      </c>
      <c r="AL594" s="14"/>
      <c r="AM594" s="14">
        <v>7.2530557064877203E-3</v>
      </c>
      <c r="AN594" s="14">
        <v>1.2786019761245901E-2</v>
      </c>
    </row>
    <row r="595" spans="2:40" x14ac:dyDescent="0.35">
      <c r="B595" t="s">
        <v>164</v>
      </c>
      <c r="C595" s="14">
        <v>0.64891890905109295</v>
      </c>
      <c r="D595" s="14">
        <v>0.69986161524517598</v>
      </c>
      <c r="E595" s="14">
        <v>0.59222360639299299</v>
      </c>
      <c r="F595" s="14"/>
      <c r="G595" s="14" t="s">
        <v>76</v>
      </c>
      <c r="H595" s="14">
        <v>0.64891890905109295</v>
      </c>
      <c r="I595" s="14" t="s">
        <v>76</v>
      </c>
      <c r="J595" s="14"/>
      <c r="K595" s="14">
        <v>0.64891890905109295</v>
      </c>
      <c r="L595" s="14" t="s">
        <v>76</v>
      </c>
      <c r="M595" s="14" t="s">
        <v>76</v>
      </c>
      <c r="N595" s="14"/>
      <c r="O595" s="14">
        <v>0.62860844893355405</v>
      </c>
      <c r="P595" s="14">
        <v>0.85270186436594597</v>
      </c>
      <c r="Q595" s="14"/>
      <c r="R595" s="14">
        <v>0.79228559839637502</v>
      </c>
      <c r="S595" s="14">
        <v>0.59207558748224898</v>
      </c>
      <c r="T595" s="14">
        <v>0.72040626641132899</v>
      </c>
      <c r="U595" s="14">
        <v>0.64140645193085299</v>
      </c>
      <c r="V595" s="14">
        <v>0.59108033066829002</v>
      </c>
      <c r="W595" s="14">
        <v>0.72720239226008299</v>
      </c>
      <c r="X595" s="14">
        <v>0.62808687544742103</v>
      </c>
      <c r="Y595" s="14">
        <v>0.35382023577159899</v>
      </c>
      <c r="Z595" s="14">
        <v>0.602491861725439</v>
      </c>
      <c r="AA595" s="14"/>
      <c r="AB595" s="14" t="s">
        <v>76</v>
      </c>
      <c r="AC595" s="14" t="s">
        <v>76</v>
      </c>
      <c r="AD595" s="14" t="s">
        <v>76</v>
      </c>
      <c r="AE595" s="14" t="s">
        <v>76</v>
      </c>
      <c r="AF595" s="14"/>
      <c r="AG595" s="14" t="s">
        <v>76</v>
      </c>
      <c r="AH595" s="14" t="s">
        <v>76</v>
      </c>
      <c r="AI595" s="14"/>
      <c r="AJ595" s="14" t="s">
        <v>76</v>
      </c>
      <c r="AK595" s="14" t="s">
        <v>76</v>
      </c>
      <c r="AL595" s="14"/>
      <c r="AM595" s="14">
        <v>0.77980447626711602</v>
      </c>
      <c r="AN595" s="14">
        <v>0.33817890968421899</v>
      </c>
    </row>
    <row r="596" spans="2:40" x14ac:dyDescent="0.35"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4"/>
      <c r="AN596" s="14"/>
    </row>
    <row r="597" spans="2:40" x14ac:dyDescent="0.35">
      <c r="B597" s="6" t="s">
        <v>211</v>
      </c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4"/>
      <c r="AN597" s="14"/>
    </row>
    <row r="598" spans="2:40" x14ac:dyDescent="0.35">
      <c r="B598" s="26" t="s">
        <v>395</v>
      </c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4"/>
      <c r="AN598" s="14"/>
    </row>
    <row r="599" spans="2:40" x14ac:dyDescent="0.35">
      <c r="B599" t="s">
        <v>166</v>
      </c>
      <c r="C599" s="14">
        <v>0.172933357610774</v>
      </c>
      <c r="D599" s="14">
        <v>0.202118638609871</v>
      </c>
      <c r="E599" s="14">
        <v>0.14045239099110701</v>
      </c>
      <c r="F599" s="14"/>
      <c r="G599" s="14" t="s">
        <v>76</v>
      </c>
      <c r="H599" s="14">
        <v>0.172933357610774</v>
      </c>
      <c r="I599" s="14" t="s">
        <v>76</v>
      </c>
      <c r="J599" s="14"/>
      <c r="K599" s="14">
        <v>0.172933357610774</v>
      </c>
      <c r="L599" s="14" t="s">
        <v>76</v>
      </c>
      <c r="M599" s="14" t="s">
        <v>76</v>
      </c>
      <c r="N599" s="14"/>
      <c r="O599" s="14">
        <v>0.157314743356577</v>
      </c>
      <c r="P599" s="14">
        <v>0.29787817537249001</v>
      </c>
      <c r="Q599" s="14"/>
      <c r="R599" s="14">
        <v>0.30025885278081899</v>
      </c>
      <c r="S599" s="14">
        <v>0.13057054505075</v>
      </c>
      <c r="T599" s="14">
        <v>0.17050536643166</v>
      </c>
      <c r="U599" s="14">
        <v>0.13677598497763699</v>
      </c>
      <c r="V599" s="14">
        <v>0.14412578128923501</v>
      </c>
      <c r="W599" s="14">
        <v>0.23661284142141001</v>
      </c>
      <c r="X599" s="14">
        <v>9.3146063509200905E-2</v>
      </c>
      <c r="Y599" s="14">
        <v>5.7160640630513203E-2</v>
      </c>
      <c r="Z599" s="14">
        <v>0.21285639314816199</v>
      </c>
      <c r="AA599" s="14"/>
      <c r="AB599" s="14" t="s">
        <v>76</v>
      </c>
      <c r="AC599" s="14" t="s">
        <v>76</v>
      </c>
      <c r="AD599" s="14" t="s">
        <v>76</v>
      </c>
      <c r="AE599" s="14" t="s">
        <v>76</v>
      </c>
      <c r="AF599" s="14"/>
      <c r="AG599" s="14" t="s">
        <v>76</v>
      </c>
      <c r="AH599" s="14" t="s">
        <v>76</v>
      </c>
      <c r="AI599" s="14"/>
      <c r="AJ599" s="14" t="s">
        <v>76</v>
      </c>
      <c r="AK599" s="14" t="s">
        <v>76</v>
      </c>
      <c r="AL599" s="14"/>
      <c r="AM599" s="14">
        <v>0.26608609287027701</v>
      </c>
      <c r="AN599" s="14">
        <v>1.33187322235959E-2</v>
      </c>
    </row>
    <row r="600" spans="2:40" x14ac:dyDescent="0.35">
      <c r="B600" t="s">
        <v>167</v>
      </c>
      <c r="C600" s="14">
        <v>0.34613699486293298</v>
      </c>
      <c r="D600" s="14">
        <v>0.35366704662096199</v>
      </c>
      <c r="E600" s="14">
        <v>0.33775662806761297</v>
      </c>
      <c r="F600" s="14"/>
      <c r="G600" s="14" t="s">
        <v>76</v>
      </c>
      <c r="H600" s="14">
        <v>0.34613699486293298</v>
      </c>
      <c r="I600" s="14" t="s">
        <v>76</v>
      </c>
      <c r="J600" s="14"/>
      <c r="K600" s="14">
        <v>0.34613699486293298</v>
      </c>
      <c r="L600" s="14" t="s">
        <v>76</v>
      </c>
      <c r="M600" s="14" t="s">
        <v>76</v>
      </c>
      <c r="N600" s="14"/>
      <c r="O600" s="14">
        <v>0.33781998487478498</v>
      </c>
      <c r="P600" s="14">
        <v>0.40655658195005501</v>
      </c>
      <c r="Q600" s="14"/>
      <c r="R600" s="14">
        <v>0.30129820278651198</v>
      </c>
      <c r="S600" s="14">
        <v>0.28216880969126501</v>
      </c>
      <c r="T600" s="14">
        <v>0.44931673552370499</v>
      </c>
      <c r="U600" s="14">
        <v>0.347703171789709</v>
      </c>
      <c r="V600" s="14">
        <v>0.35155570330236002</v>
      </c>
      <c r="W600" s="14">
        <v>0.34597039708037403</v>
      </c>
      <c r="X600" s="14">
        <v>0.44635722827364699</v>
      </c>
      <c r="Y600" s="14">
        <v>0.22890371925209699</v>
      </c>
      <c r="Z600" s="14">
        <v>0.34452316878275102</v>
      </c>
      <c r="AA600" s="14"/>
      <c r="AB600" s="14" t="s">
        <v>76</v>
      </c>
      <c r="AC600" s="14" t="s">
        <v>76</v>
      </c>
      <c r="AD600" s="14" t="s">
        <v>76</v>
      </c>
      <c r="AE600" s="14" t="s">
        <v>76</v>
      </c>
      <c r="AF600" s="14"/>
      <c r="AG600" s="14" t="s">
        <v>76</v>
      </c>
      <c r="AH600" s="14" t="s">
        <v>76</v>
      </c>
      <c r="AI600" s="14"/>
      <c r="AJ600" s="14" t="s">
        <v>76</v>
      </c>
      <c r="AK600" s="14" t="s">
        <v>76</v>
      </c>
      <c r="AL600" s="14"/>
      <c r="AM600" s="14">
        <v>0.41778708390844899</v>
      </c>
      <c r="AN600" s="14">
        <v>0.198667767825218</v>
      </c>
    </row>
    <row r="601" spans="2:40" x14ac:dyDescent="0.35">
      <c r="B601" t="s">
        <v>168</v>
      </c>
      <c r="C601" s="14">
        <v>0.308109593408466</v>
      </c>
      <c r="D601" s="14">
        <v>0.332231233688284</v>
      </c>
      <c r="E601" s="14">
        <v>0.28126406833832401</v>
      </c>
      <c r="F601" s="14"/>
      <c r="G601" s="14" t="s">
        <v>76</v>
      </c>
      <c r="H601" s="14">
        <v>0.308109593408466</v>
      </c>
      <c r="I601" s="14" t="s">
        <v>76</v>
      </c>
      <c r="J601" s="14"/>
      <c r="K601" s="14">
        <v>0.308109593408466</v>
      </c>
      <c r="L601" s="14" t="s">
        <v>76</v>
      </c>
      <c r="M601" s="14" t="s">
        <v>76</v>
      </c>
      <c r="N601" s="14"/>
      <c r="O601" s="14">
        <v>0.31531764721960198</v>
      </c>
      <c r="P601" s="14">
        <v>0.22720817860832501</v>
      </c>
      <c r="Q601" s="14"/>
      <c r="R601" s="14">
        <v>0.34001948099656498</v>
      </c>
      <c r="S601" s="14">
        <v>0.36685717045405702</v>
      </c>
      <c r="T601" s="14">
        <v>0.29828459589964801</v>
      </c>
      <c r="U601" s="14">
        <v>0.295739026424577</v>
      </c>
      <c r="V601" s="14">
        <v>0.32735208742238903</v>
      </c>
      <c r="W601" s="14">
        <v>0.242493182247424</v>
      </c>
      <c r="X601" s="14">
        <v>0.306898456866603</v>
      </c>
      <c r="Y601" s="14">
        <v>0.29978756684455099</v>
      </c>
      <c r="Z601" s="14">
        <v>0.24605916115929199</v>
      </c>
      <c r="AA601" s="14"/>
      <c r="AB601" s="14" t="s">
        <v>76</v>
      </c>
      <c r="AC601" s="14" t="s">
        <v>76</v>
      </c>
      <c r="AD601" s="14" t="s">
        <v>76</v>
      </c>
      <c r="AE601" s="14" t="s">
        <v>76</v>
      </c>
      <c r="AF601" s="14"/>
      <c r="AG601" s="14" t="s">
        <v>76</v>
      </c>
      <c r="AH601" s="14" t="s">
        <v>76</v>
      </c>
      <c r="AI601" s="14"/>
      <c r="AJ601" s="14" t="s">
        <v>76</v>
      </c>
      <c r="AK601" s="14" t="s">
        <v>76</v>
      </c>
      <c r="AL601" s="14"/>
      <c r="AM601" s="14">
        <v>0.25973624129546302</v>
      </c>
      <c r="AN601" s="14">
        <v>0.292981280254556</v>
      </c>
    </row>
    <row r="602" spans="2:40" x14ac:dyDescent="0.35">
      <c r="B602" t="s">
        <v>169</v>
      </c>
      <c r="C602" s="14">
        <v>0.164788260845598</v>
      </c>
      <c r="D602" s="14">
        <v>0.100885060490158</v>
      </c>
      <c r="E602" s="14">
        <v>0.23590759383057699</v>
      </c>
      <c r="F602" s="14"/>
      <c r="G602" s="14" t="s">
        <v>76</v>
      </c>
      <c r="H602" s="14">
        <v>0.164788260845598</v>
      </c>
      <c r="I602" s="14" t="s">
        <v>76</v>
      </c>
      <c r="J602" s="14"/>
      <c r="K602" s="14">
        <v>0.164788260845598</v>
      </c>
      <c r="L602" s="14" t="s">
        <v>76</v>
      </c>
      <c r="M602" s="14" t="s">
        <v>76</v>
      </c>
      <c r="N602" s="14"/>
      <c r="O602" s="14">
        <v>0.18036730816492899</v>
      </c>
      <c r="P602" s="14">
        <v>6.8357064069131293E-2</v>
      </c>
      <c r="Q602" s="14"/>
      <c r="R602" s="14">
        <v>5.84234634361036E-2</v>
      </c>
      <c r="S602" s="14">
        <v>0.20835882326990501</v>
      </c>
      <c r="T602" s="14">
        <v>5.3420711116065202E-2</v>
      </c>
      <c r="U602" s="14">
        <v>0.19684082064627001</v>
      </c>
      <c r="V602" s="14">
        <v>0.176966427986016</v>
      </c>
      <c r="W602" s="14">
        <v>0.17492357925079199</v>
      </c>
      <c r="X602" s="14">
        <v>0.153598251350549</v>
      </c>
      <c r="Y602" s="14">
        <v>0.41414807327283898</v>
      </c>
      <c r="Z602" s="14">
        <v>0.196561276909794</v>
      </c>
      <c r="AA602" s="14"/>
      <c r="AB602" s="14" t="s">
        <v>76</v>
      </c>
      <c r="AC602" s="14" t="s">
        <v>76</v>
      </c>
      <c r="AD602" s="14" t="s">
        <v>76</v>
      </c>
      <c r="AE602" s="14" t="s">
        <v>76</v>
      </c>
      <c r="AF602" s="14"/>
      <c r="AG602" s="14" t="s">
        <v>76</v>
      </c>
      <c r="AH602" s="14" t="s">
        <v>76</v>
      </c>
      <c r="AI602" s="14"/>
      <c r="AJ602" s="14" t="s">
        <v>76</v>
      </c>
      <c r="AK602" s="14" t="s">
        <v>76</v>
      </c>
      <c r="AL602" s="14"/>
      <c r="AM602" s="14">
        <v>5.2879970292007E-2</v>
      </c>
      <c r="AN602" s="14">
        <v>0.48100577240640802</v>
      </c>
    </row>
    <row r="603" spans="2:40" x14ac:dyDescent="0.35">
      <c r="B603" t="s">
        <v>70</v>
      </c>
      <c r="C603" s="14">
        <v>8.0317932722283707E-3</v>
      </c>
      <c r="D603" s="14">
        <v>1.1098020590724201E-2</v>
      </c>
      <c r="E603" s="14">
        <v>4.6193187723784501E-3</v>
      </c>
      <c r="F603" s="14"/>
      <c r="G603" s="14" t="s">
        <v>76</v>
      </c>
      <c r="H603" s="14">
        <v>8.0317932722283707E-3</v>
      </c>
      <c r="I603" s="14" t="s">
        <v>76</v>
      </c>
      <c r="J603" s="14"/>
      <c r="K603" s="14">
        <v>8.0317932722283707E-3</v>
      </c>
      <c r="L603" s="14" t="s">
        <v>76</v>
      </c>
      <c r="M603" s="14" t="s">
        <v>76</v>
      </c>
      <c r="N603" s="14"/>
      <c r="O603" s="14">
        <v>9.1803163841066692E-3</v>
      </c>
      <c r="P603" s="14">
        <v>0</v>
      </c>
      <c r="Q603" s="14"/>
      <c r="R603" s="14">
        <v>0</v>
      </c>
      <c r="S603" s="14">
        <v>1.20446515340233E-2</v>
      </c>
      <c r="T603" s="14">
        <v>2.8472591028920899E-2</v>
      </c>
      <c r="U603" s="14">
        <v>2.2940996161807101E-2</v>
      </c>
      <c r="V603" s="14">
        <v>0</v>
      </c>
      <c r="W603" s="14">
        <v>0</v>
      </c>
      <c r="X603" s="14">
        <v>0</v>
      </c>
      <c r="Y603" s="14">
        <v>0</v>
      </c>
      <c r="Z603" s="14">
        <v>0</v>
      </c>
      <c r="AA603" s="14"/>
      <c r="AB603" s="14" t="s">
        <v>76</v>
      </c>
      <c r="AC603" s="14" t="s">
        <v>76</v>
      </c>
      <c r="AD603" s="14" t="s">
        <v>76</v>
      </c>
      <c r="AE603" s="14" t="s">
        <v>76</v>
      </c>
      <c r="AF603" s="14"/>
      <c r="AG603" s="14" t="s">
        <v>76</v>
      </c>
      <c r="AH603" s="14" t="s">
        <v>76</v>
      </c>
      <c r="AI603" s="14"/>
      <c r="AJ603" s="14" t="s">
        <v>76</v>
      </c>
      <c r="AK603" s="14" t="s">
        <v>76</v>
      </c>
      <c r="AL603" s="14"/>
      <c r="AM603" s="14">
        <v>3.5106116338043999E-3</v>
      </c>
      <c r="AN603" s="14">
        <v>1.40264472902226E-2</v>
      </c>
    </row>
    <row r="604" spans="2:40" x14ac:dyDescent="0.35"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4"/>
      <c r="AN604" s="14"/>
    </row>
    <row r="605" spans="2:40" x14ac:dyDescent="0.35">
      <c r="B605" s="6" t="s">
        <v>212</v>
      </c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4"/>
      <c r="AN605" s="14"/>
    </row>
    <row r="606" spans="2:40" x14ac:dyDescent="0.35">
      <c r="B606" s="26" t="s">
        <v>209</v>
      </c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4"/>
      <c r="AN606" s="14"/>
    </row>
    <row r="607" spans="2:40" x14ac:dyDescent="0.35">
      <c r="B607" t="s">
        <v>44</v>
      </c>
      <c r="C607" s="14">
        <v>0.80965554381498295</v>
      </c>
      <c r="D607" s="14">
        <v>0.77599783221825702</v>
      </c>
      <c r="E607" s="14">
        <v>0.84990574468080504</v>
      </c>
      <c r="F607" s="14"/>
      <c r="G607" s="14" t="s">
        <v>76</v>
      </c>
      <c r="H607" s="14">
        <v>0.80965554381498295</v>
      </c>
      <c r="I607" s="14" t="s">
        <v>76</v>
      </c>
      <c r="J607" s="14"/>
      <c r="K607" s="14">
        <v>0.80965554381498295</v>
      </c>
      <c r="L607" s="14" t="s">
        <v>76</v>
      </c>
      <c r="M607" s="14" t="s">
        <v>76</v>
      </c>
      <c r="N607" s="14"/>
      <c r="O607" s="14">
        <v>0.81137191412881604</v>
      </c>
      <c r="P607" s="14">
        <v>0.78756249815482604</v>
      </c>
      <c r="Q607" s="14"/>
      <c r="R607" s="14">
        <v>0.82597748915781199</v>
      </c>
      <c r="S607" s="14">
        <v>0.81010871151641795</v>
      </c>
      <c r="T607" s="14">
        <v>0.74909223974002703</v>
      </c>
      <c r="U607" s="14">
        <v>0.78335646615464805</v>
      </c>
      <c r="V607" s="14">
        <v>0.73412826368004203</v>
      </c>
      <c r="W607" s="14">
        <v>0.84593316322701295</v>
      </c>
      <c r="X607" s="14">
        <v>0.79074933090125199</v>
      </c>
      <c r="Y607" s="14">
        <v>0.829517542521369</v>
      </c>
      <c r="Z607" s="14">
        <v>0.91938610056062697</v>
      </c>
      <c r="AA607" s="14"/>
      <c r="AB607" s="14" t="s">
        <v>76</v>
      </c>
      <c r="AC607" s="14" t="s">
        <v>76</v>
      </c>
      <c r="AD607" s="14" t="s">
        <v>76</v>
      </c>
      <c r="AE607" s="14" t="s">
        <v>76</v>
      </c>
      <c r="AF607" s="14"/>
      <c r="AG607" s="14" t="s">
        <v>76</v>
      </c>
      <c r="AH607" s="14" t="s">
        <v>76</v>
      </c>
      <c r="AI607" s="14"/>
      <c r="AJ607" s="14" t="s">
        <v>76</v>
      </c>
      <c r="AK607" s="14" t="s">
        <v>76</v>
      </c>
      <c r="AL607" s="14"/>
      <c r="AM607" s="14">
        <v>0.846002349165907</v>
      </c>
      <c r="AN607" s="14">
        <v>0.73978758108318299</v>
      </c>
    </row>
    <row r="608" spans="2:40" x14ac:dyDescent="0.35">
      <c r="B608" t="s">
        <v>45</v>
      </c>
      <c r="C608" s="14">
        <v>0.15555992659854501</v>
      </c>
      <c r="D608" s="14">
        <v>0.17709674489590699</v>
      </c>
      <c r="E608" s="14">
        <v>0.13378401642957999</v>
      </c>
      <c r="F608" s="14"/>
      <c r="G608" s="14" t="s">
        <v>76</v>
      </c>
      <c r="H608" s="14">
        <v>0.15555992659854501</v>
      </c>
      <c r="I608" s="14" t="s">
        <v>76</v>
      </c>
      <c r="J608" s="14"/>
      <c r="K608" s="14">
        <v>0.15555992659854501</v>
      </c>
      <c r="L608" s="14" t="s">
        <v>76</v>
      </c>
      <c r="M608" s="14" t="s">
        <v>76</v>
      </c>
      <c r="N608" s="14"/>
      <c r="O608" s="14">
        <v>0.15510083698619401</v>
      </c>
      <c r="P608" s="14">
        <v>0.17742736054147601</v>
      </c>
      <c r="Q608" s="14"/>
      <c r="R608" s="14">
        <v>0.109688221899631</v>
      </c>
      <c r="S608" s="14">
        <v>0.136636069371529</v>
      </c>
      <c r="T608" s="14">
        <v>0.25090776025997302</v>
      </c>
      <c r="U608" s="14">
        <v>0.14246668872228599</v>
      </c>
      <c r="V608" s="14">
        <v>0.24544832277759299</v>
      </c>
      <c r="W608" s="14">
        <v>0.13886906821616299</v>
      </c>
      <c r="X608" s="14">
        <v>0.185062176595892</v>
      </c>
      <c r="Y608" s="14">
        <v>0.12632995447845899</v>
      </c>
      <c r="Z608" s="14">
        <v>8.0613899439373499E-2</v>
      </c>
      <c r="AA608" s="14"/>
      <c r="AB608" s="14" t="s">
        <v>76</v>
      </c>
      <c r="AC608" s="14" t="s">
        <v>76</v>
      </c>
      <c r="AD608" s="14" t="s">
        <v>76</v>
      </c>
      <c r="AE608" s="14" t="s">
        <v>76</v>
      </c>
      <c r="AF608" s="14"/>
      <c r="AG608" s="14" t="s">
        <v>76</v>
      </c>
      <c r="AH608" s="14" t="s">
        <v>76</v>
      </c>
      <c r="AI608" s="14"/>
      <c r="AJ608" s="14" t="s">
        <v>76</v>
      </c>
      <c r="AK608" s="14" t="s">
        <v>76</v>
      </c>
      <c r="AL608" s="14"/>
      <c r="AM608" s="14">
        <v>0.12647775752569601</v>
      </c>
      <c r="AN608" s="14">
        <v>0.22211823704414699</v>
      </c>
    </row>
    <row r="609" spans="2:40" x14ac:dyDescent="0.35">
      <c r="B609" t="s">
        <v>70</v>
      </c>
      <c r="C609" s="14">
        <v>3.4784529586472102E-2</v>
      </c>
      <c r="D609" s="14">
        <v>4.6905422885836601E-2</v>
      </c>
      <c r="E609" s="14">
        <v>1.6310238889615102E-2</v>
      </c>
      <c r="F609" s="14"/>
      <c r="G609" s="14" t="s">
        <v>76</v>
      </c>
      <c r="H609" s="14">
        <v>3.4784529586472102E-2</v>
      </c>
      <c r="I609" s="14" t="s">
        <v>76</v>
      </c>
      <c r="J609" s="14"/>
      <c r="K609" s="14">
        <v>3.4784529586472102E-2</v>
      </c>
      <c r="L609" s="14" t="s">
        <v>76</v>
      </c>
      <c r="M609" s="14" t="s">
        <v>76</v>
      </c>
      <c r="N609" s="14"/>
      <c r="O609" s="14">
        <v>3.3527248884989903E-2</v>
      </c>
      <c r="P609" s="14">
        <v>3.5010141303698297E-2</v>
      </c>
      <c r="Q609" s="14"/>
      <c r="R609" s="14">
        <v>6.4334288942556203E-2</v>
      </c>
      <c r="S609" s="14">
        <v>5.3255219112053297E-2</v>
      </c>
      <c r="T609" s="14">
        <v>0</v>
      </c>
      <c r="U609" s="14">
        <v>7.4176845123065896E-2</v>
      </c>
      <c r="V609" s="14">
        <v>2.0423413542364901E-2</v>
      </c>
      <c r="W609" s="14">
        <v>1.51977685568239E-2</v>
      </c>
      <c r="X609" s="14">
        <v>2.41884925028556E-2</v>
      </c>
      <c r="Y609" s="14">
        <v>4.41525030001719E-2</v>
      </c>
      <c r="Z609" s="14">
        <v>0</v>
      </c>
      <c r="AA609" s="14"/>
      <c r="AB609" s="14" t="s">
        <v>76</v>
      </c>
      <c r="AC609" s="14" t="s">
        <v>76</v>
      </c>
      <c r="AD609" s="14" t="s">
        <v>76</v>
      </c>
      <c r="AE609" s="14" t="s">
        <v>76</v>
      </c>
      <c r="AF609" s="14"/>
      <c r="AG609" s="14" t="s">
        <v>76</v>
      </c>
      <c r="AH609" s="14" t="s">
        <v>76</v>
      </c>
      <c r="AI609" s="14"/>
      <c r="AJ609" s="14" t="s">
        <v>76</v>
      </c>
      <c r="AK609" s="14" t="s">
        <v>76</v>
      </c>
      <c r="AL609" s="14"/>
      <c r="AM609" s="14">
        <v>2.7519893308396801E-2</v>
      </c>
      <c r="AN609" s="14">
        <v>3.8094181872670302E-2</v>
      </c>
    </row>
    <row r="610" spans="2:40" x14ac:dyDescent="0.35"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4"/>
      <c r="AN610" s="14"/>
    </row>
    <row r="611" spans="2:40" x14ac:dyDescent="0.35">
      <c r="B611" s="6" t="s">
        <v>213</v>
      </c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</row>
    <row r="612" spans="2:40" x14ac:dyDescent="0.35">
      <c r="B612" s="26" t="s">
        <v>395</v>
      </c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4"/>
      <c r="AN612" s="14"/>
    </row>
    <row r="613" spans="2:40" x14ac:dyDescent="0.35">
      <c r="B613" t="s">
        <v>155</v>
      </c>
      <c r="C613" s="14">
        <v>0.17955045789665</v>
      </c>
      <c r="D613" s="14">
        <v>0.176770183700793</v>
      </c>
      <c r="E613" s="14">
        <v>0.18306989415703701</v>
      </c>
      <c r="F613" s="14"/>
      <c r="G613" s="14" t="s">
        <v>76</v>
      </c>
      <c r="H613" s="14">
        <v>0.17955045789665</v>
      </c>
      <c r="I613" s="14" t="s">
        <v>76</v>
      </c>
      <c r="J613" s="14"/>
      <c r="K613" s="14">
        <v>0.17955045789665</v>
      </c>
      <c r="L613" s="14" t="s">
        <v>76</v>
      </c>
      <c r="M613" s="14" t="s">
        <v>76</v>
      </c>
      <c r="N613" s="14"/>
      <c r="O613" s="14">
        <v>0.159344305093477</v>
      </c>
      <c r="P613" s="14">
        <v>0.304879084642528</v>
      </c>
      <c r="Q613" s="14"/>
      <c r="R613" s="14">
        <v>0.26042197479079998</v>
      </c>
      <c r="S613" s="14">
        <v>0.123429831073838</v>
      </c>
      <c r="T613" s="14">
        <v>0.139898468265648</v>
      </c>
      <c r="U613" s="14">
        <v>0.241221584312416</v>
      </c>
      <c r="V613" s="14">
        <v>0.23207711426451899</v>
      </c>
      <c r="W613" s="14">
        <v>0.30814950638477101</v>
      </c>
      <c r="X613" s="14">
        <v>3.2219713860961098E-2</v>
      </c>
      <c r="Y613" s="14">
        <v>0.221656287312893</v>
      </c>
      <c r="Z613" s="14">
        <v>0.110204054044352</v>
      </c>
      <c r="AA613" s="14"/>
      <c r="AB613" s="14" t="s">
        <v>76</v>
      </c>
      <c r="AC613" s="14" t="s">
        <v>76</v>
      </c>
      <c r="AD613" s="14" t="s">
        <v>76</v>
      </c>
      <c r="AE613" s="14" t="s">
        <v>76</v>
      </c>
      <c r="AF613" s="14"/>
      <c r="AG613" s="14" t="s">
        <v>76</v>
      </c>
      <c r="AH613" s="14" t="s">
        <v>76</v>
      </c>
      <c r="AI613" s="14"/>
      <c r="AJ613" s="14" t="s">
        <v>76</v>
      </c>
      <c r="AK613" s="14" t="s">
        <v>76</v>
      </c>
      <c r="AL613" s="14"/>
      <c r="AM613" s="14">
        <v>0.22016251706791301</v>
      </c>
      <c r="AN613" s="14">
        <v>8.2677476418438006E-2</v>
      </c>
    </row>
    <row r="614" spans="2:40" x14ac:dyDescent="0.35">
      <c r="B614" t="s">
        <v>156</v>
      </c>
      <c r="C614" s="14">
        <v>0.583041949053825</v>
      </c>
      <c r="D614" s="14">
        <v>0.57552647331075202</v>
      </c>
      <c r="E614" s="14">
        <v>0.588635048765902</v>
      </c>
      <c r="F614" s="14"/>
      <c r="G614" s="14" t="s">
        <v>76</v>
      </c>
      <c r="H614" s="14">
        <v>0.583041949053825</v>
      </c>
      <c r="I614" s="14" t="s">
        <v>76</v>
      </c>
      <c r="J614" s="14"/>
      <c r="K614" s="14">
        <v>0.583041949053825</v>
      </c>
      <c r="L614" s="14" t="s">
        <v>76</v>
      </c>
      <c r="M614" s="14" t="s">
        <v>76</v>
      </c>
      <c r="N614" s="14"/>
      <c r="O614" s="14">
        <v>0.58407030491604195</v>
      </c>
      <c r="P614" s="14">
        <v>0.59459313670726099</v>
      </c>
      <c r="Q614" s="14"/>
      <c r="R614" s="14">
        <v>0.53949685004885795</v>
      </c>
      <c r="S614" s="14">
        <v>0.60225786088302202</v>
      </c>
      <c r="T614" s="14">
        <v>0.506571467433519</v>
      </c>
      <c r="U614" s="14">
        <v>0.51696711637876902</v>
      </c>
      <c r="V614" s="14">
        <v>0.43929119926902699</v>
      </c>
      <c r="W614" s="14">
        <v>0.49004041931913001</v>
      </c>
      <c r="X614" s="14">
        <v>0.86751751832345003</v>
      </c>
      <c r="Y614" s="14">
        <v>0.57242158170325597</v>
      </c>
      <c r="Z614" s="14">
        <v>0.65844112055824999</v>
      </c>
      <c r="AA614" s="14"/>
      <c r="AB614" s="14" t="s">
        <v>76</v>
      </c>
      <c r="AC614" s="14" t="s">
        <v>76</v>
      </c>
      <c r="AD614" s="14" t="s">
        <v>76</v>
      </c>
      <c r="AE614" s="14" t="s">
        <v>76</v>
      </c>
      <c r="AF614" s="14"/>
      <c r="AG614" s="14" t="s">
        <v>76</v>
      </c>
      <c r="AH614" s="14" t="s">
        <v>76</v>
      </c>
      <c r="AI614" s="14"/>
      <c r="AJ614" s="14" t="s">
        <v>76</v>
      </c>
      <c r="AK614" s="14" t="s">
        <v>76</v>
      </c>
      <c r="AL614" s="14"/>
      <c r="AM614" s="14">
        <v>0.55564752585482802</v>
      </c>
      <c r="AN614" s="14">
        <v>0.57072748136113804</v>
      </c>
    </row>
    <row r="615" spans="2:40" x14ac:dyDescent="0.35">
      <c r="B615" t="s">
        <v>157</v>
      </c>
      <c r="C615" s="14">
        <v>0.18395211606918599</v>
      </c>
      <c r="D615" s="14">
        <v>0.18282230240282199</v>
      </c>
      <c r="E615" s="14">
        <v>0.18586453525719501</v>
      </c>
      <c r="F615" s="14"/>
      <c r="G615" s="14" t="s">
        <v>76</v>
      </c>
      <c r="H615" s="14">
        <v>0.18395211606918599</v>
      </c>
      <c r="I615" s="14" t="s">
        <v>76</v>
      </c>
      <c r="J615" s="14"/>
      <c r="K615" s="14">
        <v>0.18395211606918599</v>
      </c>
      <c r="L615" s="14" t="s">
        <v>76</v>
      </c>
      <c r="M615" s="14" t="s">
        <v>76</v>
      </c>
      <c r="N615" s="14"/>
      <c r="O615" s="14">
        <v>0.19557028333111101</v>
      </c>
      <c r="P615" s="14">
        <v>0.10052777865021099</v>
      </c>
      <c r="Q615" s="14"/>
      <c r="R615" s="14">
        <v>0.144298493116125</v>
      </c>
      <c r="S615" s="14">
        <v>0.192589546419313</v>
      </c>
      <c r="T615" s="14">
        <v>0.30291976595110898</v>
      </c>
      <c r="U615" s="14">
        <v>0.17341010890752201</v>
      </c>
      <c r="V615" s="14">
        <v>0.242127072375486</v>
      </c>
      <c r="W615" s="14">
        <v>0.18130633680848501</v>
      </c>
      <c r="X615" s="14">
        <v>6.9331740994676594E-2</v>
      </c>
      <c r="Y615" s="14">
        <v>0.15482431200140301</v>
      </c>
      <c r="Z615" s="14">
        <v>0.202391544528605</v>
      </c>
      <c r="AA615" s="14"/>
      <c r="AB615" s="14" t="s">
        <v>76</v>
      </c>
      <c r="AC615" s="14" t="s">
        <v>76</v>
      </c>
      <c r="AD615" s="14" t="s">
        <v>76</v>
      </c>
      <c r="AE615" s="14" t="s">
        <v>76</v>
      </c>
      <c r="AF615" s="14"/>
      <c r="AG615" s="14" t="s">
        <v>76</v>
      </c>
      <c r="AH615" s="14" t="s">
        <v>76</v>
      </c>
      <c r="AI615" s="14"/>
      <c r="AJ615" s="14" t="s">
        <v>76</v>
      </c>
      <c r="AK615" s="14" t="s">
        <v>76</v>
      </c>
      <c r="AL615" s="14"/>
      <c r="AM615" s="14">
        <v>0.16570323294361899</v>
      </c>
      <c r="AN615" s="14">
        <v>0.26097742825235298</v>
      </c>
    </row>
    <row r="616" spans="2:40" x14ac:dyDescent="0.35">
      <c r="B616" t="s">
        <v>158</v>
      </c>
      <c r="C616" s="14">
        <v>3.92475958648267E-2</v>
      </c>
      <c r="D616" s="14">
        <v>5.01474826130077E-2</v>
      </c>
      <c r="E616" s="14">
        <v>2.8678840213763698E-2</v>
      </c>
      <c r="F616" s="14"/>
      <c r="G616" s="14" t="s">
        <v>76</v>
      </c>
      <c r="H616" s="14">
        <v>3.92475958648267E-2</v>
      </c>
      <c r="I616" s="14" t="s">
        <v>76</v>
      </c>
      <c r="J616" s="14"/>
      <c r="K616" s="14">
        <v>3.92475958648267E-2</v>
      </c>
      <c r="L616" s="14" t="s">
        <v>76</v>
      </c>
      <c r="M616" s="14" t="s">
        <v>76</v>
      </c>
      <c r="N616" s="14"/>
      <c r="O616" s="14">
        <v>4.4797958658137502E-2</v>
      </c>
      <c r="P616" s="14">
        <v>0</v>
      </c>
      <c r="Q616" s="14"/>
      <c r="R616" s="14">
        <v>5.5782682044217498E-2</v>
      </c>
      <c r="S616" s="14">
        <v>5.4356595218103002E-2</v>
      </c>
      <c r="T616" s="14">
        <v>2.3635620328882299E-2</v>
      </c>
      <c r="U616" s="14">
        <v>4.60092446288934E-2</v>
      </c>
      <c r="V616" s="14">
        <v>5.7162283950680799E-2</v>
      </c>
      <c r="W616" s="14">
        <v>2.0503737487614099E-2</v>
      </c>
      <c r="X616" s="14">
        <v>3.0931026820912502E-2</v>
      </c>
      <c r="Y616" s="14">
        <v>5.1097818982449E-2</v>
      </c>
      <c r="Z616" s="14">
        <v>1.4481640434396601E-2</v>
      </c>
      <c r="AA616" s="14"/>
      <c r="AB616" s="14" t="s">
        <v>76</v>
      </c>
      <c r="AC616" s="14" t="s">
        <v>76</v>
      </c>
      <c r="AD616" s="14" t="s">
        <v>76</v>
      </c>
      <c r="AE616" s="14" t="s">
        <v>76</v>
      </c>
      <c r="AF616" s="14"/>
      <c r="AG616" s="14" t="s">
        <v>76</v>
      </c>
      <c r="AH616" s="14" t="s">
        <v>76</v>
      </c>
      <c r="AI616" s="14"/>
      <c r="AJ616" s="14" t="s">
        <v>76</v>
      </c>
      <c r="AK616" s="14" t="s">
        <v>76</v>
      </c>
      <c r="AL616" s="14"/>
      <c r="AM616" s="14">
        <v>5.0386987337857098E-2</v>
      </c>
      <c r="AN616" s="14">
        <v>3.8645224762510699E-2</v>
      </c>
    </row>
    <row r="617" spans="2:40" x14ac:dyDescent="0.35">
      <c r="B617" t="s">
        <v>70</v>
      </c>
      <c r="C617" s="14">
        <v>1.4207881115511901E-2</v>
      </c>
      <c r="D617" s="14">
        <v>1.4733557972625501E-2</v>
      </c>
      <c r="E617" s="14">
        <v>1.3751681606103201E-2</v>
      </c>
      <c r="F617" s="14"/>
      <c r="G617" s="14" t="s">
        <v>76</v>
      </c>
      <c r="H617" s="14">
        <v>1.4207881115511901E-2</v>
      </c>
      <c r="I617" s="14" t="s">
        <v>76</v>
      </c>
      <c r="J617" s="14"/>
      <c r="K617" s="14">
        <v>1.4207881115511901E-2</v>
      </c>
      <c r="L617" s="14" t="s">
        <v>76</v>
      </c>
      <c r="M617" s="14" t="s">
        <v>76</v>
      </c>
      <c r="N617" s="14"/>
      <c r="O617" s="14">
        <v>1.6217148001232001E-2</v>
      </c>
      <c r="P617" s="14">
        <v>0</v>
      </c>
      <c r="Q617" s="14"/>
      <c r="R617" s="14">
        <v>0</v>
      </c>
      <c r="S617" s="14">
        <v>2.7366166405724299E-2</v>
      </c>
      <c r="T617" s="14">
        <v>2.6974678020841501E-2</v>
      </c>
      <c r="U617" s="14">
        <v>2.2391945772398999E-2</v>
      </c>
      <c r="V617" s="14">
        <v>2.9342330140286501E-2</v>
      </c>
      <c r="W617" s="14">
        <v>0</v>
      </c>
      <c r="X617" s="14">
        <v>0</v>
      </c>
      <c r="Y617" s="14">
        <v>0</v>
      </c>
      <c r="Z617" s="14">
        <v>1.4481640434396601E-2</v>
      </c>
      <c r="AA617" s="14"/>
      <c r="AB617" s="14" t="s">
        <v>76</v>
      </c>
      <c r="AC617" s="14" t="s">
        <v>76</v>
      </c>
      <c r="AD617" s="14" t="s">
        <v>76</v>
      </c>
      <c r="AE617" s="14" t="s">
        <v>76</v>
      </c>
      <c r="AF617" s="14"/>
      <c r="AG617" s="14" t="s">
        <v>76</v>
      </c>
      <c r="AH617" s="14" t="s">
        <v>76</v>
      </c>
      <c r="AI617" s="14"/>
      <c r="AJ617" s="14" t="s">
        <v>76</v>
      </c>
      <c r="AK617" s="14" t="s">
        <v>76</v>
      </c>
      <c r="AL617" s="14"/>
      <c r="AM617" s="14">
        <v>8.0997367957825299E-3</v>
      </c>
      <c r="AN617" s="14">
        <v>4.6972389205560398E-2</v>
      </c>
    </row>
    <row r="618" spans="2:40" x14ac:dyDescent="0.35"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4"/>
      <c r="AN618" s="14"/>
    </row>
    <row r="619" spans="2:40" x14ac:dyDescent="0.35">
      <c r="B619" s="6" t="s">
        <v>215</v>
      </c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4"/>
      <c r="AN619" s="14"/>
    </row>
    <row r="620" spans="2:40" x14ac:dyDescent="0.35">
      <c r="B620" s="24" t="s">
        <v>214</v>
      </c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4"/>
      <c r="AN620" s="14"/>
    </row>
    <row r="621" spans="2:40" x14ac:dyDescent="0.35">
      <c r="B621" t="s">
        <v>160</v>
      </c>
      <c r="C621" s="14">
        <v>0.20117622765413501</v>
      </c>
      <c r="D621" s="14">
        <v>0.22134662266385099</v>
      </c>
      <c r="E621" s="14">
        <v>0.182177123068434</v>
      </c>
      <c r="F621" s="14"/>
      <c r="G621" s="14" t="s">
        <v>76</v>
      </c>
      <c r="H621" s="14">
        <v>0.20117622765413501</v>
      </c>
      <c r="I621" s="14" t="s">
        <v>76</v>
      </c>
      <c r="J621" s="14"/>
      <c r="K621" s="14">
        <v>0.20117622765413501</v>
      </c>
      <c r="L621" s="14" t="s">
        <v>76</v>
      </c>
      <c r="M621" s="14" t="s">
        <v>76</v>
      </c>
      <c r="N621" s="14"/>
      <c r="O621" s="14">
        <v>0.194177319417254</v>
      </c>
      <c r="P621" s="14">
        <v>0.25908706113711</v>
      </c>
      <c r="Q621" s="14"/>
      <c r="R621" s="14">
        <v>0.279071047278936</v>
      </c>
      <c r="S621" s="14">
        <v>0.187961430804164</v>
      </c>
      <c r="T621" s="14">
        <v>0.16769852949825201</v>
      </c>
      <c r="U621" s="14">
        <v>0.14283914692571101</v>
      </c>
      <c r="V621" s="14">
        <v>0.25800682707350098</v>
      </c>
      <c r="W621" s="14">
        <v>0.25374970832511301</v>
      </c>
      <c r="X621" s="14">
        <v>0.19692190902732801</v>
      </c>
      <c r="Y621" s="14">
        <v>0.103691868588417</v>
      </c>
      <c r="Z621" s="14">
        <v>0.16597280537689599</v>
      </c>
      <c r="AA621" s="14"/>
      <c r="AB621" s="14" t="s">
        <v>76</v>
      </c>
      <c r="AC621" s="14" t="s">
        <v>76</v>
      </c>
      <c r="AD621" s="14" t="s">
        <v>76</v>
      </c>
      <c r="AE621" s="14" t="s">
        <v>76</v>
      </c>
      <c r="AF621" s="14"/>
      <c r="AG621" s="14" t="s">
        <v>76</v>
      </c>
      <c r="AH621" s="14" t="s">
        <v>76</v>
      </c>
      <c r="AI621" s="14"/>
      <c r="AJ621" s="14" t="s">
        <v>76</v>
      </c>
      <c r="AK621" s="14" t="s">
        <v>76</v>
      </c>
      <c r="AL621" s="14"/>
      <c r="AM621" s="14">
        <v>0.279874668493934</v>
      </c>
      <c r="AN621" s="14">
        <v>1.5616358918106799E-2</v>
      </c>
    </row>
    <row r="622" spans="2:40" x14ac:dyDescent="0.35">
      <c r="B622" t="s">
        <v>161</v>
      </c>
      <c r="C622" s="14">
        <v>0.59061291683867101</v>
      </c>
      <c r="D622" s="14">
        <v>0.59671491785035802</v>
      </c>
      <c r="E622" s="14">
        <v>0.58282208157846604</v>
      </c>
      <c r="F622" s="14"/>
      <c r="G622" s="14" t="s">
        <v>76</v>
      </c>
      <c r="H622" s="14">
        <v>0.59061291683867101</v>
      </c>
      <c r="I622" s="14" t="s">
        <v>76</v>
      </c>
      <c r="J622" s="14"/>
      <c r="K622" s="14">
        <v>0.59061291683867101</v>
      </c>
      <c r="L622" s="14" t="s">
        <v>76</v>
      </c>
      <c r="M622" s="14" t="s">
        <v>76</v>
      </c>
      <c r="N622" s="14"/>
      <c r="O622" s="14">
        <v>0.57843920828406303</v>
      </c>
      <c r="P622" s="14">
        <v>0.69769383183396105</v>
      </c>
      <c r="Q622" s="14"/>
      <c r="R622" s="14">
        <v>0.51879145209737398</v>
      </c>
      <c r="S622" s="14">
        <v>0.58826005109902901</v>
      </c>
      <c r="T622" s="14">
        <v>0.56056651613506303</v>
      </c>
      <c r="U622" s="14">
        <v>0.65045121285645902</v>
      </c>
      <c r="V622" s="14">
        <v>0.47235629975311499</v>
      </c>
      <c r="W622" s="14">
        <v>0.57433056732884202</v>
      </c>
      <c r="X622" s="14">
        <v>0.67715959084281596</v>
      </c>
      <c r="Y622" s="14">
        <v>0.62142511805124501</v>
      </c>
      <c r="Z622" s="14">
        <v>0.65217929787301998</v>
      </c>
      <c r="AA622" s="14"/>
      <c r="AB622" s="14" t="s">
        <v>76</v>
      </c>
      <c r="AC622" s="14" t="s">
        <v>76</v>
      </c>
      <c r="AD622" s="14" t="s">
        <v>76</v>
      </c>
      <c r="AE622" s="14" t="s">
        <v>76</v>
      </c>
      <c r="AF622" s="14"/>
      <c r="AG622" s="14" t="s">
        <v>76</v>
      </c>
      <c r="AH622" s="14" t="s">
        <v>76</v>
      </c>
      <c r="AI622" s="14"/>
      <c r="AJ622" s="14" t="s">
        <v>76</v>
      </c>
      <c r="AK622" s="14" t="s">
        <v>76</v>
      </c>
      <c r="AL622" s="14"/>
      <c r="AM622" s="14">
        <v>0.59049928605579205</v>
      </c>
      <c r="AN622" s="14">
        <v>0.54028876945378601</v>
      </c>
    </row>
    <row r="623" spans="2:40" x14ac:dyDescent="0.35">
      <c r="B623" t="s">
        <v>162</v>
      </c>
      <c r="C623" s="14">
        <v>0.17697648741337299</v>
      </c>
      <c r="D623" s="14">
        <v>0.14772238454355599</v>
      </c>
      <c r="E623" s="14">
        <v>0.20656849007467001</v>
      </c>
      <c r="F623" s="14"/>
      <c r="G623" s="14" t="s">
        <v>76</v>
      </c>
      <c r="H623" s="14">
        <v>0.17697648741337299</v>
      </c>
      <c r="I623" s="14" t="s">
        <v>76</v>
      </c>
      <c r="J623" s="14"/>
      <c r="K623" s="14">
        <v>0.17697648741337299</v>
      </c>
      <c r="L623" s="14" t="s">
        <v>76</v>
      </c>
      <c r="M623" s="14" t="s">
        <v>76</v>
      </c>
      <c r="N623" s="14"/>
      <c r="O623" s="14">
        <v>0.19173196550577901</v>
      </c>
      <c r="P623" s="14">
        <v>4.3219107028928699E-2</v>
      </c>
      <c r="Q623" s="14"/>
      <c r="R623" s="14">
        <v>0.146354818579472</v>
      </c>
      <c r="S623" s="14">
        <v>0.19417203906187999</v>
      </c>
      <c r="T623" s="14">
        <v>0.24328414393266301</v>
      </c>
      <c r="U623" s="14">
        <v>0.184317694445431</v>
      </c>
      <c r="V623" s="14">
        <v>0.24029454227414401</v>
      </c>
      <c r="W623" s="14">
        <v>0.15029397085865101</v>
      </c>
      <c r="X623" s="14">
        <v>0.125918500129856</v>
      </c>
      <c r="Y623" s="14">
        <v>0.224417870850317</v>
      </c>
      <c r="Z623" s="14">
        <v>0.13681803350808799</v>
      </c>
      <c r="AA623" s="14"/>
      <c r="AB623" s="14" t="s">
        <v>76</v>
      </c>
      <c r="AC623" s="14" t="s">
        <v>76</v>
      </c>
      <c r="AD623" s="14" t="s">
        <v>76</v>
      </c>
      <c r="AE623" s="14" t="s">
        <v>76</v>
      </c>
      <c r="AF623" s="14"/>
      <c r="AG623" s="14" t="s">
        <v>76</v>
      </c>
      <c r="AH623" s="14" t="s">
        <v>76</v>
      </c>
      <c r="AI623" s="14"/>
      <c r="AJ623" s="14" t="s">
        <v>76</v>
      </c>
      <c r="AK623" s="14" t="s">
        <v>76</v>
      </c>
      <c r="AL623" s="14"/>
      <c r="AM623" s="14">
        <v>0.113822663889474</v>
      </c>
      <c r="AN623" s="14">
        <v>0.33431697631679202</v>
      </c>
    </row>
    <row r="624" spans="2:40" x14ac:dyDescent="0.35">
      <c r="B624" t="s">
        <v>163</v>
      </c>
      <c r="C624" s="14">
        <v>2.1174081859490001E-2</v>
      </c>
      <c r="D624" s="14">
        <v>1.39006877902035E-2</v>
      </c>
      <c r="E624" s="14">
        <v>2.8432305278429899E-2</v>
      </c>
      <c r="F624" s="14"/>
      <c r="G624" s="14" t="s">
        <v>76</v>
      </c>
      <c r="H624" s="14">
        <v>2.1174081859490001E-2</v>
      </c>
      <c r="I624" s="14" t="s">
        <v>76</v>
      </c>
      <c r="J624" s="14"/>
      <c r="K624" s="14">
        <v>2.1174081859490001E-2</v>
      </c>
      <c r="L624" s="14" t="s">
        <v>76</v>
      </c>
      <c r="M624" s="14" t="s">
        <v>76</v>
      </c>
      <c r="N624" s="14"/>
      <c r="O624" s="14">
        <v>2.41685031366606E-2</v>
      </c>
      <c r="P624" s="14">
        <v>0</v>
      </c>
      <c r="Q624" s="14"/>
      <c r="R624" s="14">
        <v>1.7411817632774201E-2</v>
      </c>
      <c r="S624" s="14">
        <v>2.9606479034926299E-2</v>
      </c>
      <c r="T624" s="14">
        <v>2.84508104340222E-2</v>
      </c>
      <c r="U624" s="14">
        <v>0</v>
      </c>
      <c r="V624" s="14">
        <v>2.9342330899240401E-2</v>
      </c>
      <c r="W624" s="14">
        <v>2.1625753487394199E-2</v>
      </c>
      <c r="X624" s="14">
        <v>0</v>
      </c>
      <c r="Y624" s="14">
        <v>5.0465142510021002E-2</v>
      </c>
      <c r="Z624" s="14">
        <v>3.0548222807600001E-2</v>
      </c>
      <c r="AA624" s="14"/>
      <c r="AB624" s="14" t="s">
        <v>76</v>
      </c>
      <c r="AC624" s="14" t="s">
        <v>76</v>
      </c>
      <c r="AD624" s="14" t="s">
        <v>76</v>
      </c>
      <c r="AE624" s="14" t="s">
        <v>76</v>
      </c>
      <c r="AF624" s="14"/>
      <c r="AG624" s="14" t="s">
        <v>76</v>
      </c>
      <c r="AH624" s="14" t="s">
        <v>76</v>
      </c>
      <c r="AI624" s="14"/>
      <c r="AJ624" s="14" t="s">
        <v>76</v>
      </c>
      <c r="AK624" s="14" t="s">
        <v>76</v>
      </c>
      <c r="AL624" s="14"/>
      <c r="AM624" s="14">
        <v>6.8656634223804502E-3</v>
      </c>
      <c r="AN624" s="14">
        <v>8.6933839177235406E-2</v>
      </c>
    </row>
    <row r="625" spans="2:40" x14ac:dyDescent="0.35">
      <c r="B625" t="s">
        <v>70</v>
      </c>
      <c r="C625" s="14">
        <v>1.0060286234331001E-2</v>
      </c>
      <c r="D625" s="14">
        <v>2.0315387152031301E-2</v>
      </c>
      <c r="E625" s="14">
        <v>0</v>
      </c>
      <c r="F625" s="14"/>
      <c r="G625" s="14" t="s">
        <v>76</v>
      </c>
      <c r="H625" s="14">
        <v>1.0060286234331001E-2</v>
      </c>
      <c r="I625" s="14" t="s">
        <v>76</v>
      </c>
      <c r="J625" s="14"/>
      <c r="K625" s="14">
        <v>1.0060286234331001E-2</v>
      </c>
      <c r="L625" s="14" t="s">
        <v>76</v>
      </c>
      <c r="M625" s="14" t="s">
        <v>76</v>
      </c>
      <c r="N625" s="14"/>
      <c r="O625" s="14">
        <v>1.1483003656244E-2</v>
      </c>
      <c r="P625" s="14">
        <v>0</v>
      </c>
      <c r="Q625" s="14"/>
      <c r="R625" s="14">
        <v>3.8370864411443301E-2</v>
      </c>
      <c r="S625" s="14">
        <v>0</v>
      </c>
      <c r="T625" s="14">
        <v>0</v>
      </c>
      <c r="U625" s="14">
        <v>2.2391945772398999E-2</v>
      </c>
      <c r="V625" s="14">
        <v>0</v>
      </c>
      <c r="W625" s="14">
        <v>0</v>
      </c>
      <c r="X625" s="14">
        <v>0</v>
      </c>
      <c r="Y625" s="14">
        <v>0</v>
      </c>
      <c r="Z625" s="14">
        <v>1.4481640434396601E-2</v>
      </c>
      <c r="AA625" s="14"/>
      <c r="AB625" s="14" t="s">
        <v>76</v>
      </c>
      <c r="AC625" s="14" t="s">
        <v>76</v>
      </c>
      <c r="AD625" s="14" t="s">
        <v>76</v>
      </c>
      <c r="AE625" s="14" t="s">
        <v>76</v>
      </c>
      <c r="AF625" s="14"/>
      <c r="AG625" s="14" t="s">
        <v>76</v>
      </c>
      <c r="AH625" s="14" t="s">
        <v>76</v>
      </c>
      <c r="AI625" s="14"/>
      <c r="AJ625" s="14" t="s">
        <v>76</v>
      </c>
      <c r="AK625" s="14" t="s">
        <v>76</v>
      </c>
      <c r="AL625" s="14"/>
      <c r="AM625" s="14">
        <v>8.9377181384196203E-3</v>
      </c>
      <c r="AN625" s="14">
        <v>2.28440561340791E-2</v>
      </c>
    </row>
    <row r="626" spans="2:40" x14ac:dyDescent="0.35">
      <c r="B626" t="s">
        <v>164</v>
      </c>
      <c r="C626" s="14">
        <v>0.79178914449280602</v>
      </c>
      <c r="D626" s="14">
        <v>0.81806154051420898</v>
      </c>
      <c r="E626" s="14">
        <v>0.76499920464689997</v>
      </c>
      <c r="F626" s="14"/>
      <c r="G626" s="14" t="s">
        <v>76</v>
      </c>
      <c r="H626" s="14">
        <v>0.79178914449280602</v>
      </c>
      <c r="I626" s="14" t="s">
        <v>76</v>
      </c>
      <c r="J626" s="14"/>
      <c r="K626" s="14">
        <v>0.79178914449280602</v>
      </c>
      <c r="L626" s="14" t="s">
        <v>76</v>
      </c>
      <c r="M626" s="14" t="s">
        <v>76</v>
      </c>
      <c r="N626" s="14"/>
      <c r="O626" s="14">
        <v>0.77261652770131595</v>
      </c>
      <c r="P626" s="14">
        <v>0.95678089297107105</v>
      </c>
      <c r="Q626" s="14"/>
      <c r="R626" s="14">
        <v>0.79786249937631004</v>
      </c>
      <c r="S626" s="14">
        <v>0.77622148190319296</v>
      </c>
      <c r="T626" s="14">
        <v>0.72826504563331496</v>
      </c>
      <c r="U626" s="14">
        <v>0.79329035978217</v>
      </c>
      <c r="V626" s="14">
        <v>0.73036312682661497</v>
      </c>
      <c r="W626" s="14">
        <v>0.82808027565395503</v>
      </c>
      <c r="X626" s="14">
        <v>0.87408149987014405</v>
      </c>
      <c r="Y626" s="14">
        <v>0.72511698663966195</v>
      </c>
      <c r="Z626" s="14">
        <v>0.81815210324991605</v>
      </c>
      <c r="AA626" s="14"/>
      <c r="AB626" s="14" t="s">
        <v>76</v>
      </c>
      <c r="AC626" s="14" t="s">
        <v>76</v>
      </c>
      <c r="AD626" s="14" t="s">
        <v>76</v>
      </c>
      <c r="AE626" s="14" t="s">
        <v>76</v>
      </c>
      <c r="AF626" s="14"/>
      <c r="AG626" s="14" t="s">
        <v>76</v>
      </c>
      <c r="AH626" s="14" t="s">
        <v>76</v>
      </c>
      <c r="AI626" s="14"/>
      <c r="AJ626" s="14" t="s">
        <v>76</v>
      </c>
      <c r="AK626" s="14" t="s">
        <v>76</v>
      </c>
      <c r="AL626" s="14"/>
      <c r="AM626" s="14">
        <v>0.87037395454972599</v>
      </c>
      <c r="AN626" s="14">
        <v>0.55590512837189299</v>
      </c>
    </row>
    <row r="627" spans="2:40" x14ac:dyDescent="0.35"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4"/>
      <c r="AN627" s="14"/>
    </row>
    <row r="628" spans="2:40" x14ac:dyDescent="0.35">
      <c r="B628" s="6" t="s">
        <v>216</v>
      </c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4"/>
      <c r="AN628" s="14"/>
    </row>
    <row r="629" spans="2:40" x14ac:dyDescent="0.35">
      <c r="B629" s="26" t="s">
        <v>395</v>
      </c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4"/>
      <c r="AN629" s="14"/>
    </row>
    <row r="630" spans="2:40" x14ac:dyDescent="0.35">
      <c r="B630" t="s">
        <v>166</v>
      </c>
      <c r="C630" s="14">
        <v>0.18630983532732101</v>
      </c>
      <c r="D630" s="14">
        <v>0.21608267200679199</v>
      </c>
      <c r="E630" s="14">
        <v>0.15778518332830499</v>
      </c>
      <c r="F630" s="14"/>
      <c r="G630" s="14" t="s">
        <v>76</v>
      </c>
      <c r="H630" s="14">
        <v>0.18630983532732101</v>
      </c>
      <c r="I630" s="14" t="s">
        <v>76</v>
      </c>
      <c r="J630" s="14"/>
      <c r="K630" s="14">
        <v>0.18630983532732101</v>
      </c>
      <c r="L630" s="14" t="s">
        <v>76</v>
      </c>
      <c r="M630" s="14" t="s">
        <v>76</v>
      </c>
      <c r="N630" s="14"/>
      <c r="O630" s="14">
        <v>0.16621758187255301</v>
      </c>
      <c r="P630" s="14">
        <v>0.31025420519812302</v>
      </c>
      <c r="Q630" s="14"/>
      <c r="R630" s="14">
        <v>0.32545463050920398</v>
      </c>
      <c r="S630" s="14">
        <v>0.15182954861055001</v>
      </c>
      <c r="T630" s="14">
        <v>0.166100572610756</v>
      </c>
      <c r="U630" s="14">
        <v>0.12044720115331201</v>
      </c>
      <c r="V630" s="14">
        <v>0.17746462770818699</v>
      </c>
      <c r="W630" s="14">
        <v>0.25700633092704001</v>
      </c>
      <c r="X630" s="14">
        <v>0.10155145538582901</v>
      </c>
      <c r="Y630" s="14">
        <v>0.103691868588417</v>
      </c>
      <c r="Z630" s="14">
        <v>0.19653096301860801</v>
      </c>
      <c r="AA630" s="14"/>
      <c r="AB630" s="14" t="s">
        <v>76</v>
      </c>
      <c r="AC630" s="14" t="s">
        <v>76</v>
      </c>
      <c r="AD630" s="14" t="s">
        <v>76</v>
      </c>
      <c r="AE630" s="14" t="s">
        <v>76</v>
      </c>
      <c r="AF630" s="14"/>
      <c r="AG630" s="14" t="s">
        <v>76</v>
      </c>
      <c r="AH630" s="14" t="s">
        <v>76</v>
      </c>
      <c r="AI630" s="14"/>
      <c r="AJ630" s="14" t="s">
        <v>76</v>
      </c>
      <c r="AK630" s="14" t="s">
        <v>76</v>
      </c>
      <c r="AL630" s="14"/>
      <c r="AM630" s="14">
        <v>0.26326900216739602</v>
      </c>
      <c r="AN630" s="14">
        <v>1.9132124971302199E-2</v>
      </c>
    </row>
    <row r="631" spans="2:40" x14ac:dyDescent="0.35">
      <c r="B631" t="s">
        <v>167</v>
      </c>
      <c r="C631" s="14">
        <v>0.516773746525796</v>
      </c>
      <c r="D631" s="14">
        <v>0.54695175888009395</v>
      </c>
      <c r="E631" s="14">
        <v>0.48494082442724401</v>
      </c>
      <c r="F631" s="14"/>
      <c r="G631" s="14" t="s">
        <v>76</v>
      </c>
      <c r="H631" s="14">
        <v>0.516773746525796</v>
      </c>
      <c r="I631" s="14" t="s">
        <v>76</v>
      </c>
      <c r="J631" s="14"/>
      <c r="K631" s="14">
        <v>0.516773746525796</v>
      </c>
      <c r="L631" s="14" t="s">
        <v>76</v>
      </c>
      <c r="M631" s="14" t="s">
        <v>76</v>
      </c>
      <c r="N631" s="14"/>
      <c r="O631" s="14">
        <v>0.51154652403700196</v>
      </c>
      <c r="P631" s="14">
        <v>0.61312689350512695</v>
      </c>
      <c r="Q631" s="14"/>
      <c r="R631" s="14">
        <v>0.51452007805439803</v>
      </c>
      <c r="S631" s="14">
        <v>0.417145604757579</v>
      </c>
      <c r="T631" s="14">
        <v>0.54650019377769998</v>
      </c>
      <c r="U631" s="14">
        <v>0.50247343434328695</v>
      </c>
      <c r="V631" s="14">
        <v>0.45737134683112501</v>
      </c>
      <c r="W631" s="14">
        <v>0.44653774685722403</v>
      </c>
      <c r="X631" s="14">
        <v>0.70897535705523895</v>
      </c>
      <c r="Y631" s="14">
        <v>0.52049482696889104</v>
      </c>
      <c r="Z631" s="14">
        <v>0.56313004387545296</v>
      </c>
      <c r="AA631" s="14"/>
      <c r="AB631" s="14" t="s">
        <v>76</v>
      </c>
      <c r="AC631" s="14" t="s">
        <v>76</v>
      </c>
      <c r="AD631" s="14" t="s">
        <v>76</v>
      </c>
      <c r="AE631" s="14" t="s">
        <v>76</v>
      </c>
      <c r="AF631" s="14"/>
      <c r="AG631" s="14" t="s">
        <v>76</v>
      </c>
      <c r="AH631" s="14" t="s">
        <v>76</v>
      </c>
      <c r="AI631" s="14"/>
      <c r="AJ631" s="14" t="s">
        <v>76</v>
      </c>
      <c r="AK631" s="14" t="s">
        <v>76</v>
      </c>
      <c r="AL631" s="14"/>
      <c r="AM631" s="14">
        <v>0.54757442146455204</v>
      </c>
      <c r="AN631" s="14">
        <v>0.36533261950705598</v>
      </c>
    </row>
    <row r="632" spans="2:40" x14ac:dyDescent="0.35">
      <c r="B632" t="s">
        <v>168</v>
      </c>
      <c r="C632" s="14">
        <v>0.241844224396596</v>
      </c>
      <c r="D632" s="14">
        <v>0.19694857556287601</v>
      </c>
      <c r="E632" s="14">
        <v>0.28712914620893298</v>
      </c>
      <c r="F632" s="14"/>
      <c r="G632" s="14" t="s">
        <v>76</v>
      </c>
      <c r="H632" s="14">
        <v>0.241844224396596</v>
      </c>
      <c r="I632" s="14" t="s">
        <v>76</v>
      </c>
      <c r="J632" s="14"/>
      <c r="K632" s="14">
        <v>0.241844224396596</v>
      </c>
      <c r="L632" s="14" t="s">
        <v>76</v>
      </c>
      <c r="M632" s="14" t="s">
        <v>76</v>
      </c>
      <c r="N632" s="14"/>
      <c r="O632" s="14">
        <v>0.262524185488833</v>
      </c>
      <c r="P632" s="14">
        <v>4.9042105148201398E-2</v>
      </c>
      <c r="Q632" s="14"/>
      <c r="R632" s="14">
        <v>0.14261347380362399</v>
      </c>
      <c r="S632" s="14">
        <v>0.34443682233342299</v>
      </c>
      <c r="T632" s="14">
        <v>0.24012799335340301</v>
      </c>
      <c r="U632" s="14">
        <v>0.28353944731992697</v>
      </c>
      <c r="V632" s="14">
        <v>0.30233410974490599</v>
      </c>
      <c r="W632" s="14">
        <v>0.24033594274266501</v>
      </c>
      <c r="X632" s="14">
        <v>0.15725347369796999</v>
      </c>
      <c r="Y632" s="14">
        <v>0.32534816193267102</v>
      </c>
      <c r="Z632" s="14">
        <v>0.19512757587389501</v>
      </c>
      <c r="AA632" s="14"/>
      <c r="AB632" s="14" t="s">
        <v>76</v>
      </c>
      <c r="AC632" s="14" t="s">
        <v>76</v>
      </c>
      <c r="AD632" s="14" t="s">
        <v>76</v>
      </c>
      <c r="AE632" s="14" t="s">
        <v>76</v>
      </c>
      <c r="AF632" s="14"/>
      <c r="AG632" s="14" t="s">
        <v>76</v>
      </c>
      <c r="AH632" s="14" t="s">
        <v>76</v>
      </c>
      <c r="AI632" s="14"/>
      <c r="AJ632" s="14" t="s">
        <v>76</v>
      </c>
      <c r="AK632" s="14" t="s">
        <v>76</v>
      </c>
      <c r="AL632" s="14"/>
      <c r="AM632" s="14">
        <v>0.16831939657801501</v>
      </c>
      <c r="AN632" s="14">
        <v>0.43335141334684601</v>
      </c>
    </row>
    <row r="633" spans="2:40" x14ac:dyDescent="0.35">
      <c r="B633" t="s">
        <v>169</v>
      </c>
      <c r="C633" s="14">
        <v>4.74686330015835E-2</v>
      </c>
      <c r="D633" s="14">
        <v>2.9177882582946998E-2</v>
      </c>
      <c r="E633" s="14">
        <v>6.5696124610803305E-2</v>
      </c>
      <c r="F633" s="14"/>
      <c r="G633" s="14" t="s">
        <v>76</v>
      </c>
      <c r="H633" s="14">
        <v>4.74686330015835E-2</v>
      </c>
      <c r="I633" s="14" t="s">
        <v>76</v>
      </c>
      <c r="J633" s="14"/>
      <c r="K633" s="14">
        <v>4.74686330015835E-2</v>
      </c>
      <c r="L633" s="14" t="s">
        <v>76</v>
      </c>
      <c r="M633" s="14" t="s">
        <v>76</v>
      </c>
      <c r="N633" s="14"/>
      <c r="O633" s="14">
        <v>5.10328585327261E-2</v>
      </c>
      <c r="P633" s="14">
        <v>2.75767961485489E-2</v>
      </c>
      <c r="Q633" s="14"/>
      <c r="R633" s="14">
        <v>1.7411817632774201E-2</v>
      </c>
      <c r="S633" s="14">
        <v>7.2904941280657498E-2</v>
      </c>
      <c r="T633" s="14">
        <v>4.72712402581403E-2</v>
      </c>
      <c r="U633" s="14">
        <v>7.1147971411074096E-2</v>
      </c>
      <c r="V633" s="14">
        <v>2.9342330899240401E-2</v>
      </c>
      <c r="W633" s="14">
        <v>5.6119979473071499E-2</v>
      </c>
      <c r="X633" s="14">
        <v>3.2219713860961098E-2</v>
      </c>
      <c r="Y633" s="14">
        <v>5.0465142510021002E-2</v>
      </c>
      <c r="Z633" s="14">
        <v>4.5211417232043603E-2</v>
      </c>
      <c r="AA633" s="14"/>
      <c r="AB633" s="14" t="s">
        <v>76</v>
      </c>
      <c r="AC633" s="14" t="s">
        <v>76</v>
      </c>
      <c r="AD633" s="14" t="s">
        <v>76</v>
      </c>
      <c r="AE633" s="14" t="s">
        <v>76</v>
      </c>
      <c r="AF633" s="14"/>
      <c r="AG633" s="14" t="s">
        <v>76</v>
      </c>
      <c r="AH633" s="14" t="s">
        <v>76</v>
      </c>
      <c r="AI633" s="14"/>
      <c r="AJ633" s="14" t="s">
        <v>76</v>
      </c>
      <c r="AK633" s="14" t="s">
        <v>76</v>
      </c>
      <c r="AL633" s="14"/>
      <c r="AM633" s="14">
        <v>1.7289668772750601E-2</v>
      </c>
      <c r="AN633" s="14">
        <v>0.15448554341620499</v>
      </c>
    </row>
    <row r="634" spans="2:40" x14ac:dyDescent="0.35">
      <c r="B634" t="s">
        <v>70</v>
      </c>
      <c r="C634" s="14">
        <v>7.6035607487027696E-3</v>
      </c>
      <c r="D634" s="14">
        <v>1.08391109672908E-2</v>
      </c>
      <c r="E634" s="14">
        <v>4.4487214247147201E-3</v>
      </c>
      <c r="F634" s="14"/>
      <c r="G634" s="14" t="s">
        <v>76</v>
      </c>
      <c r="H634" s="14">
        <v>7.6035607487027696E-3</v>
      </c>
      <c r="I634" s="14" t="s">
        <v>76</v>
      </c>
      <c r="J634" s="14"/>
      <c r="K634" s="14">
        <v>7.6035607487027696E-3</v>
      </c>
      <c r="L634" s="14" t="s">
        <v>76</v>
      </c>
      <c r="M634" s="14" t="s">
        <v>76</v>
      </c>
      <c r="N634" s="14"/>
      <c r="O634" s="14">
        <v>8.6788500688850592E-3</v>
      </c>
      <c r="P634" s="14">
        <v>0</v>
      </c>
      <c r="Q634" s="14"/>
      <c r="R634" s="14">
        <v>0</v>
      </c>
      <c r="S634" s="14">
        <v>1.3683083017791E-2</v>
      </c>
      <c r="T634" s="14">
        <v>0</v>
      </c>
      <c r="U634" s="14">
        <v>2.2391945772398999E-2</v>
      </c>
      <c r="V634" s="14">
        <v>3.3487584816541897E-2</v>
      </c>
      <c r="W634" s="14">
        <v>0</v>
      </c>
      <c r="X634" s="14">
        <v>0</v>
      </c>
      <c r="Y634" s="14">
        <v>0</v>
      </c>
      <c r="Z634" s="14">
        <v>0</v>
      </c>
      <c r="AA634" s="14"/>
      <c r="AB634" s="14" t="s">
        <v>76</v>
      </c>
      <c r="AC634" s="14" t="s">
        <v>76</v>
      </c>
      <c r="AD634" s="14" t="s">
        <v>76</v>
      </c>
      <c r="AE634" s="14" t="s">
        <v>76</v>
      </c>
      <c r="AF634" s="14"/>
      <c r="AG634" s="14" t="s">
        <v>76</v>
      </c>
      <c r="AH634" s="14" t="s">
        <v>76</v>
      </c>
      <c r="AI634" s="14"/>
      <c r="AJ634" s="14" t="s">
        <v>76</v>
      </c>
      <c r="AK634" s="14" t="s">
        <v>76</v>
      </c>
      <c r="AL634" s="14"/>
      <c r="AM634" s="14">
        <v>3.54751101728737E-3</v>
      </c>
      <c r="AN634" s="14">
        <v>2.7698298758590301E-2</v>
      </c>
    </row>
    <row r="635" spans="2:40" x14ac:dyDescent="0.35"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4"/>
      <c r="AN635" s="14"/>
    </row>
    <row r="636" spans="2:40" x14ac:dyDescent="0.35">
      <c r="B636" s="6" t="s">
        <v>217</v>
      </c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4"/>
      <c r="AN636" s="14"/>
    </row>
    <row r="637" spans="2:40" x14ac:dyDescent="0.35">
      <c r="B637" s="26" t="s">
        <v>209</v>
      </c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4"/>
      <c r="AN637" s="14"/>
    </row>
    <row r="638" spans="2:40" x14ac:dyDescent="0.35">
      <c r="B638" t="s">
        <v>44</v>
      </c>
      <c r="C638" s="14">
        <v>0.80657735790723295</v>
      </c>
      <c r="D638" s="14">
        <v>0.81403535980743402</v>
      </c>
      <c r="E638" s="14">
        <v>0.80243042381269203</v>
      </c>
      <c r="F638" s="14"/>
      <c r="G638" s="14" t="s">
        <v>76</v>
      </c>
      <c r="H638" s="14">
        <v>0.80657735790723295</v>
      </c>
      <c r="I638" s="14" t="s">
        <v>76</v>
      </c>
      <c r="J638" s="14"/>
      <c r="K638" s="14">
        <v>0.80657735790723295</v>
      </c>
      <c r="L638" s="14" t="s">
        <v>76</v>
      </c>
      <c r="M638" s="14" t="s">
        <v>76</v>
      </c>
      <c r="N638" s="14"/>
      <c r="O638" s="14">
        <v>0.79651527095025798</v>
      </c>
      <c r="P638" s="14">
        <v>0.88318885800768798</v>
      </c>
      <c r="Q638" s="14"/>
      <c r="R638" s="14">
        <v>0.74922213174544405</v>
      </c>
      <c r="S638" s="14">
        <v>0.77642027162187899</v>
      </c>
      <c r="T638" s="14">
        <v>0.83753147113872894</v>
      </c>
      <c r="U638" s="14">
        <v>0.82099374966962302</v>
      </c>
      <c r="V638" s="14">
        <v>0.80482503952547502</v>
      </c>
      <c r="W638" s="14">
        <v>0.84321645623681896</v>
      </c>
      <c r="X638" s="14">
        <v>0.82596913982692</v>
      </c>
      <c r="Y638" s="14">
        <v>0.95584749699982796</v>
      </c>
      <c r="Z638" s="14">
        <v>0.77029401904021999</v>
      </c>
      <c r="AA638" s="14"/>
      <c r="AB638" s="14" t="s">
        <v>76</v>
      </c>
      <c r="AC638" s="14" t="s">
        <v>76</v>
      </c>
      <c r="AD638" s="14" t="s">
        <v>76</v>
      </c>
      <c r="AE638" s="14" t="s">
        <v>76</v>
      </c>
      <c r="AF638" s="14"/>
      <c r="AG638" s="14" t="s">
        <v>76</v>
      </c>
      <c r="AH638" s="14" t="s">
        <v>76</v>
      </c>
      <c r="AI638" s="14"/>
      <c r="AJ638" s="14" t="s">
        <v>76</v>
      </c>
      <c r="AK638" s="14" t="s">
        <v>76</v>
      </c>
      <c r="AL638" s="14"/>
      <c r="AM638" s="14">
        <v>0.84245258740752005</v>
      </c>
      <c r="AN638" s="14">
        <v>0.74363705207810005</v>
      </c>
    </row>
    <row r="639" spans="2:40" x14ac:dyDescent="0.35">
      <c r="B639" t="s">
        <v>45</v>
      </c>
      <c r="C639" s="14">
        <v>0.140617271053293</v>
      </c>
      <c r="D639" s="14">
        <v>0.135824761580637</v>
      </c>
      <c r="E639" s="14">
        <v>0.14139070695282599</v>
      </c>
      <c r="F639" s="14"/>
      <c r="G639" s="14" t="s">
        <v>76</v>
      </c>
      <c r="H639" s="14">
        <v>0.140617271053293</v>
      </c>
      <c r="I639" s="14" t="s">
        <v>76</v>
      </c>
      <c r="J639" s="14"/>
      <c r="K639" s="14">
        <v>0.140617271053293</v>
      </c>
      <c r="L639" s="14" t="s">
        <v>76</v>
      </c>
      <c r="M639" s="14" t="s">
        <v>76</v>
      </c>
      <c r="N639" s="14"/>
      <c r="O639" s="14">
        <v>0.14480997923612299</v>
      </c>
      <c r="P639" s="14">
        <v>0.102137669299447</v>
      </c>
      <c r="Q639" s="14"/>
      <c r="R639" s="14">
        <v>0.23346616815292801</v>
      </c>
      <c r="S639" s="14">
        <v>0.158082282953739</v>
      </c>
      <c r="T639" s="14">
        <v>8.8271734861731802E-2</v>
      </c>
      <c r="U639" s="14">
        <v>0.103153913466571</v>
      </c>
      <c r="V639" s="14">
        <v>0.152092892160926</v>
      </c>
      <c r="W639" s="14">
        <v>9.2705762189079804E-2</v>
      </c>
      <c r="X639" s="14">
        <v>0.100241445873235</v>
      </c>
      <c r="Y639" s="14">
        <v>4.41525030001719E-2</v>
      </c>
      <c r="Z639" s="14">
        <v>0.19963651037160399</v>
      </c>
      <c r="AA639" s="14"/>
      <c r="AB639" s="14" t="s">
        <v>76</v>
      </c>
      <c r="AC639" s="14" t="s">
        <v>76</v>
      </c>
      <c r="AD639" s="14" t="s">
        <v>76</v>
      </c>
      <c r="AE639" s="14" t="s">
        <v>76</v>
      </c>
      <c r="AF639" s="14"/>
      <c r="AG639" s="14" t="s">
        <v>76</v>
      </c>
      <c r="AH639" s="14" t="s">
        <v>76</v>
      </c>
      <c r="AI639" s="14"/>
      <c r="AJ639" s="14" t="s">
        <v>76</v>
      </c>
      <c r="AK639" s="14" t="s">
        <v>76</v>
      </c>
      <c r="AL639" s="14"/>
      <c r="AM639" s="14">
        <v>0.122180052634683</v>
      </c>
      <c r="AN639" s="14">
        <v>0.166976014682163</v>
      </c>
    </row>
    <row r="640" spans="2:40" x14ac:dyDescent="0.35">
      <c r="B640" t="s">
        <v>70</v>
      </c>
      <c r="C640" s="14">
        <v>5.2805371039473699E-2</v>
      </c>
      <c r="D640" s="14">
        <v>5.0139878611928798E-2</v>
      </c>
      <c r="E640" s="14">
        <v>5.6178869234481801E-2</v>
      </c>
      <c r="F640" s="14"/>
      <c r="G640" s="14" t="s">
        <v>76</v>
      </c>
      <c r="H640" s="14">
        <v>5.2805371039473699E-2</v>
      </c>
      <c r="I640" s="14" t="s">
        <v>76</v>
      </c>
      <c r="J640" s="14"/>
      <c r="K640" s="14">
        <v>5.2805371039473699E-2</v>
      </c>
      <c r="L640" s="14" t="s">
        <v>76</v>
      </c>
      <c r="M640" s="14" t="s">
        <v>76</v>
      </c>
      <c r="N640" s="14"/>
      <c r="O640" s="14">
        <v>5.8674749813619101E-2</v>
      </c>
      <c r="P640" s="14">
        <v>1.46734726928654E-2</v>
      </c>
      <c r="Q640" s="14"/>
      <c r="R640" s="14">
        <v>1.7311700101627501E-2</v>
      </c>
      <c r="S640" s="14">
        <v>6.5497445424381406E-2</v>
      </c>
      <c r="T640" s="14">
        <v>7.4196793999539407E-2</v>
      </c>
      <c r="U640" s="14">
        <v>7.5852336863806297E-2</v>
      </c>
      <c r="V640" s="14">
        <v>4.30820683135998E-2</v>
      </c>
      <c r="W640" s="14">
        <v>6.4077781574100906E-2</v>
      </c>
      <c r="X640" s="14">
        <v>7.3789414299845105E-2</v>
      </c>
      <c r="Y640" s="14">
        <v>0</v>
      </c>
      <c r="Z640" s="14">
        <v>3.00694705881757E-2</v>
      </c>
      <c r="AA640" s="14"/>
      <c r="AB640" s="14" t="s">
        <v>76</v>
      </c>
      <c r="AC640" s="14" t="s">
        <v>76</v>
      </c>
      <c r="AD640" s="14" t="s">
        <v>76</v>
      </c>
      <c r="AE640" s="14" t="s">
        <v>76</v>
      </c>
      <c r="AF640" s="14"/>
      <c r="AG640" s="14" t="s">
        <v>76</v>
      </c>
      <c r="AH640" s="14" t="s">
        <v>76</v>
      </c>
      <c r="AI640" s="14"/>
      <c r="AJ640" s="14" t="s">
        <v>76</v>
      </c>
      <c r="AK640" s="14" t="s">
        <v>76</v>
      </c>
      <c r="AL640" s="14"/>
      <c r="AM640" s="14">
        <v>3.5367359957796801E-2</v>
      </c>
      <c r="AN640" s="14">
        <v>8.9386933239736996E-2</v>
      </c>
    </row>
    <row r="641" spans="2:40" x14ac:dyDescent="0.35"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4"/>
      <c r="AN641" s="14"/>
    </row>
    <row r="642" spans="2:40" x14ac:dyDescent="0.35">
      <c r="B642" s="6" t="s">
        <v>218</v>
      </c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4"/>
      <c r="AN642" s="14"/>
    </row>
    <row r="643" spans="2:40" x14ac:dyDescent="0.35">
      <c r="B643" s="26" t="s">
        <v>395</v>
      </c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4"/>
      <c r="AN643" s="14"/>
    </row>
    <row r="644" spans="2:40" x14ac:dyDescent="0.35">
      <c r="B644" t="s">
        <v>155</v>
      </c>
      <c r="C644" s="14">
        <v>0.168335058302753</v>
      </c>
      <c r="D644" s="14">
        <v>0.21153445006438301</v>
      </c>
      <c r="E644" s="14">
        <v>0.121818887162972</v>
      </c>
      <c r="F644" s="14"/>
      <c r="G644" s="14" t="s">
        <v>76</v>
      </c>
      <c r="H644" s="14">
        <v>0.168335058302753</v>
      </c>
      <c r="I644" s="14" t="s">
        <v>76</v>
      </c>
      <c r="J644" s="14"/>
      <c r="K644" s="14">
        <v>0.168335058302753</v>
      </c>
      <c r="L644" s="14" t="s">
        <v>76</v>
      </c>
      <c r="M644" s="14" t="s">
        <v>76</v>
      </c>
      <c r="N644" s="14"/>
      <c r="O644" s="14">
        <v>0.14857362325231199</v>
      </c>
      <c r="P644" s="14">
        <v>0.30997661582946201</v>
      </c>
      <c r="Q644" s="14"/>
      <c r="R644" s="14">
        <v>0.33505875559447501</v>
      </c>
      <c r="S644" s="14">
        <v>0.18217959567070199</v>
      </c>
      <c r="T644" s="14">
        <v>5.7134673437356398E-2</v>
      </c>
      <c r="U644" s="14">
        <v>0.13134907785123001</v>
      </c>
      <c r="V644" s="14">
        <v>0.107073480895695</v>
      </c>
      <c r="W644" s="14">
        <v>0.27023997065370298</v>
      </c>
      <c r="X644" s="14">
        <v>8.9336768264045796E-2</v>
      </c>
      <c r="Y644" s="14">
        <v>9.2963094606873298E-2</v>
      </c>
      <c r="Z644" s="14">
        <v>0.18008344749830299</v>
      </c>
      <c r="AA644" s="14"/>
      <c r="AB644" s="14" t="s">
        <v>76</v>
      </c>
      <c r="AC644" s="14" t="s">
        <v>76</v>
      </c>
      <c r="AD644" s="14" t="s">
        <v>76</v>
      </c>
      <c r="AE644" s="14" t="s">
        <v>76</v>
      </c>
      <c r="AF644" s="14"/>
      <c r="AG644" s="14" t="s">
        <v>76</v>
      </c>
      <c r="AH644" s="14" t="s">
        <v>76</v>
      </c>
      <c r="AI644" s="14"/>
      <c r="AJ644" s="14" t="s">
        <v>76</v>
      </c>
      <c r="AK644" s="14" t="s">
        <v>76</v>
      </c>
      <c r="AL644" s="14"/>
      <c r="AM644" s="14">
        <v>0.22060635838422801</v>
      </c>
      <c r="AN644" s="14">
        <v>8.6445030060644301E-2</v>
      </c>
    </row>
    <row r="645" spans="2:40" x14ac:dyDescent="0.35">
      <c r="B645" t="s">
        <v>156</v>
      </c>
      <c r="C645" s="14">
        <v>0.54691477812633404</v>
      </c>
      <c r="D645" s="14">
        <v>0.53945909736594999</v>
      </c>
      <c r="E645" s="14">
        <v>0.55299151305561201</v>
      </c>
      <c r="F645" s="14"/>
      <c r="G645" s="14" t="s">
        <v>76</v>
      </c>
      <c r="H645" s="14">
        <v>0.54691477812633404</v>
      </c>
      <c r="I645" s="14" t="s">
        <v>76</v>
      </c>
      <c r="J645" s="14"/>
      <c r="K645" s="14">
        <v>0.54691477812633404</v>
      </c>
      <c r="L645" s="14" t="s">
        <v>76</v>
      </c>
      <c r="M645" s="14" t="s">
        <v>76</v>
      </c>
      <c r="N645" s="14"/>
      <c r="O645" s="14">
        <v>0.54707891821399002</v>
      </c>
      <c r="P645" s="14">
        <v>0.58130200987130598</v>
      </c>
      <c r="Q645" s="14"/>
      <c r="R645" s="14">
        <v>0.48255021130272602</v>
      </c>
      <c r="S645" s="14">
        <v>0.47691866701069202</v>
      </c>
      <c r="T645" s="14">
        <v>0.527875894749957</v>
      </c>
      <c r="U645" s="14">
        <v>0.571520190960212</v>
      </c>
      <c r="V645" s="14">
        <v>0.50553562927575901</v>
      </c>
      <c r="W645" s="14">
        <v>0.50783441518600503</v>
      </c>
      <c r="X645" s="14">
        <v>0.716220750970465</v>
      </c>
      <c r="Y645" s="14">
        <v>0.49093576749276102</v>
      </c>
      <c r="Z645" s="14">
        <v>0.63935649691632601</v>
      </c>
      <c r="AA645" s="14"/>
      <c r="AB645" s="14" t="s">
        <v>76</v>
      </c>
      <c r="AC645" s="14" t="s">
        <v>76</v>
      </c>
      <c r="AD645" s="14" t="s">
        <v>76</v>
      </c>
      <c r="AE645" s="14" t="s">
        <v>76</v>
      </c>
      <c r="AF645" s="14"/>
      <c r="AG645" s="14" t="s">
        <v>76</v>
      </c>
      <c r="AH645" s="14" t="s">
        <v>76</v>
      </c>
      <c r="AI645" s="14"/>
      <c r="AJ645" s="14" t="s">
        <v>76</v>
      </c>
      <c r="AK645" s="14" t="s">
        <v>76</v>
      </c>
      <c r="AL645" s="14"/>
      <c r="AM645" s="14">
        <v>0.52479082879681405</v>
      </c>
      <c r="AN645" s="14">
        <v>0.57582450095286397</v>
      </c>
    </row>
    <row r="646" spans="2:40" x14ac:dyDescent="0.35">
      <c r="B646" t="s">
        <v>157</v>
      </c>
      <c r="C646" s="14">
        <v>0.19713346747399399</v>
      </c>
      <c r="D646" s="14">
        <v>0.162439462377196</v>
      </c>
      <c r="E646" s="14">
        <v>0.23602057082446501</v>
      </c>
      <c r="F646" s="14"/>
      <c r="G646" s="14" t="s">
        <v>76</v>
      </c>
      <c r="H646" s="14">
        <v>0.19713346747399399</v>
      </c>
      <c r="I646" s="14" t="s">
        <v>76</v>
      </c>
      <c r="J646" s="14"/>
      <c r="K646" s="14">
        <v>0.19713346747399399</v>
      </c>
      <c r="L646" s="14" t="s">
        <v>76</v>
      </c>
      <c r="M646" s="14" t="s">
        <v>76</v>
      </c>
      <c r="N646" s="14"/>
      <c r="O646" s="14">
        <v>0.21379499330224899</v>
      </c>
      <c r="P646" s="14">
        <v>8.7206794057702305E-2</v>
      </c>
      <c r="Q646" s="14"/>
      <c r="R646" s="14">
        <v>0.104304371137015</v>
      </c>
      <c r="S646" s="14">
        <v>0.253964845172721</v>
      </c>
      <c r="T646" s="14">
        <v>0.28389649862285599</v>
      </c>
      <c r="U646" s="14">
        <v>0.16776904609610399</v>
      </c>
      <c r="V646" s="14">
        <v>0.28172007816101402</v>
      </c>
      <c r="W646" s="14">
        <v>0.16163682147076899</v>
      </c>
      <c r="X646" s="14">
        <v>0.12806708807298001</v>
      </c>
      <c r="Y646" s="14">
        <v>0.360498634285566</v>
      </c>
      <c r="Z646" s="14">
        <v>0.126814564740728</v>
      </c>
      <c r="AA646" s="14"/>
      <c r="AB646" s="14" t="s">
        <v>76</v>
      </c>
      <c r="AC646" s="14" t="s">
        <v>76</v>
      </c>
      <c r="AD646" s="14" t="s">
        <v>76</v>
      </c>
      <c r="AE646" s="14" t="s">
        <v>76</v>
      </c>
      <c r="AF646" s="14"/>
      <c r="AG646" s="14" t="s">
        <v>76</v>
      </c>
      <c r="AH646" s="14" t="s">
        <v>76</v>
      </c>
      <c r="AI646" s="14"/>
      <c r="AJ646" s="14" t="s">
        <v>76</v>
      </c>
      <c r="AK646" s="14" t="s">
        <v>76</v>
      </c>
      <c r="AL646" s="14"/>
      <c r="AM646" s="14">
        <v>0.18953562727760301</v>
      </c>
      <c r="AN646" s="14">
        <v>0.22598313249827501</v>
      </c>
    </row>
    <row r="647" spans="2:40" x14ac:dyDescent="0.35">
      <c r="B647" t="s">
        <v>158</v>
      </c>
      <c r="C647" s="14">
        <v>7.1485446615704995E-2</v>
      </c>
      <c r="D647" s="14">
        <v>5.9936568616045897E-2</v>
      </c>
      <c r="E647" s="14">
        <v>8.4457101563440704E-2</v>
      </c>
      <c r="F647" s="14"/>
      <c r="G647" s="14" t="s">
        <v>76</v>
      </c>
      <c r="H647" s="14">
        <v>7.1485446615704995E-2</v>
      </c>
      <c r="I647" s="14" t="s">
        <v>76</v>
      </c>
      <c r="J647" s="14"/>
      <c r="K647" s="14">
        <v>7.1485446615704995E-2</v>
      </c>
      <c r="L647" s="14" t="s">
        <v>76</v>
      </c>
      <c r="M647" s="14" t="s">
        <v>76</v>
      </c>
      <c r="N647" s="14"/>
      <c r="O647" s="14">
        <v>7.4557412578598797E-2</v>
      </c>
      <c r="P647" s="14">
        <v>2.1514580241530301E-2</v>
      </c>
      <c r="Q647" s="14"/>
      <c r="R647" s="14">
        <v>7.8086661965783094E-2</v>
      </c>
      <c r="S647" s="14">
        <v>7.2660107834265297E-2</v>
      </c>
      <c r="T647" s="14">
        <v>0.11104992413211701</v>
      </c>
      <c r="U647" s="14">
        <v>8.6630846964510094E-2</v>
      </c>
      <c r="V647" s="14">
        <v>8.0294596292316195E-2</v>
      </c>
      <c r="W647" s="14">
        <v>3.9718995477214303E-2</v>
      </c>
      <c r="X647" s="14">
        <v>6.6375392692509305E-2</v>
      </c>
      <c r="Y647" s="14">
        <v>5.56025036148E-2</v>
      </c>
      <c r="Z647" s="14">
        <v>3.6460897430181501E-2</v>
      </c>
      <c r="AA647" s="14"/>
      <c r="AB647" s="14" t="s">
        <v>76</v>
      </c>
      <c r="AC647" s="14" t="s">
        <v>76</v>
      </c>
      <c r="AD647" s="14" t="s">
        <v>76</v>
      </c>
      <c r="AE647" s="14" t="s">
        <v>76</v>
      </c>
      <c r="AF647" s="14"/>
      <c r="AG647" s="14" t="s">
        <v>76</v>
      </c>
      <c r="AH647" s="14" t="s">
        <v>76</v>
      </c>
      <c r="AI647" s="14"/>
      <c r="AJ647" s="14" t="s">
        <v>76</v>
      </c>
      <c r="AK647" s="14" t="s">
        <v>76</v>
      </c>
      <c r="AL647" s="14"/>
      <c r="AM647" s="14">
        <v>4.6086956035168901E-2</v>
      </c>
      <c r="AN647" s="14">
        <v>9.0407123009045104E-2</v>
      </c>
    </row>
    <row r="648" spans="2:40" x14ac:dyDescent="0.35">
      <c r="B648" t="s">
        <v>70</v>
      </c>
      <c r="C648" s="14">
        <v>1.6131249481213899E-2</v>
      </c>
      <c r="D648" s="14">
        <v>2.6630421576425499E-2</v>
      </c>
      <c r="E648" s="14">
        <v>4.7119273935109403E-3</v>
      </c>
      <c r="F648" s="14"/>
      <c r="G648" s="14" t="s">
        <v>76</v>
      </c>
      <c r="H648" s="14">
        <v>1.6131249481213899E-2</v>
      </c>
      <c r="I648" s="14" t="s">
        <v>76</v>
      </c>
      <c r="J648" s="14"/>
      <c r="K648" s="14">
        <v>1.6131249481213899E-2</v>
      </c>
      <c r="L648" s="14" t="s">
        <v>76</v>
      </c>
      <c r="M648" s="14" t="s">
        <v>76</v>
      </c>
      <c r="N648" s="14"/>
      <c r="O648" s="14">
        <v>1.5995052652850499E-2</v>
      </c>
      <c r="P648" s="14">
        <v>0</v>
      </c>
      <c r="Q648" s="14"/>
      <c r="R648" s="14">
        <v>0</v>
      </c>
      <c r="S648" s="14">
        <v>1.42767843116198E-2</v>
      </c>
      <c r="T648" s="14">
        <v>2.00430090577138E-2</v>
      </c>
      <c r="U648" s="14">
        <v>4.2730838127943503E-2</v>
      </c>
      <c r="V648" s="14">
        <v>2.5376215375215599E-2</v>
      </c>
      <c r="W648" s="14">
        <v>2.0569797212309501E-2</v>
      </c>
      <c r="X648" s="14">
        <v>0</v>
      </c>
      <c r="Y648" s="14">
        <v>0</v>
      </c>
      <c r="Z648" s="14">
        <v>1.7284593414460599E-2</v>
      </c>
      <c r="AA648" s="14"/>
      <c r="AB648" s="14" t="s">
        <v>76</v>
      </c>
      <c r="AC648" s="14" t="s">
        <v>76</v>
      </c>
      <c r="AD648" s="14" t="s">
        <v>76</v>
      </c>
      <c r="AE648" s="14" t="s">
        <v>76</v>
      </c>
      <c r="AF648" s="14"/>
      <c r="AG648" s="14" t="s">
        <v>76</v>
      </c>
      <c r="AH648" s="14" t="s">
        <v>76</v>
      </c>
      <c r="AI648" s="14"/>
      <c r="AJ648" s="14" t="s">
        <v>76</v>
      </c>
      <c r="AK648" s="14" t="s">
        <v>76</v>
      </c>
      <c r="AL648" s="14"/>
      <c r="AM648" s="14">
        <v>1.8980229506186198E-2</v>
      </c>
      <c r="AN648" s="14">
        <v>2.13402134791719E-2</v>
      </c>
    </row>
    <row r="649" spans="2:40" x14ac:dyDescent="0.35"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4"/>
      <c r="AN649" s="14"/>
    </row>
    <row r="650" spans="2:40" x14ac:dyDescent="0.35">
      <c r="B650" s="6" t="s">
        <v>220</v>
      </c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4"/>
      <c r="AN650" s="14"/>
    </row>
    <row r="651" spans="2:40" x14ac:dyDescent="0.35">
      <c r="B651" s="26" t="s">
        <v>395</v>
      </c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</row>
    <row r="652" spans="2:40" x14ac:dyDescent="0.35">
      <c r="B652" t="s">
        <v>160</v>
      </c>
      <c r="C652" s="14">
        <v>0.18523316084897601</v>
      </c>
      <c r="D652" s="14">
        <v>0.24077569232500801</v>
      </c>
      <c r="E652" s="14">
        <v>0.12528258531853001</v>
      </c>
      <c r="F652" s="14"/>
      <c r="G652" s="14" t="s">
        <v>76</v>
      </c>
      <c r="H652" s="14">
        <v>0.18523316084897601</v>
      </c>
      <c r="I652" s="14" t="s">
        <v>76</v>
      </c>
      <c r="J652" s="14"/>
      <c r="K652" s="14">
        <v>0.18523316084897601</v>
      </c>
      <c r="L652" s="14" t="s">
        <v>76</v>
      </c>
      <c r="M652" s="14" t="s">
        <v>76</v>
      </c>
      <c r="N652" s="14"/>
      <c r="O652" s="14">
        <v>0.16289240252891901</v>
      </c>
      <c r="P652" s="14">
        <v>0.33129715826105999</v>
      </c>
      <c r="Q652" s="14"/>
      <c r="R652" s="14">
        <v>0.35499593681034702</v>
      </c>
      <c r="S652" s="14">
        <v>0.198284781566965</v>
      </c>
      <c r="T652" s="14">
        <v>0.119254801204393</v>
      </c>
      <c r="U652" s="14">
        <v>0.131967880792108</v>
      </c>
      <c r="V652" s="14">
        <v>0.183202123142504</v>
      </c>
      <c r="W652" s="14">
        <v>0.236739067831615</v>
      </c>
      <c r="X652" s="14">
        <v>0.15415237801155399</v>
      </c>
      <c r="Y652" s="14">
        <v>0</v>
      </c>
      <c r="Z652" s="14">
        <v>0.160006703662225</v>
      </c>
      <c r="AA652" s="14"/>
      <c r="AB652" s="14" t="s">
        <v>76</v>
      </c>
      <c r="AC652" s="14" t="s">
        <v>76</v>
      </c>
      <c r="AD652" s="14" t="s">
        <v>76</v>
      </c>
      <c r="AE652" s="14" t="s">
        <v>76</v>
      </c>
      <c r="AF652" s="14"/>
      <c r="AG652" s="14" t="s">
        <v>76</v>
      </c>
      <c r="AH652" s="14" t="s">
        <v>76</v>
      </c>
      <c r="AI652" s="14"/>
      <c r="AJ652" s="14" t="s">
        <v>76</v>
      </c>
      <c r="AK652" s="14" t="s">
        <v>76</v>
      </c>
      <c r="AL652" s="14"/>
      <c r="AM652" s="14">
        <v>0.26800662018301502</v>
      </c>
      <c r="AN652" s="14">
        <v>1.38170289236993E-2</v>
      </c>
    </row>
    <row r="653" spans="2:40" x14ac:dyDescent="0.35">
      <c r="B653" t="s">
        <v>161</v>
      </c>
      <c r="C653" s="14">
        <v>0.53894382123680395</v>
      </c>
      <c r="D653" s="14">
        <v>0.51203361931942304</v>
      </c>
      <c r="E653" s="14">
        <v>0.56628094922013905</v>
      </c>
      <c r="F653" s="14"/>
      <c r="G653" s="14" t="s">
        <v>76</v>
      </c>
      <c r="H653" s="14">
        <v>0.53894382123680395</v>
      </c>
      <c r="I653" s="14" t="s">
        <v>76</v>
      </c>
      <c r="J653" s="14"/>
      <c r="K653" s="14">
        <v>0.53894382123680395</v>
      </c>
      <c r="L653" s="14" t="s">
        <v>76</v>
      </c>
      <c r="M653" s="14" t="s">
        <v>76</v>
      </c>
      <c r="N653" s="14"/>
      <c r="O653" s="14">
        <v>0.54401325017091695</v>
      </c>
      <c r="P653" s="14">
        <v>0.52869600513987802</v>
      </c>
      <c r="Q653" s="14"/>
      <c r="R653" s="14">
        <v>0.422688350961477</v>
      </c>
      <c r="S653" s="14">
        <v>0.45260185179607398</v>
      </c>
      <c r="T653" s="14">
        <v>0.60068070378919503</v>
      </c>
      <c r="U653" s="14">
        <v>0.59056191922707901</v>
      </c>
      <c r="V653" s="14">
        <v>0.50563754594868504</v>
      </c>
      <c r="W653" s="14">
        <v>0.57992868271071996</v>
      </c>
      <c r="X653" s="14">
        <v>0.60351535823972502</v>
      </c>
      <c r="Y653" s="14">
        <v>0.64166782714896597</v>
      </c>
      <c r="Z653" s="14">
        <v>0.55434643674299</v>
      </c>
      <c r="AA653" s="14"/>
      <c r="AB653" s="14" t="s">
        <v>76</v>
      </c>
      <c r="AC653" s="14" t="s">
        <v>76</v>
      </c>
      <c r="AD653" s="14" t="s">
        <v>76</v>
      </c>
      <c r="AE653" s="14" t="s">
        <v>76</v>
      </c>
      <c r="AF653" s="14"/>
      <c r="AG653" s="14" t="s">
        <v>76</v>
      </c>
      <c r="AH653" s="14" t="s">
        <v>76</v>
      </c>
      <c r="AI653" s="14"/>
      <c r="AJ653" s="14" t="s">
        <v>76</v>
      </c>
      <c r="AK653" s="14" t="s">
        <v>76</v>
      </c>
      <c r="AL653" s="14"/>
      <c r="AM653" s="14">
        <v>0.55078670302090305</v>
      </c>
      <c r="AN653" s="14">
        <v>0.48304520383363297</v>
      </c>
    </row>
    <row r="654" spans="2:40" x14ac:dyDescent="0.35">
      <c r="B654" t="s">
        <v>162</v>
      </c>
      <c r="C654" s="14">
        <v>0.22827263950159399</v>
      </c>
      <c r="D654" s="14">
        <v>0.19641301411760501</v>
      </c>
      <c r="E654" s="14">
        <v>0.26420021786424303</v>
      </c>
      <c r="F654" s="14"/>
      <c r="G654" s="14" t="s">
        <v>76</v>
      </c>
      <c r="H654" s="14">
        <v>0.22827263950159399</v>
      </c>
      <c r="I654" s="14" t="s">
        <v>76</v>
      </c>
      <c r="J654" s="14"/>
      <c r="K654" s="14">
        <v>0.22827263950159399</v>
      </c>
      <c r="L654" s="14" t="s">
        <v>76</v>
      </c>
      <c r="M654" s="14" t="s">
        <v>76</v>
      </c>
      <c r="N654" s="14"/>
      <c r="O654" s="14">
        <v>0.243414854210696</v>
      </c>
      <c r="P654" s="14">
        <v>0.119245457452437</v>
      </c>
      <c r="Q654" s="14"/>
      <c r="R654" s="14">
        <v>0.20312011081623099</v>
      </c>
      <c r="S654" s="14">
        <v>0.276453259014939</v>
      </c>
      <c r="T654" s="14">
        <v>0.17038610561411099</v>
      </c>
      <c r="U654" s="14">
        <v>0.23473936140853099</v>
      </c>
      <c r="V654" s="14">
        <v>0.25523811946133002</v>
      </c>
      <c r="W654" s="14">
        <v>0.148006001746219</v>
      </c>
      <c r="X654" s="14">
        <v>0.24233226374872099</v>
      </c>
      <c r="Y654" s="14">
        <v>0.26536907560253398</v>
      </c>
      <c r="Z654" s="14">
        <v>0.26836226618032499</v>
      </c>
      <c r="AA654" s="14"/>
      <c r="AB654" s="14" t="s">
        <v>76</v>
      </c>
      <c r="AC654" s="14" t="s">
        <v>76</v>
      </c>
      <c r="AD654" s="14" t="s">
        <v>76</v>
      </c>
      <c r="AE654" s="14" t="s">
        <v>76</v>
      </c>
      <c r="AF654" s="14"/>
      <c r="AG654" s="14" t="s">
        <v>76</v>
      </c>
      <c r="AH654" s="14" t="s">
        <v>76</v>
      </c>
      <c r="AI654" s="14"/>
      <c r="AJ654" s="14" t="s">
        <v>76</v>
      </c>
      <c r="AK654" s="14" t="s">
        <v>76</v>
      </c>
      <c r="AL654" s="14"/>
      <c r="AM654" s="14">
        <v>0.14950957367255799</v>
      </c>
      <c r="AN654" s="14">
        <v>0.40761283766159601</v>
      </c>
    </row>
    <row r="655" spans="2:40" x14ac:dyDescent="0.35">
      <c r="B655" t="s">
        <v>163</v>
      </c>
      <c r="C655" s="14">
        <v>3.3382627375992999E-2</v>
      </c>
      <c r="D655" s="14">
        <v>3.6823883539730103E-2</v>
      </c>
      <c r="E655" s="14">
        <v>2.9769072452087798E-2</v>
      </c>
      <c r="F655" s="14"/>
      <c r="G655" s="14" t="s">
        <v>76</v>
      </c>
      <c r="H655" s="14">
        <v>3.3382627375992999E-2</v>
      </c>
      <c r="I655" s="14" t="s">
        <v>76</v>
      </c>
      <c r="J655" s="14"/>
      <c r="K655" s="14">
        <v>3.3382627375992999E-2</v>
      </c>
      <c r="L655" s="14" t="s">
        <v>76</v>
      </c>
      <c r="M655" s="14" t="s">
        <v>76</v>
      </c>
      <c r="N655" s="14"/>
      <c r="O655" s="14">
        <v>3.8666714949492302E-2</v>
      </c>
      <c r="P655" s="14">
        <v>0</v>
      </c>
      <c r="Q655" s="14"/>
      <c r="R655" s="14">
        <v>1.91956014119441E-2</v>
      </c>
      <c r="S655" s="14">
        <v>4.2089625510059597E-2</v>
      </c>
      <c r="T655" s="14">
        <v>8.9635380334587594E-2</v>
      </c>
      <c r="U655" s="14">
        <v>4.2730838572281798E-2</v>
      </c>
      <c r="V655" s="14">
        <v>3.0545996072265501E-2</v>
      </c>
      <c r="W655" s="14">
        <v>3.5326247711446199E-2</v>
      </c>
      <c r="X655" s="14">
        <v>0</v>
      </c>
      <c r="Y655" s="14">
        <v>0</v>
      </c>
      <c r="Z655" s="14">
        <v>1.7284593414460599E-2</v>
      </c>
      <c r="AA655" s="14"/>
      <c r="AB655" s="14" t="s">
        <v>76</v>
      </c>
      <c r="AC655" s="14" t="s">
        <v>76</v>
      </c>
      <c r="AD655" s="14" t="s">
        <v>76</v>
      </c>
      <c r="AE655" s="14" t="s">
        <v>76</v>
      </c>
      <c r="AF655" s="14"/>
      <c r="AG655" s="14" t="s">
        <v>76</v>
      </c>
      <c r="AH655" s="14" t="s">
        <v>76</v>
      </c>
      <c r="AI655" s="14"/>
      <c r="AJ655" s="14" t="s">
        <v>76</v>
      </c>
      <c r="AK655" s="14" t="s">
        <v>76</v>
      </c>
      <c r="AL655" s="14"/>
      <c r="AM655" s="14">
        <v>2.02711937605079E-2</v>
      </c>
      <c r="AN655" s="14">
        <v>7.1693663494406798E-2</v>
      </c>
    </row>
    <row r="656" spans="2:40" x14ac:dyDescent="0.35">
      <c r="B656" t="s">
        <v>70</v>
      </c>
      <c r="C656" s="14">
        <v>1.4167751036633199E-2</v>
      </c>
      <c r="D656" s="14">
        <v>1.3953790698234599E-2</v>
      </c>
      <c r="E656" s="14">
        <v>1.4467175144999799E-2</v>
      </c>
      <c r="F656" s="14"/>
      <c r="G656" s="14" t="s">
        <v>76</v>
      </c>
      <c r="H656" s="14">
        <v>1.4167751036633199E-2</v>
      </c>
      <c r="I656" s="14" t="s">
        <v>76</v>
      </c>
      <c r="J656" s="14"/>
      <c r="K656" s="14">
        <v>1.4167751036633199E-2</v>
      </c>
      <c r="L656" s="14" t="s">
        <v>76</v>
      </c>
      <c r="M656" s="14" t="s">
        <v>76</v>
      </c>
      <c r="N656" s="14"/>
      <c r="O656" s="14">
        <v>1.10127781399759E-2</v>
      </c>
      <c r="P656" s="14">
        <v>2.0761379146625999E-2</v>
      </c>
      <c r="Q656" s="14"/>
      <c r="R656" s="14">
        <v>0</v>
      </c>
      <c r="S656" s="14">
        <v>3.0570482111962699E-2</v>
      </c>
      <c r="T656" s="14">
        <v>2.00430090577138E-2</v>
      </c>
      <c r="U656" s="14">
        <v>0</v>
      </c>
      <c r="V656" s="14">
        <v>2.5376215375215599E-2</v>
      </c>
      <c r="W656" s="14">
        <v>0</v>
      </c>
      <c r="X656" s="14">
        <v>0</v>
      </c>
      <c r="Y656" s="14">
        <v>9.2963097248500201E-2</v>
      </c>
      <c r="Z656" s="14">
        <v>0</v>
      </c>
      <c r="AA656" s="14"/>
      <c r="AB656" s="14" t="s">
        <v>76</v>
      </c>
      <c r="AC656" s="14" t="s">
        <v>76</v>
      </c>
      <c r="AD656" s="14" t="s">
        <v>76</v>
      </c>
      <c r="AE656" s="14" t="s">
        <v>76</v>
      </c>
      <c r="AF656" s="14"/>
      <c r="AG656" s="14" t="s">
        <v>76</v>
      </c>
      <c r="AH656" s="14" t="s">
        <v>76</v>
      </c>
      <c r="AI656" s="14"/>
      <c r="AJ656" s="14" t="s">
        <v>76</v>
      </c>
      <c r="AK656" s="14" t="s">
        <v>76</v>
      </c>
      <c r="AL656" s="14"/>
      <c r="AM656" s="14">
        <v>1.1425909363015799E-2</v>
      </c>
      <c r="AN656" s="14">
        <v>2.3831266086664499E-2</v>
      </c>
    </row>
    <row r="657" spans="2:40" x14ac:dyDescent="0.35">
      <c r="B657" t="s">
        <v>164</v>
      </c>
      <c r="C657" s="14">
        <v>0.72417698208577996</v>
      </c>
      <c r="D657" s="14">
        <v>0.75280931164442999</v>
      </c>
      <c r="E657" s="14">
        <v>0.69156353453866903</v>
      </c>
      <c r="F657" s="14"/>
      <c r="G657" s="14" t="s">
        <v>76</v>
      </c>
      <c r="H657" s="14">
        <v>0.72417698208577996</v>
      </c>
      <c r="I657" s="14" t="s">
        <v>76</v>
      </c>
      <c r="J657" s="14"/>
      <c r="K657" s="14">
        <v>0.72417698208577996</v>
      </c>
      <c r="L657" s="14" t="s">
        <v>76</v>
      </c>
      <c r="M657" s="14" t="s">
        <v>76</v>
      </c>
      <c r="N657" s="14"/>
      <c r="O657" s="14">
        <v>0.70690565269983596</v>
      </c>
      <c r="P657" s="14">
        <v>0.85999316340093701</v>
      </c>
      <c r="Q657" s="14"/>
      <c r="R657" s="14">
        <v>0.77768428777182497</v>
      </c>
      <c r="S657" s="14">
        <v>0.65088663336303898</v>
      </c>
      <c r="T657" s="14">
        <v>0.71993550499358705</v>
      </c>
      <c r="U657" s="14">
        <v>0.72252980001918699</v>
      </c>
      <c r="V657" s="14">
        <v>0.68883966909118899</v>
      </c>
      <c r="W657" s="14">
        <v>0.81666775054233498</v>
      </c>
      <c r="X657" s="14">
        <v>0.75766773625127903</v>
      </c>
      <c r="Y657" s="14">
        <v>0.64166782714896597</v>
      </c>
      <c r="Z657" s="14">
        <v>0.71435314040521503</v>
      </c>
      <c r="AA657" s="14"/>
      <c r="AB657" s="14" t="s">
        <v>76</v>
      </c>
      <c r="AC657" s="14" t="s">
        <v>76</v>
      </c>
      <c r="AD657" s="14" t="s">
        <v>76</v>
      </c>
      <c r="AE657" s="14" t="s">
        <v>76</v>
      </c>
      <c r="AF657" s="14"/>
      <c r="AG657" s="14" t="s">
        <v>76</v>
      </c>
      <c r="AH657" s="14" t="s">
        <v>76</v>
      </c>
      <c r="AI657" s="14"/>
      <c r="AJ657" s="14" t="s">
        <v>76</v>
      </c>
      <c r="AK657" s="14" t="s">
        <v>76</v>
      </c>
      <c r="AL657" s="14"/>
      <c r="AM657" s="14">
        <v>0.81879332320391796</v>
      </c>
      <c r="AN657" s="14">
        <v>0.49686223275733199</v>
      </c>
    </row>
    <row r="658" spans="2:40" x14ac:dyDescent="0.35"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/>
      <c r="AM658" s="14"/>
      <c r="AN658" s="14"/>
    </row>
    <row r="659" spans="2:40" x14ac:dyDescent="0.35">
      <c r="B659" s="6" t="s">
        <v>221</v>
      </c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4"/>
      <c r="AN659" s="14"/>
    </row>
    <row r="660" spans="2:40" x14ac:dyDescent="0.35">
      <c r="B660" s="26" t="s">
        <v>395</v>
      </c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4"/>
      <c r="AN660" s="14"/>
    </row>
    <row r="661" spans="2:40" x14ac:dyDescent="0.35">
      <c r="B661" t="s">
        <v>166</v>
      </c>
      <c r="C661" s="14">
        <v>0.161100648246498</v>
      </c>
      <c r="D661" s="14">
        <v>0.18950441659526701</v>
      </c>
      <c r="E661" s="14">
        <v>0.13074811388660901</v>
      </c>
      <c r="F661" s="14"/>
      <c r="G661" s="14" t="s">
        <v>76</v>
      </c>
      <c r="H661" s="14">
        <v>0.161100648246498</v>
      </c>
      <c r="I661" s="14" t="s">
        <v>76</v>
      </c>
      <c r="J661" s="14"/>
      <c r="K661" s="14">
        <v>0.161100648246498</v>
      </c>
      <c r="L661" s="14" t="s">
        <v>76</v>
      </c>
      <c r="M661" s="14" t="s">
        <v>76</v>
      </c>
      <c r="N661" s="14"/>
      <c r="O661" s="14">
        <v>0.14076888335974</v>
      </c>
      <c r="P661" s="14">
        <v>0.28660849035292002</v>
      </c>
      <c r="Q661" s="14"/>
      <c r="R661" s="14">
        <v>0.300638859913124</v>
      </c>
      <c r="S661" s="14">
        <v>0.144140554556907</v>
      </c>
      <c r="T661" s="14">
        <v>0.100215047270393</v>
      </c>
      <c r="U661" s="14">
        <v>6.6434596831808093E-2</v>
      </c>
      <c r="V661" s="14">
        <v>0.132449692035536</v>
      </c>
      <c r="W661" s="14">
        <v>0.29448163079914702</v>
      </c>
      <c r="X661" s="14">
        <v>0.15378572903224699</v>
      </c>
      <c r="Y661" s="14">
        <v>4.6771099399734298E-2</v>
      </c>
      <c r="Z661" s="14">
        <v>0.143451272074719</v>
      </c>
      <c r="AA661" s="14"/>
      <c r="AB661" s="14" t="s">
        <v>76</v>
      </c>
      <c r="AC661" s="14" t="s">
        <v>76</v>
      </c>
      <c r="AD661" s="14" t="s">
        <v>76</v>
      </c>
      <c r="AE661" s="14" t="s">
        <v>76</v>
      </c>
      <c r="AF661" s="14"/>
      <c r="AG661" s="14" t="s">
        <v>76</v>
      </c>
      <c r="AH661" s="14" t="s">
        <v>76</v>
      </c>
      <c r="AI661" s="14"/>
      <c r="AJ661" s="14" t="s">
        <v>76</v>
      </c>
      <c r="AK661" s="14" t="s">
        <v>76</v>
      </c>
      <c r="AL661" s="14"/>
      <c r="AM661" s="14">
        <v>0.232894347287256</v>
      </c>
      <c r="AN661" s="14">
        <v>1.38170289236993E-2</v>
      </c>
    </row>
    <row r="662" spans="2:40" x14ac:dyDescent="0.35">
      <c r="B662" t="s">
        <v>167</v>
      </c>
      <c r="C662" s="14">
        <v>0.450623727256035</v>
      </c>
      <c r="D662" s="14">
        <v>0.44575376547972001</v>
      </c>
      <c r="E662" s="14">
        <v>0.45342672014254098</v>
      </c>
      <c r="F662" s="14"/>
      <c r="G662" s="14" t="s">
        <v>76</v>
      </c>
      <c r="H662" s="14">
        <v>0.450623727256035</v>
      </c>
      <c r="I662" s="14" t="s">
        <v>76</v>
      </c>
      <c r="J662" s="14"/>
      <c r="K662" s="14">
        <v>0.450623727256035</v>
      </c>
      <c r="L662" s="14" t="s">
        <v>76</v>
      </c>
      <c r="M662" s="14" t="s">
        <v>76</v>
      </c>
      <c r="N662" s="14"/>
      <c r="O662" s="14">
        <v>0.450319295679312</v>
      </c>
      <c r="P662" s="14">
        <v>0.50365763397688501</v>
      </c>
      <c r="Q662" s="14"/>
      <c r="R662" s="14">
        <v>0.42016752629623799</v>
      </c>
      <c r="S662" s="14">
        <v>0.376477442734864</v>
      </c>
      <c r="T662" s="14">
        <v>0.51878660424666401</v>
      </c>
      <c r="U662" s="14">
        <v>0.52960483030629901</v>
      </c>
      <c r="V662" s="14">
        <v>0.42695121839582001</v>
      </c>
      <c r="W662" s="14">
        <v>0.33215148538745898</v>
      </c>
      <c r="X662" s="14">
        <v>0.50789450564558203</v>
      </c>
      <c r="Y662" s="14">
        <v>0.499188062243062</v>
      </c>
      <c r="Z662" s="14">
        <v>0.48236701307614799</v>
      </c>
      <c r="AA662" s="14"/>
      <c r="AB662" s="14" t="s">
        <v>76</v>
      </c>
      <c r="AC662" s="14" t="s">
        <v>76</v>
      </c>
      <c r="AD662" s="14" t="s">
        <v>76</v>
      </c>
      <c r="AE662" s="14" t="s">
        <v>76</v>
      </c>
      <c r="AF662" s="14"/>
      <c r="AG662" s="14" t="s">
        <v>76</v>
      </c>
      <c r="AH662" s="14" t="s">
        <v>76</v>
      </c>
      <c r="AI662" s="14"/>
      <c r="AJ662" s="14" t="s">
        <v>76</v>
      </c>
      <c r="AK662" s="14" t="s">
        <v>76</v>
      </c>
      <c r="AL662" s="14"/>
      <c r="AM662" s="14">
        <v>0.51084491007208299</v>
      </c>
      <c r="AN662" s="14">
        <v>0.29001601377145703</v>
      </c>
    </row>
    <row r="663" spans="2:40" x14ac:dyDescent="0.35">
      <c r="B663" t="s">
        <v>168</v>
      </c>
      <c r="C663" s="14">
        <v>0.284845420454721</v>
      </c>
      <c r="D663" s="14">
        <v>0.26001115659342899</v>
      </c>
      <c r="E663" s="14">
        <v>0.31334260506247502</v>
      </c>
      <c r="F663" s="14"/>
      <c r="G663" s="14" t="s">
        <v>76</v>
      </c>
      <c r="H663" s="14">
        <v>0.284845420454721</v>
      </c>
      <c r="I663" s="14" t="s">
        <v>76</v>
      </c>
      <c r="J663" s="14"/>
      <c r="K663" s="14">
        <v>0.284845420454721</v>
      </c>
      <c r="L663" s="14" t="s">
        <v>76</v>
      </c>
      <c r="M663" s="14" t="s">
        <v>76</v>
      </c>
      <c r="N663" s="14"/>
      <c r="O663" s="14">
        <v>0.29757784687557698</v>
      </c>
      <c r="P663" s="14">
        <v>0.188219295428664</v>
      </c>
      <c r="Q663" s="14"/>
      <c r="R663" s="14">
        <v>0.201360773254432</v>
      </c>
      <c r="S663" s="14">
        <v>0.34748015003801302</v>
      </c>
      <c r="T663" s="14">
        <v>0.27537541054352999</v>
      </c>
      <c r="U663" s="14">
        <v>0.26907701956882302</v>
      </c>
      <c r="V663" s="14">
        <v>0.35762910493126598</v>
      </c>
      <c r="W663" s="14">
        <v>0.28101896151145001</v>
      </c>
      <c r="X663" s="14">
        <v>0.24898299836703899</v>
      </c>
      <c r="Y663" s="14">
        <v>0.36165684794292602</v>
      </c>
      <c r="Z663" s="14">
        <v>0.270040767958799</v>
      </c>
      <c r="AA663" s="14"/>
      <c r="AB663" s="14" t="s">
        <v>76</v>
      </c>
      <c r="AC663" s="14" t="s">
        <v>76</v>
      </c>
      <c r="AD663" s="14" t="s">
        <v>76</v>
      </c>
      <c r="AE663" s="14" t="s">
        <v>76</v>
      </c>
      <c r="AF663" s="14"/>
      <c r="AG663" s="14" t="s">
        <v>76</v>
      </c>
      <c r="AH663" s="14" t="s">
        <v>76</v>
      </c>
      <c r="AI663" s="14"/>
      <c r="AJ663" s="14" t="s">
        <v>76</v>
      </c>
      <c r="AK663" s="14" t="s">
        <v>76</v>
      </c>
      <c r="AL663" s="14"/>
      <c r="AM663" s="14">
        <v>0.204314717527179</v>
      </c>
      <c r="AN663" s="14">
        <v>0.397479381613772</v>
      </c>
    </row>
    <row r="664" spans="2:40" x14ac:dyDescent="0.35">
      <c r="B664" t="s">
        <v>169</v>
      </c>
      <c r="C664" s="14">
        <v>9.8786130036613601E-2</v>
      </c>
      <c r="D664" s="14">
        <v>9.5824780735708104E-2</v>
      </c>
      <c r="E664" s="14">
        <v>0.102482560908375</v>
      </c>
      <c r="F664" s="14"/>
      <c r="G664" s="14" t="s">
        <v>76</v>
      </c>
      <c r="H664" s="14">
        <v>9.8786130036613601E-2</v>
      </c>
      <c r="I664" s="14" t="s">
        <v>76</v>
      </c>
      <c r="J664" s="14"/>
      <c r="K664" s="14">
        <v>9.8786130036613601E-2</v>
      </c>
      <c r="L664" s="14" t="s">
        <v>76</v>
      </c>
      <c r="M664" s="14" t="s">
        <v>76</v>
      </c>
      <c r="N664" s="14"/>
      <c r="O664" s="14">
        <v>0.10864438521962699</v>
      </c>
      <c r="P664" s="14">
        <v>2.1514580241530301E-2</v>
      </c>
      <c r="Q664" s="14"/>
      <c r="R664" s="14">
        <v>7.7832840536206802E-2</v>
      </c>
      <c r="S664" s="14">
        <v>0.13190185267021501</v>
      </c>
      <c r="T664" s="14">
        <v>0.105622937939414</v>
      </c>
      <c r="U664" s="14">
        <v>0.13488355329307</v>
      </c>
      <c r="V664" s="14">
        <v>3.2217553886946797E-2</v>
      </c>
      <c r="W664" s="14">
        <v>9.2347922301944399E-2</v>
      </c>
      <c r="X664" s="14">
        <v>8.93367669551315E-2</v>
      </c>
      <c r="Y664" s="14">
        <v>9.2383990414278E-2</v>
      </c>
      <c r="Z664" s="14">
        <v>0.104140946890334</v>
      </c>
      <c r="AA664" s="14"/>
      <c r="AB664" s="14" t="s">
        <v>76</v>
      </c>
      <c r="AC664" s="14" t="s">
        <v>76</v>
      </c>
      <c r="AD664" s="14" t="s">
        <v>76</v>
      </c>
      <c r="AE664" s="14" t="s">
        <v>76</v>
      </c>
      <c r="AF664" s="14"/>
      <c r="AG664" s="14" t="s">
        <v>76</v>
      </c>
      <c r="AH664" s="14" t="s">
        <v>76</v>
      </c>
      <c r="AI664" s="14"/>
      <c r="AJ664" s="14" t="s">
        <v>76</v>
      </c>
      <c r="AK664" s="14" t="s">
        <v>76</v>
      </c>
      <c r="AL664" s="14"/>
      <c r="AM664" s="14">
        <v>4.82605154687605E-2</v>
      </c>
      <c r="AN664" s="14">
        <v>0.28681253563582199</v>
      </c>
    </row>
    <row r="665" spans="2:40" x14ac:dyDescent="0.35">
      <c r="B665" t="s">
        <v>70</v>
      </c>
      <c r="C665" s="14">
        <v>4.6440740061328197E-3</v>
      </c>
      <c r="D665" s="14">
        <v>8.9058805958762994E-3</v>
      </c>
      <c r="E665" s="14">
        <v>0</v>
      </c>
      <c r="F665" s="14"/>
      <c r="G665" s="14" t="s">
        <v>76</v>
      </c>
      <c r="H665" s="14">
        <v>4.6440740061328197E-3</v>
      </c>
      <c r="I665" s="14" t="s">
        <v>76</v>
      </c>
      <c r="J665" s="14"/>
      <c r="K665" s="14">
        <v>4.6440740061328197E-3</v>
      </c>
      <c r="L665" s="14" t="s">
        <v>76</v>
      </c>
      <c r="M665" s="14" t="s">
        <v>76</v>
      </c>
      <c r="N665" s="14"/>
      <c r="O665" s="14">
        <v>2.6895888657437199E-3</v>
      </c>
      <c r="P665" s="14">
        <v>0</v>
      </c>
      <c r="Q665" s="14"/>
      <c r="R665" s="14">
        <v>0</v>
      </c>
      <c r="S665" s="14">
        <v>0</v>
      </c>
      <c r="T665" s="14">
        <v>0</v>
      </c>
      <c r="U665" s="14">
        <v>0</v>
      </c>
      <c r="V665" s="14">
        <v>5.0752430750431198E-2</v>
      </c>
      <c r="W665" s="14">
        <v>0</v>
      </c>
      <c r="X665" s="14">
        <v>0</v>
      </c>
      <c r="Y665" s="14">
        <v>0</v>
      </c>
      <c r="Z665" s="14">
        <v>0</v>
      </c>
      <c r="AA665" s="14"/>
      <c r="AB665" s="14" t="s">
        <v>76</v>
      </c>
      <c r="AC665" s="14" t="s">
        <v>76</v>
      </c>
      <c r="AD665" s="14" t="s">
        <v>76</v>
      </c>
      <c r="AE665" s="14" t="s">
        <v>76</v>
      </c>
      <c r="AF665" s="14"/>
      <c r="AG665" s="14" t="s">
        <v>76</v>
      </c>
      <c r="AH665" s="14" t="s">
        <v>76</v>
      </c>
      <c r="AI665" s="14"/>
      <c r="AJ665" s="14" t="s">
        <v>76</v>
      </c>
      <c r="AK665" s="14" t="s">
        <v>76</v>
      </c>
      <c r="AL665" s="14"/>
      <c r="AM665" s="14">
        <v>3.6855096447221498E-3</v>
      </c>
      <c r="AN665" s="14">
        <v>1.18750400552491E-2</v>
      </c>
    </row>
    <row r="666" spans="2:40" x14ac:dyDescent="0.35"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  <c r="AL666" s="14"/>
      <c r="AM666" s="14"/>
      <c r="AN666" s="14"/>
    </row>
    <row r="667" spans="2:40" x14ac:dyDescent="0.35">
      <c r="B667" s="6" t="s">
        <v>222</v>
      </c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  <c r="AL667" s="14"/>
      <c r="AM667" s="14"/>
      <c r="AN667" s="14"/>
    </row>
    <row r="668" spans="2:40" x14ac:dyDescent="0.35">
      <c r="B668" s="26" t="s">
        <v>209</v>
      </c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  <c r="AL668" s="14"/>
      <c r="AM668" s="14"/>
      <c r="AN668" s="14"/>
    </row>
    <row r="669" spans="2:40" x14ac:dyDescent="0.35">
      <c r="B669" t="s">
        <v>44</v>
      </c>
      <c r="C669" s="14">
        <v>0.68737039929153398</v>
      </c>
      <c r="D669" s="14">
        <v>0.65989071676975797</v>
      </c>
      <c r="E669" s="14">
        <v>0.723495319789906</v>
      </c>
      <c r="F669" s="14"/>
      <c r="G669" s="14" t="s">
        <v>76</v>
      </c>
      <c r="H669" s="14">
        <v>0.68737039929153398</v>
      </c>
      <c r="I669" s="14" t="s">
        <v>76</v>
      </c>
      <c r="J669" s="14"/>
      <c r="K669" s="14">
        <v>0.68737039929153398</v>
      </c>
      <c r="L669" s="14" t="s">
        <v>76</v>
      </c>
      <c r="M669" s="14" t="s">
        <v>76</v>
      </c>
      <c r="N669" s="14"/>
      <c r="O669" s="14">
        <v>0.67974974059960802</v>
      </c>
      <c r="P669" s="14">
        <v>0.77302240935942601</v>
      </c>
      <c r="Q669" s="14"/>
      <c r="R669" s="14">
        <v>0.651558419882031</v>
      </c>
      <c r="S669" s="14">
        <v>0.67924880486794803</v>
      </c>
      <c r="T669" s="14">
        <v>0.73895606214409704</v>
      </c>
      <c r="U669" s="14">
        <v>0.70558435349694204</v>
      </c>
      <c r="V669" s="14">
        <v>0.67009621125962704</v>
      </c>
      <c r="W669" s="14">
        <v>0.575091606838254</v>
      </c>
      <c r="X669" s="14">
        <v>0.73719705759273202</v>
      </c>
      <c r="Y669" s="14">
        <v>0.77476746018277298</v>
      </c>
      <c r="Z669" s="14">
        <v>0.70324831585853997</v>
      </c>
      <c r="AA669" s="14"/>
      <c r="AB669" s="14" t="s">
        <v>76</v>
      </c>
      <c r="AC669" s="14" t="s">
        <v>76</v>
      </c>
      <c r="AD669" s="14" t="s">
        <v>76</v>
      </c>
      <c r="AE669" s="14" t="s">
        <v>76</v>
      </c>
      <c r="AF669" s="14"/>
      <c r="AG669" s="14" t="s">
        <v>76</v>
      </c>
      <c r="AH669" s="14" t="s">
        <v>76</v>
      </c>
      <c r="AI669" s="14"/>
      <c r="AJ669" s="14" t="s">
        <v>76</v>
      </c>
      <c r="AK669" s="14" t="s">
        <v>76</v>
      </c>
      <c r="AL669" s="14"/>
      <c r="AM669" s="14">
        <v>0.71973019061857302</v>
      </c>
      <c r="AN669" s="14">
        <v>0.61470163300097902</v>
      </c>
    </row>
    <row r="670" spans="2:40" x14ac:dyDescent="0.35">
      <c r="B670" t="s">
        <v>45</v>
      </c>
      <c r="C670" s="14">
        <v>0.24460720765269001</v>
      </c>
      <c r="D670" s="14">
        <v>0.27318598529851701</v>
      </c>
      <c r="E670" s="14">
        <v>0.212377899365251</v>
      </c>
      <c r="F670" s="14"/>
      <c r="G670" s="14" t="s">
        <v>76</v>
      </c>
      <c r="H670" s="14">
        <v>0.24460720765269001</v>
      </c>
      <c r="I670" s="14" t="s">
        <v>76</v>
      </c>
      <c r="J670" s="14"/>
      <c r="K670" s="14">
        <v>0.24460720765269001</v>
      </c>
      <c r="L670" s="14" t="s">
        <v>76</v>
      </c>
      <c r="M670" s="14" t="s">
        <v>76</v>
      </c>
      <c r="N670" s="14"/>
      <c r="O670" s="14">
        <v>0.24870425106504901</v>
      </c>
      <c r="P670" s="14">
        <v>0.19196744933687501</v>
      </c>
      <c r="Q670" s="14"/>
      <c r="R670" s="14">
        <v>0.27265545690127502</v>
      </c>
      <c r="S670" s="14">
        <v>0.24191071070608</v>
      </c>
      <c r="T670" s="14">
        <v>0.22747063613159499</v>
      </c>
      <c r="U670" s="14">
        <v>0.16495642645551001</v>
      </c>
      <c r="V670" s="14">
        <v>0.28905696136869402</v>
      </c>
      <c r="W670" s="14">
        <v>0.34136869113442198</v>
      </c>
      <c r="X670" s="14">
        <v>0.238614449904412</v>
      </c>
      <c r="Y670" s="14">
        <v>0.136927533816883</v>
      </c>
      <c r="Z670" s="14">
        <v>0.239325189014929</v>
      </c>
      <c r="AA670" s="14"/>
      <c r="AB670" s="14" t="s">
        <v>76</v>
      </c>
      <c r="AC670" s="14" t="s">
        <v>76</v>
      </c>
      <c r="AD670" s="14" t="s">
        <v>76</v>
      </c>
      <c r="AE670" s="14" t="s">
        <v>76</v>
      </c>
      <c r="AF670" s="14"/>
      <c r="AG670" s="14" t="s">
        <v>76</v>
      </c>
      <c r="AH670" s="14" t="s">
        <v>76</v>
      </c>
      <c r="AI670" s="14"/>
      <c r="AJ670" s="14" t="s">
        <v>76</v>
      </c>
      <c r="AK670" s="14" t="s">
        <v>76</v>
      </c>
      <c r="AL670" s="14"/>
      <c r="AM670" s="14">
        <v>0.23390422688825699</v>
      </c>
      <c r="AN670" s="14">
        <v>0.28396900544173498</v>
      </c>
    </row>
    <row r="671" spans="2:40" x14ac:dyDescent="0.35">
      <c r="B671" t="s">
        <v>70</v>
      </c>
      <c r="C671" s="14">
        <v>6.8022393055775496E-2</v>
      </c>
      <c r="D671" s="14">
        <v>6.6923297931725398E-2</v>
      </c>
      <c r="E671" s="14">
        <v>6.4126780844843204E-2</v>
      </c>
      <c r="F671" s="14"/>
      <c r="G671" s="14" t="s">
        <v>76</v>
      </c>
      <c r="H671" s="14">
        <v>6.8022393055775496E-2</v>
      </c>
      <c r="I671" s="14" t="s">
        <v>76</v>
      </c>
      <c r="J671" s="14"/>
      <c r="K671" s="14">
        <v>6.8022393055775496E-2</v>
      </c>
      <c r="L671" s="14" t="s">
        <v>76</v>
      </c>
      <c r="M671" s="14" t="s">
        <v>76</v>
      </c>
      <c r="N671" s="14"/>
      <c r="O671" s="14">
        <v>7.1546008335343303E-2</v>
      </c>
      <c r="P671" s="14">
        <v>3.5010141303698297E-2</v>
      </c>
      <c r="Q671" s="14"/>
      <c r="R671" s="14">
        <v>7.5786123216693896E-2</v>
      </c>
      <c r="S671" s="14">
        <v>7.8840484425972204E-2</v>
      </c>
      <c r="T671" s="14">
        <v>3.3573301724307801E-2</v>
      </c>
      <c r="U671" s="14">
        <v>0.12945922004754801</v>
      </c>
      <c r="V671" s="14">
        <v>4.0846827371679099E-2</v>
      </c>
      <c r="W671" s="14">
        <v>8.3539702027323401E-2</v>
      </c>
      <c r="X671" s="14">
        <v>2.41884925028556E-2</v>
      </c>
      <c r="Y671" s="14">
        <v>8.83050060003438E-2</v>
      </c>
      <c r="Z671" s="14">
        <v>5.74264951265306E-2</v>
      </c>
      <c r="AA671" s="14"/>
      <c r="AB671" s="14" t="s">
        <v>76</v>
      </c>
      <c r="AC671" s="14" t="s">
        <v>76</v>
      </c>
      <c r="AD671" s="14" t="s">
        <v>76</v>
      </c>
      <c r="AE671" s="14" t="s">
        <v>76</v>
      </c>
      <c r="AF671" s="14"/>
      <c r="AG671" s="14" t="s">
        <v>76</v>
      </c>
      <c r="AH671" s="14" t="s">
        <v>76</v>
      </c>
      <c r="AI671" s="14"/>
      <c r="AJ671" s="14" t="s">
        <v>76</v>
      </c>
      <c r="AK671" s="14" t="s">
        <v>76</v>
      </c>
      <c r="AL671" s="14"/>
      <c r="AM671" s="14">
        <v>4.6365582493169799E-2</v>
      </c>
      <c r="AN671" s="14">
        <v>0.101329361557286</v>
      </c>
    </row>
    <row r="672" spans="2:40" x14ac:dyDescent="0.35"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F672" s="14"/>
      <c r="AG672" s="14"/>
      <c r="AH672" s="14"/>
      <c r="AI672" s="14"/>
      <c r="AJ672" s="14"/>
      <c r="AK672" s="14"/>
      <c r="AL672" s="14"/>
      <c r="AM672" s="14"/>
      <c r="AN672" s="14"/>
    </row>
    <row r="673" spans="2:40" x14ac:dyDescent="0.35">
      <c r="B673" s="6" t="s">
        <v>223</v>
      </c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  <c r="AL673" s="14"/>
      <c r="AM673" s="14"/>
      <c r="AN673" s="14"/>
    </row>
    <row r="674" spans="2:40" x14ac:dyDescent="0.35">
      <c r="B674" s="26" t="s">
        <v>395</v>
      </c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  <c r="AG674" s="14"/>
      <c r="AH674" s="14"/>
      <c r="AI674" s="14"/>
      <c r="AJ674" s="14"/>
      <c r="AK674" s="14"/>
      <c r="AL674" s="14"/>
      <c r="AM674" s="14"/>
      <c r="AN674" s="14"/>
    </row>
    <row r="675" spans="2:40" x14ac:dyDescent="0.35">
      <c r="B675" t="s">
        <v>155</v>
      </c>
      <c r="C675" s="14">
        <v>0.141162800049318</v>
      </c>
      <c r="D675" s="14">
        <v>0.158255712186612</v>
      </c>
      <c r="E675" s="14">
        <v>0.12433931814634901</v>
      </c>
      <c r="F675" s="14"/>
      <c r="G675" s="14" t="s">
        <v>76</v>
      </c>
      <c r="H675" s="14">
        <v>0.141162800049318</v>
      </c>
      <c r="I675" s="14" t="s">
        <v>76</v>
      </c>
      <c r="J675" s="14"/>
      <c r="K675" s="14">
        <v>0.141162800049318</v>
      </c>
      <c r="L675" s="14" t="s">
        <v>76</v>
      </c>
      <c r="M675" s="14" t="s">
        <v>76</v>
      </c>
      <c r="N675" s="14"/>
      <c r="O675" s="14">
        <v>0.117612325953468</v>
      </c>
      <c r="P675" s="14">
        <v>0.31505367837041398</v>
      </c>
      <c r="Q675" s="14"/>
      <c r="R675" s="14">
        <v>0.22640763890702201</v>
      </c>
      <c r="S675" s="14">
        <v>4.7264157334820103E-2</v>
      </c>
      <c r="T675" s="14">
        <v>0.123437259068752</v>
      </c>
      <c r="U675" s="14">
        <v>0.20224175111797901</v>
      </c>
      <c r="V675" s="14">
        <v>0.103390557477003</v>
      </c>
      <c r="W675" s="14">
        <v>0.17981653559067101</v>
      </c>
      <c r="X675" s="14">
        <v>0.10009455563472799</v>
      </c>
      <c r="Y675" s="14">
        <v>0.111696789264639</v>
      </c>
      <c r="Z675" s="14">
        <v>0.18297534039668001</v>
      </c>
      <c r="AA675" s="14"/>
      <c r="AB675" s="14" t="s">
        <v>76</v>
      </c>
      <c r="AC675" s="14" t="s">
        <v>76</v>
      </c>
      <c r="AD675" s="14" t="s">
        <v>76</v>
      </c>
      <c r="AE675" s="14" t="s">
        <v>76</v>
      </c>
      <c r="AF675" s="14"/>
      <c r="AG675" s="14" t="s">
        <v>76</v>
      </c>
      <c r="AH675" s="14" t="s">
        <v>76</v>
      </c>
      <c r="AI675" s="14"/>
      <c r="AJ675" s="14" t="s">
        <v>76</v>
      </c>
      <c r="AK675" s="14" t="s">
        <v>76</v>
      </c>
      <c r="AL675" s="14"/>
      <c r="AM675" s="14">
        <v>0.186052776680216</v>
      </c>
      <c r="AN675" s="14">
        <v>7.6113772142972796E-2</v>
      </c>
    </row>
    <row r="676" spans="2:40" x14ac:dyDescent="0.35">
      <c r="B676" t="s">
        <v>156</v>
      </c>
      <c r="C676" s="14">
        <v>0.51575438928202899</v>
      </c>
      <c r="D676" s="14">
        <v>0.46575209202885698</v>
      </c>
      <c r="E676" s="14">
        <v>0.56496851594393305</v>
      </c>
      <c r="F676" s="14"/>
      <c r="G676" s="14" t="s">
        <v>76</v>
      </c>
      <c r="H676" s="14">
        <v>0.51575438928202899</v>
      </c>
      <c r="I676" s="14" t="s">
        <v>76</v>
      </c>
      <c r="J676" s="14"/>
      <c r="K676" s="14">
        <v>0.51575438928202899</v>
      </c>
      <c r="L676" s="14" t="s">
        <v>76</v>
      </c>
      <c r="M676" s="14" t="s">
        <v>76</v>
      </c>
      <c r="N676" s="14"/>
      <c r="O676" s="14">
        <v>0.502802965722978</v>
      </c>
      <c r="P676" s="14">
        <v>0.58206041897946303</v>
      </c>
      <c r="Q676" s="14"/>
      <c r="R676" s="14">
        <v>0.57102092729185205</v>
      </c>
      <c r="S676" s="14">
        <v>0.497061498623736</v>
      </c>
      <c r="T676" s="14">
        <v>0.55087205628531799</v>
      </c>
      <c r="U676" s="14">
        <v>0.50279600007208802</v>
      </c>
      <c r="V676" s="14">
        <v>0.44212712727915399</v>
      </c>
      <c r="W676" s="14">
        <v>0.60143544571443097</v>
      </c>
      <c r="X676" s="14">
        <v>0.40798391752922603</v>
      </c>
      <c r="Y676" s="14">
        <v>0.56682506663914101</v>
      </c>
      <c r="Z676" s="14">
        <v>0.54061067371864202</v>
      </c>
      <c r="AA676" s="14"/>
      <c r="AB676" s="14" t="s">
        <v>76</v>
      </c>
      <c r="AC676" s="14" t="s">
        <v>76</v>
      </c>
      <c r="AD676" s="14" t="s">
        <v>76</v>
      </c>
      <c r="AE676" s="14" t="s">
        <v>76</v>
      </c>
      <c r="AF676" s="14"/>
      <c r="AG676" s="14" t="s">
        <v>76</v>
      </c>
      <c r="AH676" s="14" t="s">
        <v>76</v>
      </c>
      <c r="AI676" s="14"/>
      <c r="AJ676" s="14" t="s">
        <v>76</v>
      </c>
      <c r="AK676" s="14" t="s">
        <v>76</v>
      </c>
      <c r="AL676" s="14"/>
      <c r="AM676" s="14">
        <v>0.50147992745355596</v>
      </c>
      <c r="AN676" s="14">
        <v>0.51668012101675498</v>
      </c>
    </row>
    <row r="677" spans="2:40" x14ac:dyDescent="0.35">
      <c r="B677" t="s">
        <v>157</v>
      </c>
      <c r="C677" s="14">
        <v>0.25189039218187398</v>
      </c>
      <c r="D677" s="14">
        <v>0.27508729938529902</v>
      </c>
      <c r="E677" s="14">
        <v>0.229059130580161</v>
      </c>
      <c r="F677" s="14"/>
      <c r="G677" s="14" t="s">
        <v>76</v>
      </c>
      <c r="H677" s="14">
        <v>0.25189039218187398</v>
      </c>
      <c r="I677" s="14" t="s">
        <v>76</v>
      </c>
      <c r="J677" s="14"/>
      <c r="K677" s="14">
        <v>0.25189039218187398</v>
      </c>
      <c r="L677" s="14" t="s">
        <v>76</v>
      </c>
      <c r="M677" s="14" t="s">
        <v>76</v>
      </c>
      <c r="N677" s="14"/>
      <c r="O677" s="14">
        <v>0.27964792759470303</v>
      </c>
      <c r="P677" s="14">
        <v>6.1457423200298802E-2</v>
      </c>
      <c r="Q677" s="14"/>
      <c r="R677" s="14">
        <v>0.15571803658330799</v>
      </c>
      <c r="S677" s="14">
        <v>0.27668119069727398</v>
      </c>
      <c r="T677" s="14">
        <v>0.18935936645197601</v>
      </c>
      <c r="U677" s="14">
        <v>0.213956994831666</v>
      </c>
      <c r="V677" s="14">
        <v>0.38364096099789802</v>
      </c>
      <c r="W677" s="14">
        <v>0.19337831293484001</v>
      </c>
      <c r="X677" s="14">
        <v>0.41971172455685402</v>
      </c>
      <c r="Y677" s="14">
        <v>0.26744680480581601</v>
      </c>
      <c r="Z677" s="14">
        <v>0.194755069598115</v>
      </c>
      <c r="AA677" s="14"/>
      <c r="AB677" s="14" t="s">
        <v>76</v>
      </c>
      <c r="AC677" s="14" t="s">
        <v>76</v>
      </c>
      <c r="AD677" s="14" t="s">
        <v>76</v>
      </c>
      <c r="AE677" s="14" t="s">
        <v>76</v>
      </c>
      <c r="AF677" s="14"/>
      <c r="AG677" s="14" t="s">
        <v>76</v>
      </c>
      <c r="AH677" s="14" t="s">
        <v>76</v>
      </c>
      <c r="AI677" s="14"/>
      <c r="AJ677" s="14" t="s">
        <v>76</v>
      </c>
      <c r="AK677" s="14" t="s">
        <v>76</v>
      </c>
      <c r="AL677" s="14"/>
      <c r="AM677" s="14">
        <v>0.241260326425706</v>
      </c>
      <c r="AN677" s="14">
        <v>0.235788097187623</v>
      </c>
    </row>
    <row r="678" spans="2:40" x14ac:dyDescent="0.35">
      <c r="B678" t="s">
        <v>158</v>
      </c>
      <c r="C678" s="14">
        <v>6.9783594123789303E-2</v>
      </c>
      <c r="D678" s="14">
        <v>7.5998211646316705E-2</v>
      </c>
      <c r="E678" s="14">
        <v>6.3666935675870603E-2</v>
      </c>
      <c r="F678" s="14"/>
      <c r="G678" s="14" t="s">
        <v>76</v>
      </c>
      <c r="H678" s="14">
        <v>6.9783594123789303E-2</v>
      </c>
      <c r="I678" s="14" t="s">
        <v>76</v>
      </c>
      <c r="J678" s="14"/>
      <c r="K678" s="14">
        <v>6.9783594123789303E-2</v>
      </c>
      <c r="L678" s="14" t="s">
        <v>76</v>
      </c>
      <c r="M678" s="14" t="s">
        <v>76</v>
      </c>
      <c r="N678" s="14"/>
      <c r="O678" s="14">
        <v>7.5173998588338106E-2</v>
      </c>
      <c r="P678" s="14">
        <v>4.1428479449823301E-2</v>
      </c>
      <c r="Q678" s="14"/>
      <c r="R678" s="14">
        <v>4.6853397217817901E-2</v>
      </c>
      <c r="S678" s="14">
        <v>0.13172899600934901</v>
      </c>
      <c r="T678" s="14">
        <v>8.5026804046383006E-2</v>
      </c>
      <c r="U678" s="14">
        <v>8.1005253978267494E-2</v>
      </c>
      <c r="V678" s="14">
        <v>3.2146180677134303E-2</v>
      </c>
      <c r="W678" s="14">
        <v>2.5369705760058502E-2</v>
      </c>
      <c r="X678" s="14">
        <v>3.9442650305541498E-2</v>
      </c>
      <c r="Y678" s="14">
        <v>5.4031339290404698E-2</v>
      </c>
      <c r="Z678" s="14">
        <v>8.1658916286563604E-2</v>
      </c>
      <c r="AA678" s="14"/>
      <c r="AB678" s="14" t="s">
        <v>76</v>
      </c>
      <c r="AC678" s="14" t="s">
        <v>76</v>
      </c>
      <c r="AD678" s="14" t="s">
        <v>76</v>
      </c>
      <c r="AE678" s="14" t="s">
        <v>76</v>
      </c>
      <c r="AF678" s="14"/>
      <c r="AG678" s="14" t="s">
        <v>76</v>
      </c>
      <c r="AH678" s="14" t="s">
        <v>76</v>
      </c>
      <c r="AI678" s="14"/>
      <c r="AJ678" s="14" t="s">
        <v>76</v>
      </c>
      <c r="AK678" s="14" t="s">
        <v>76</v>
      </c>
      <c r="AL678" s="14"/>
      <c r="AM678" s="14">
        <v>6.1902532987183699E-2</v>
      </c>
      <c r="AN678" s="14">
        <v>0.123679638964247</v>
      </c>
    </row>
    <row r="679" spans="2:40" x14ac:dyDescent="0.35">
      <c r="B679" t="s">
        <v>70</v>
      </c>
      <c r="C679" s="14">
        <v>2.1408824362990599E-2</v>
      </c>
      <c r="D679" s="14">
        <v>2.49066847529162E-2</v>
      </c>
      <c r="E679" s="14">
        <v>1.7966099653686601E-2</v>
      </c>
      <c r="F679" s="14"/>
      <c r="G679" s="14" t="s">
        <v>76</v>
      </c>
      <c r="H679" s="14">
        <v>2.1408824362990599E-2</v>
      </c>
      <c r="I679" s="14" t="s">
        <v>76</v>
      </c>
      <c r="J679" s="14"/>
      <c r="K679" s="14">
        <v>2.1408824362990599E-2</v>
      </c>
      <c r="L679" s="14" t="s">
        <v>76</v>
      </c>
      <c r="M679" s="14" t="s">
        <v>76</v>
      </c>
      <c r="N679" s="14"/>
      <c r="O679" s="14">
        <v>2.4762782140511998E-2</v>
      </c>
      <c r="P679" s="14">
        <v>0</v>
      </c>
      <c r="Q679" s="14"/>
      <c r="R679" s="14">
        <v>0</v>
      </c>
      <c r="S679" s="14">
        <v>4.7264157334820103E-2</v>
      </c>
      <c r="T679" s="14">
        <v>5.1304514147571603E-2</v>
      </c>
      <c r="U679" s="14">
        <v>0</v>
      </c>
      <c r="V679" s="14">
        <v>3.8695173568810998E-2</v>
      </c>
      <c r="W679" s="14">
        <v>0</v>
      </c>
      <c r="X679" s="14">
        <v>3.2767151973650099E-2</v>
      </c>
      <c r="Y679" s="14">
        <v>0</v>
      </c>
      <c r="Z679" s="14">
        <v>0</v>
      </c>
      <c r="AA679" s="14"/>
      <c r="AB679" s="14" t="s">
        <v>76</v>
      </c>
      <c r="AC679" s="14" t="s">
        <v>76</v>
      </c>
      <c r="AD679" s="14" t="s">
        <v>76</v>
      </c>
      <c r="AE679" s="14" t="s">
        <v>76</v>
      </c>
      <c r="AF679" s="14"/>
      <c r="AG679" s="14" t="s">
        <v>76</v>
      </c>
      <c r="AH679" s="14" t="s">
        <v>76</v>
      </c>
      <c r="AI679" s="14"/>
      <c r="AJ679" s="14" t="s">
        <v>76</v>
      </c>
      <c r="AK679" s="14" t="s">
        <v>76</v>
      </c>
      <c r="AL679" s="14"/>
      <c r="AM679" s="14">
        <v>9.3044364533375092E-3</v>
      </c>
      <c r="AN679" s="14">
        <v>4.7738370688403101E-2</v>
      </c>
    </row>
    <row r="680" spans="2:40" x14ac:dyDescent="0.35"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/>
      <c r="AM680" s="14"/>
      <c r="AN680" s="14"/>
    </row>
    <row r="681" spans="2:40" x14ac:dyDescent="0.35">
      <c r="B681" s="6" t="s">
        <v>225</v>
      </c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F681" s="14"/>
      <c r="AG681" s="14"/>
      <c r="AH681" s="14"/>
      <c r="AI681" s="14"/>
      <c r="AJ681" s="14"/>
      <c r="AK681" s="14"/>
      <c r="AL681" s="14"/>
      <c r="AM681" s="14"/>
      <c r="AN681" s="14"/>
    </row>
    <row r="682" spans="2:40" x14ac:dyDescent="0.35">
      <c r="B682" s="26" t="s">
        <v>395</v>
      </c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F682" s="14"/>
      <c r="AG682" s="14"/>
      <c r="AH682" s="14"/>
      <c r="AI682" s="14"/>
      <c r="AJ682" s="14"/>
      <c r="AK682" s="14"/>
      <c r="AL682" s="14"/>
      <c r="AM682" s="14"/>
      <c r="AN682" s="14"/>
    </row>
    <row r="683" spans="2:40" x14ac:dyDescent="0.35">
      <c r="B683" t="s">
        <v>160</v>
      </c>
      <c r="C683" s="14">
        <v>0.17205431641673899</v>
      </c>
      <c r="D683" s="14">
        <v>0.17658223412518201</v>
      </c>
      <c r="E683" s="14">
        <v>0.16759777086064701</v>
      </c>
      <c r="F683" s="14"/>
      <c r="G683" s="14" t="s">
        <v>76</v>
      </c>
      <c r="H683" s="14">
        <v>0.17205431641673899</v>
      </c>
      <c r="I683" s="14" t="s">
        <v>76</v>
      </c>
      <c r="J683" s="14"/>
      <c r="K683" s="14">
        <v>0.17205431641673899</v>
      </c>
      <c r="L683" s="14" t="s">
        <v>76</v>
      </c>
      <c r="M683" s="14" t="s">
        <v>76</v>
      </c>
      <c r="N683" s="14"/>
      <c r="O683" s="14">
        <v>0.14723243138952999</v>
      </c>
      <c r="P683" s="14">
        <v>0.31601318292104202</v>
      </c>
      <c r="Q683" s="14"/>
      <c r="R683" s="14">
        <v>0.304527808561466</v>
      </c>
      <c r="S683" s="14">
        <v>0.165812192590964</v>
      </c>
      <c r="T683" s="14">
        <v>0.171371715163713</v>
      </c>
      <c r="U683" s="14">
        <v>0.179773782824905</v>
      </c>
      <c r="V683" s="14">
        <v>0.186747940042542</v>
      </c>
      <c r="W683" s="14">
        <v>0.184938191656663</v>
      </c>
      <c r="X683" s="14">
        <v>9.8301454125299295E-2</v>
      </c>
      <c r="Y683" s="14">
        <v>5.69880677335051E-2</v>
      </c>
      <c r="Z683" s="14">
        <v>0.12081020415583101</v>
      </c>
      <c r="AA683" s="14"/>
      <c r="AB683" s="14" t="s">
        <v>76</v>
      </c>
      <c r="AC683" s="14" t="s">
        <v>76</v>
      </c>
      <c r="AD683" s="14" t="s">
        <v>76</v>
      </c>
      <c r="AE683" s="14" t="s">
        <v>76</v>
      </c>
      <c r="AF683" s="14"/>
      <c r="AG683" s="14" t="s">
        <v>76</v>
      </c>
      <c r="AH683" s="14" t="s">
        <v>76</v>
      </c>
      <c r="AI683" s="14"/>
      <c r="AJ683" s="14" t="s">
        <v>76</v>
      </c>
      <c r="AK683" s="14" t="s">
        <v>76</v>
      </c>
      <c r="AL683" s="14"/>
      <c r="AM683" s="14">
        <v>0.23865002694295501</v>
      </c>
      <c r="AN683" s="14">
        <v>7.8566715208786206E-2</v>
      </c>
    </row>
    <row r="684" spans="2:40" x14ac:dyDescent="0.35">
      <c r="B684" t="s">
        <v>161</v>
      </c>
      <c r="C684" s="14">
        <v>0.53116153536745703</v>
      </c>
      <c r="D684" s="14">
        <v>0.52462083486804401</v>
      </c>
      <c r="E684" s="14">
        <v>0.53759913684816296</v>
      </c>
      <c r="F684" s="14"/>
      <c r="G684" s="14" t="s">
        <v>76</v>
      </c>
      <c r="H684" s="14">
        <v>0.53116153536745703</v>
      </c>
      <c r="I684" s="14" t="s">
        <v>76</v>
      </c>
      <c r="J684" s="14"/>
      <c r="K684" s="14">
        <v>0.53116153536745703</v>
      </c>
      <c r="L684" s="14" t="s">
        <v>76</v>
      </c>
      <c r="M684" s="14" t="s">
        <v>76</v>
      </c>
      <c r="N684" s="14"/>
      <c r="O684" s="14">
        <v>0.53580630940321206</v>
      </c>
      <c r="P684" s="14">
        <v>0.51328867074955897</v>
      </c>
      <c r="Q684" s="14"/>
      <c r="R684" s="14">
        <v>0.46633106876876101</v>
      </c>
      <c r="S684" s="14">
        <v>0.45044283120902701</v>
      </c>
      <c r="T684" s="14">
        <v>0.62826333131761003</v>
      </c>
      <c r="U684" s="14">
        <v>0.52449235145902096</v>
      </c>
      <c r="V684" s="14">
        <v>0.44980171422297899</v>
      </c>
      <c r="W684" s="14">
        <v>0.49658115913360301</v>
      </c>
      <c r="X684" s="14">
        <v>0.59880016997062802</v>
      </c>
      <c r="Y684" s="14">
        <v>0.72688658159559105</v>
      </c>
      <c r="Z684" s="14">
        <v>0.56001784051521297</v>
      </c>
      <c r="AA684" s="14"/>
      <c r="AB684" s="14" t="s">
        <v>76</v>
      </c>
      <c r="AC684" s="14" t="s">
        <v>76</v>
      </c>
      <c r="AD684" s="14" t="s">
        <v>76</v>
      </c>
      <c r="AE684" s="14" t="s">
        <v>76</v>
      </c>
      <c r="AF684" s="14"/>
      <c r="AG684" s="14" t="s">
        <v>76</v>
      </c>
      <c r="AH684" s="14" t="s">
        <v>76</v>
      </c>
      <c r="AI684" s="14"/>
      <c r="AJ684" s="14" t="s">
        <v>76</v>
      </c>
      <c r="AK684" s="14" t="s">
        <v>76</v>
      </c>
      <c r="AL684" s="14"/>
      <c r="AM684" s="14">
        <v>0.55769175413779504</v>
      </c>
      <c r="AN684" s="14">
        <v>0.37151376639957701</v>
      </c>
    </row>
    <row r="685" spans="2:40" x14ac:dyDescent="0.35">
      <c r="B685" t="s">
        <v>162</v>
      </c>
      <c r="C685" s="14">
        <v>0.23834520041559501</v>
      </c>
      <c r="D685" s="14">
        <v>0.234940417102038</v>
      </c>
      <c r="E685" s="14">
        <v>0.24169631519340801</v>
      </c>
      <c r="F685" s="14"/>
      <c r="G685" s="14" t="s">
        <v>76</v>
      </c>
      <c r="H685" s="14">
        <v>0.23834520041559501</v>
      </c>
      <c r="I685" s="14" t="s">
        <v>76</v>
      </c>
      <c r="J685" s="14"/>
      <c r="K685" s="14">
        <v>0.23834520041559501</v>
      </c>
      <c r="L685" s="14" t="s">
        <v>76</v>
      </c>
      <c r="M685" s="14" t="s">
        <v>76</v>
      </c>
      <c r="N685" s="14"/>
      <c r="O685" s="14">
        <v>0.25284992703522002</v>
      </c>
      <c r="P685" s="14">
        <v>0.170698146329399</v>
      </c>
      <c r="Q685" s="14"/>
      <c r="R685" s="14">
        <v>0.158425682612268</v>
      </c>
      <c r="S685" s="14">
        <v>0.30136451478891502</v>
      </c>
      <c r="T685" s="14">
        <v>0.14756406889116599</v>
      </c>
      <c r="U685" s="14">
        <v>0.26580916359913498</v>
      </c>
      <c r="V685" s="14">
        <v>0.32475516488614298</v>
      </c>
      <c r="W685" s="14">
        <v>0.26668425275643398</v>
      </c>
      <c r="X685" s="14">
        <v>0.23557096898081201</v>
      </c>
      <c r="Y685" s="14">
        <v>0.21612535067090399</v>
      </c>
      <c r="Z685" s="14">
        <v>0.23751303904239199</v>
      </c>
      <c r="AA685" s="14"/>
      <c r="AB685" s="14" t="s">
        <v>76</v>
      </c>
      <c r="AC685" s="14" t="s">
        <v>76</v>
      </c>
      <c r="AD685" s="14" t="s">
        <v>76</v>
      </c>
      <c r="AE685" s="14" t="s">
        <v>76</v>
      </c>
      <c r="AF685" s="14"/>
      <c r="AG685" s="14" t="s">
        <v>76</v>
      </c>
      <c r="AH685" s="14" t="s">
        <v>76</v>
      </c>
      <c r="AI685" s="14"/>
      <c r="AJ685" s="14" t="s">
        <v>76</v>
      </c>
      <c r="AK685" s="14" t="s">
        <v>76</v>
      </c>
      <c r="AL685" s="14"/>
      <c r="AM685" s="14">
        <v>0.172646904684122</v>
      </c>
      <c r="AN685" s="14">
        <v>0.43164882450020398</v>
      </c>
    </row>
    <row r="686" spans="2:40" x14ac:dyDescent="0.35">
      <c r="B686" t="s">
        <v>163</v>
      </c>
      <c r="C686" s="14">
        <v>4.6103445602835601E-2</v>
      </c>
      <c r="D686" s="14">
        <v>4.3413841311936902E-2</v>
      </c>
      <c r="E686" s="14">
        <v>4.87506545015087E-2</v>
      </c>
      <c r="F686" s="14"/>
      <c r="G686" s="14" t="s">
        <v>76</v>
      </c>
      <c r="H686" s="14">
        <v>4.6103445602835601E-2</v>
      </c>
      <c r="I686" s="14" t="s">
        <v>76</v>
      </c>
      <c r="J686" s="14"/>
      <c r="K686" s="14">
        <v>4.6103445602835601E-2</v>
      </c>
      <c r="L686" s="14" t="s">
        <v>76</v>
      </c>
      <c r="M686" s="14" t="s">
        <v>76</v>
      </c>
      <c r="N686" s="14"/>
      <c r="O686" s="14">
        <v>4.9843320611560202E-2</v>
      </c>
      <c r="P686" s="14">
        <v>0</v>
      </c>
      <c r="Q686" s="14"/>
      <c r="R686" s="14">
        <v>7.0715440057504395E-2</v>
      </c>
      <c r="S686" s="14">
        <v>6.6907973878427202E-2</v>
      </c>
      <c r="T686" s="14">
        <v>5.28008846275108E-2</v>
      </c>
      <c r="U686" s="14">
        <v>0</v>
      </c>
      <c r="V686" s="14">
        <v>3.8695180848336001E-2</v>
      </c>
      <c r="W686" s="14">
        <v>2.5369705760058502E-2</v>
      </c>
      <c r="X686" s="14">
        <v>3.4560254949610597E-2</v>
      </c>
      <c r="Y686" s="14">
        <v>0</v>
      </c>
      <c r="Z686" s="14">
        <v>8.1658916286563604E-2</v>
      </c>
      <c r="AA686" s="14"/>
      <c r="AB686" s="14" t="s">
        <v>76</v>
      </c>
      <c r="AC686" s="14" t="s">
        <v>76</v>
      </c>
      <c r="AD686" s="14" t="s">
        <v>76</v>
      </c>
      <c r="AE686" s="14" t="s">
        <v>76</v>
      </c>
      <c r="AF686" s="14"/>
      <c r="AG686" s="14" t="s">
        <v>76</v>
      </c>
      <c r="AH686" s="14" t="s">
        <v>76</v>
      </c>
      <c r="AI686" s="14"/>
      <c r="AJ686" s="14" t="s">
        <v>76</v>
      </c>
      <c r="AK686" s="14" t="s">
        <v>76</v>
      </c>
      <c r="AL686" s="14"/>
      <c r="AM686" s="14">
        <v>2.3581957757697801E-2</v>
      </c>
      <c r="AN686" s="14">
        <v>9.7283968824492098E-2</v>
      </c>
    </row>
    <row r="687" spans="2:40" x14ac:dyDescent="0.35">
      <c r="B687" t="s">
        <v>70</v>
      </c>
      <c r="C687" s="14">
        <v>1.23355021973738E-2</v>
      </c>
      <c r="D687" s="14">
        <v>2.0442672592799201E-2</v>
      </c>
      <c r="E687" s="14">
        <v>4.3561225962737201E-3</v>
      </c>
      <c r="F687" s="14"/>
      <c r="G687" s="14" t="s">
        <v>76</v>
      </c>
      <c r="H687" s="14">
        <v>1.23355021973738E-2</v>
      </c>
      <c r="I687" s="14" t="s">
        <v>76</v>
      </c>
      <c r="J687" s="14"/>
      <c r="K687" s="14">
        <v>1.23355021973738E-2</v>
      </c>
      <c r="L687" s="14" t="s">
        <v>76</v>
      </c>
      <c r="M687" s="14" t="s">
        <v>76</v>
      </c>
      <c r="N687" s="14"/>
      <c r="O687" s="14">
        <v>1.42680115604772E-2</v>
      </c>
      <c r="P687" s="14">
        <v>0</v>
      </c>
      <c r="Q687" s="14"/>
      <c r="R687" s="14">
        <v>0</v>
      </c>
      <c r="S687" s="14">
        <v>1.54724875326672E-2</v>
      </c>
      <c r="T687" s="14">
        <v>0</v>
      </c>
      <c r="U687" s="14">
        <v>2.9924702116938401E-2</v>
      </c>
      <c r="V687" s="14">
        <v>0</v>
      </c>
      <c r="W687" s="14">
        <v>2.6426690693242098E-2</v>
      </c>
      <c r="X687" s="14">
        <v>3.2767151973650099E-2</v>
      </c>
      <c r="Y687" s="14">
        <v>0</v>
      </c>
      <c r="Z687" s="14">
        <v>0</v>
      </c>
      <c r="AA687" s="14"/>
      <c r="AB687" s="14" t="s">
        <v>76</v>
      </c>
      <c r="AC687" s="14" t="s">
        <v>76</v>
      </c>
      <c r="AD687" s="14" t="s">
        <v>76</v>
      </c>
      <c r="AE687" s="14" t="s">
        <v>76</v>
      </c>
      <c r="AF687" s="14"/>
      <c r="AG687" s="14" t="s">
        <v>76</v>
      </c>
      <c r="AH687" s="14" t="s">
        <v>76</v>
      </c>
      <c r="AI687" s="14"/>
      <c r="AJ687" s="14" t="s">
        <v>76</v>
      </c>
      <c r="AK687" s="14" t="s">
        <v>76</v>
      </c>
      <c r="AL687" s="14"/>
      <c r="AM687" s="14">
        <v>7.4293564774303702E-3</v>
      </c>
      <c r="AN687" s="14">
        <v>2.0986725066940801E-2</v>
      </c>
    </row>
    <row r="688" spans="2:40" x14ac:dyDescent="0.35">
      <c r="B688" t="s">
        <v>164</v>
      </c>
      <c r="C688" s="14">
        <v>0.70321585178419599</v>
      </c>
      <c r="D688" s="14">
        <v>0.70120306899322604</v>
      </c>
      <c r="E688" s="14">
        <v>0.70519690770880905</v>
      </c>
      <c r="F688" s="14"/>
      <c r="G688" s="14" t="s">
        <v>76</v>
      </c>
      <c r="H688" s="14">
        <v>0.70321585178419599</v>
      </c>
      <c r="I688" s="14" t="s">
        <v>76</v>
      </c>
      <c r="J688" s="14"/>
      <c r="K688" s="14">
        <v>0.70321585178419599</v>
      </c>
      <c r="L688" s="14" t="s">
        <v>76</v>
      </c>
      <c r="M688" s="14" t="s">
        <v>76</v>
      </c>
      <c r="N688" s="14"/>
      <c r="O688" s="14">
        <v>0.68303874079274196</v>
      </c>
      <c r="P688" s="14">
        <v>0.82930185367060105</v>
      </c>
      <c r="Q688" s="14"/>
      <c r="R688" s="14">
        <v>0.77085887733022695</v>
      </c>
      <c r="S688" s="14">
        <v>0.61625502379999098</v>
      </c>
      <c r="T688" s="14">
        <v>0.799635046481323</v>
      </c>
      <c r="U688" s="14">
        <v>0.70426613428392604</v>
      </c>
      <c r="V688" s="14">
        <v>0.63654965426552101</v>
      </c>
      <c r="W688" s="14">
        <v>0.68151935079026604</v>
      </c>
      <c r="X688" s="14">
        <v>0.69710162409592802</v>
      </c>
      <c r="Y688" s="14">
        <v>0.78387464932909601</v>
      </c>
      <c r="Z688" s="14">
        <v>0.68082804467104396</v>
      </c>
      <c r="AA688" s="14"/>
      <c r="AB688" s="14" t="s">
        <v>76</v>
      </c>
      <c r="AC688" s="14" t="s">
        <v>76</v>
      </c>
      <c r="AD688" s="14" t="s">
        <v>76</v>
      </c>
      <c r="AE688" s="14" t="s">
        <v>76</v>
      </c>
      <c r="AF688" s="14"/>
      <c r="AG688" s="14" t="s">
        <v>76</v>
      </c>
      <c r="AH688" s="14" t="s">
        <v>76</v>
      </c>
      <c r="AI688" s="14"/>
      <c r="AJ688" s="14" t="s">
        <v>76</v>
      </c>
      <c r="AK688" s="14" t="s">
        <v>76</v>
      </c>
      <c r="AL688" s="14"/>
      <c r="AM688" s="14">
        <v>0.79634178108075004</v>
      </c>
      <c r="AN688" s="14">
        <v>0.450080481608363</v>
      </c>
    </row>
    <row r="689" spans="2:40" x14ac:dyDescent="0.35"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  <c r="AL689" s="14"/>
      <c r="AM689" s="14"/>
      <c r="AN689" s="14"/>
    </row>
    <row r="690" spans="2:40" x14ac:dyDescent="0.35">
      <c r="B690" s="6" t="s">
        <v>226</v>
      </c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F690" s="14"/>
      <c r="AG690" s="14"/>
      <c r="AH690" s="14"/>
      <c r="AI690" s="14"/>
      <c r="AJ690" s="14"/>
      <c r="AK690" s="14"/>
      <c r="AL690" s="14"/>
      <c r="AM690" s="14"/>
      <c r="AN690" s="14"/>
    </row>
    <row r="691" spans="2:40" x14ac:dyDescent="0.35">
      <c r="B691" s="26" t="s">
        <v>395</v>
      </c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F691" s="14"/>
      <c r="AG691" s="14"/>
      <c r="AH691" s="14"/>
      <c r="AI691" s="14"/>
      <c r="AJ691" s="14"/>
      <c r="AK691" s="14"/>
      <c r="AL691" s="14"/>
      <c r="AM691" s="14"/>
      <c r="AN691" s="14"/>
    </row>
    <row r="692" spans="2:40" x14ac:dyDescent="0.35">
      <c r="B692" t="s">
        <v>166</v>
      </c>
      <c r="C692" s="14">
        <v>0.179066729498987</v>
      </c>
      <c r="D692" s="14">
        <v>0.19203671489304</v>
      </c>
      <c r="E692" s="14">
        <v>0.16630118593297699</v>
      </c>
      <c r="F692" s="14"/>
      <c r="G692" s="14" t="s">
        <v>76</v>
      </c>
      <c r="H692" s="14">
        <v>0.179066729498987</v>
      </c>
      <c r="I692" s="14" t="s">
        <v>76</v>
      </c>
      <c r="J692" s="14"/>
      <c r="K692" s="14">
        <v>0.179066729498987</v>
      </c>
      <c r="L692" s="14" t="s">
        <v>76</v>
      </c>
      <c r="M692" s="14" t="s">
        <v>76</v>
      </c>
      <c r="N692" s="14"/>
      <c r="O692" s="14">
        <v>0.152216207344396</v>
      </c>
      <c r="P692" s="14">
        <v>0.338171684146092</v>
      </c>
      <c r="Q692" s="14"/>
      <c r="R692" s="14">
        <v>0.35558614587802301</v>
      </c>
      <c r="S692" s="14">
        <v>0.10117756573155701</v>
      </c>
      <c r="T692" s="14">
        <v>0.250020909919282</v>
      </c>
      <c r="U692" s="14">
        <v>0.231165994216773</v>
      </c>
      <c r="V692" s="14">
        <v>6.9173504122154894E-2</v>
      </c>
      <c r="W692" s="14">
        <v>0.25809886317839997</v>
      </c>
      <c r="X692" s="14">
        <v>0.107135363177633</v>
      </c>
      <c r="Y692" s="14">
        <v>5.69880677335051E-2</v>
      </c>
      <c r="Z692" s="14">
        <v>0.10187774686922101</v>
      </c>
      <c r="AA692" s="14"/>
      <c r="AB692" s="14" t="s">
        <v>76</v>
      </c>
      <c r="AC692" s="14" t="s">
        <v>76</v>
      </c>
      <c r="AD692" s="14" t="s">
        <v>76</v>
      </c>
      <c r="AE692" s="14" t="s">
        <v>76</v>
      </c>
      <c r="AF692" s="14"/>
      <c r="AG692" s="14" t="s">
        <v>76</v>
      </c>
      <c r="AH692" s="14" t="s">
        <v>76</v>
      </c>
      <c r="AI692" s="14"/>
      <c r="AJ692" s="14" t="s">
        <v>76</v>
      </c>
      <c r="AK692" s="14" t="s">
        <v>76</v>
      </c>
      <c r="AL692" s="14"/>
      <c r="AM692" s="14">
        <v>0.25426445414939403</v>
      </c>
      <c r="AN692" s="14">
        <v>5.2429283736122698E-2</v>
      </c>
    </row>
    <row r="693" spans="2:40" x14ac:dyDescent="0.35">
      <c r="B693" t="s">
        <v>167</v>
      </c>
      <c r="C693" s="14">
        <v>0.42208593428722502</v>
      </c>
      <c r="D693" s="14">
        <v>0.41469529423322099</v>
      </c>
      <c r="E693" s="14">
        <v>0.42936007799083797</v>
      </c>
      <c r="F693" s="14"/>
      <c r="G693" s="14" t="s">
        <v>76</v>
      </c>
      <c r="H693" s="14">
        <v>0.42208593428722502</v>
      </c>
      <c r="I693" s="14" t="s">
        <v>76</v>
      </c>
      <c r="J693" s="14"/>
      <c r="K693" s="14">
        <v>0.42208593428722502</v>
      </c>
      <c r="L693" s="14" t="s">
        <v>76</v>
      </c>
      <c r="M693" s="14" t="s">
        <v>76</v>
      </c>
      <c r="N693" s="14"/>
      <c r="O693" s="14">
        <v>0.41869814943786898</v>
      </c>
      <c r="P693" s="14">
        <v>0.46987269321978198</v>
      </c>
      <c r="Q693" s="14"/>
      <c r="R693" s="14">
        <v>0.34693019756627502</v>
      </c>
      <c r="S693" s="14">
        <v>0.403634380379776</v>
      </c>
      <c r="T693" s="14">
        <v>0.42855629996647598</v>
      </c>
      <c r="U693" s="14">
        <v>0.343435542999243</v>
      </c>
      <c r="V693" s="14">
        <v>0.47427330921598698</v>
      </c>
      <c r="W693" s="14">
        <v>0.36297358341373298</v>
      </c>
      <c r="X693" s="14">
        <v>0.51559805181853702</v>
      </c>
      <c r="Y693" s="14">
        <v>0.45142001127553</v>
      </c>
      <c r="Z693" s="14">
        <v>0.50531641318610498</v>
      </c>
      <c r="AA693" s="14"/>
      <c r="AB693" s="14" t="s">
        <v>76</v>
      </c>
      <c r="AC693" s="14" t="s">
        <v>76</v>
      </c>
      <c r="AD693" s="14" t="s">
        <v>76</v>
      </c>
      <c r="AE693" s="14" t="s">
        <v>76</v>
      </c>
      <c r="AF693" s="14"/>
      <c r="AG693" s="14" t="s">
        <v>76</v>
      </c>
      <c r="AH693" s="14" t="s">
        <v>76</v>
      </c>
      <c r="AI693" s="14"/>
      <c r="AJ693" s="14" t="s">
        <v>76</v>
      </c>
      <c r="AK693" s="14" t="s">
        <v>76</v>
      </c>
      <c r="AL693" s="14"/>
      <c r="AM693" s="14">
        <v>0.48450856097875</v>
      </c>
      <c r="AN693" s="14">
        <v>0.19969293540953101</v>
      </c>
    </row>
    <row r="694" spans="2:40" x14ac:dyDescent="0.35">
      <c r="B694" t="s">
        <v>168</v>
      </c>
      <c r="C694" s="14">
        <v>0.286692008744168</v>
      </c>
      <c r="D694" s="14">
        <v>0.30407973826447998</v>
      </c>
      <c r="E694" s="14">
        <v>0.26957835657249002</v>
      </c>
      <c r="F694" s="14"/>
      <c r="G694" s="14" t="s">
        <v>76</v>
      </c>
      <c r="H694" s="14">
        <v>0.286692008744168</v>
      </c>
      <c r="I694" s="14" t="s">
        <v>76</v>
      </c>
      <c r="J694" s="14"/>
      <c r="K694" s="14">
        <v>0.286692008744168</v>
      </c>
      <c r="L694" s="14" t="s">
        <v>76</v>
      </c>
      <c r="M694" s="14" t="s">
        <v>76</v>
      </c>
      <c r="N694" s="14"/>
      <c r="O694" s="14">
        <v>0.305386115194133</v>
      </c>
      <c r="P694" s="14">
        <v>0.17294208246229101</v>
      </c>
      <c r="Q694" s="14"/>
      <c r="R694" s="14">
        <v>0.20348744689382101</v>
      </c>
      <c r="S694" s="14">
        <v>0.32416080987620199</v>
      </c>
      <c r="T694" s="14">
        <v>0.19895486428562201</v>
      </c>
      <c r="U694" s="14">
        <v>0.323237356916175</v>
      </c>
      <c r="V694" s="14">
        <v>0.417858005813522</v>
      </c>
      <c r="W694" s="14">
        <v>0.243192966858778</v>
      </c>
      <c r="X694" s="14">
        <v>0.30993917808056998</v>
      </c>
      <c r="Y694" s="14">
        <v>0.43460385002867202</v>
      </c>
      <c r="Z694" s="14">
        <v>0.23182130541878601</v>
      </c>
      <c r="AA694" s="14"/>
      <c r="AB694" s="14" t="s">
        <v>76</v>
      </c>
      <c r="AC694" s="14" t="s">
        <v>76</v>
      </c>
      <c r="AD694" s="14" t="s">
        <v>76</v>
      </c>
      <c r="AE694" s="14" t="s">
        <v>76</v>
      </c>
      <c r="AF694" s="14"/>
      <c r="AG694" s="14" t="s">
        <v>76</v>
      </c>
      <c r="AH694" s="14" t="s">
        <v>76</v>
      </c>
      <c r="AI694" s="14"/>
      <c r="AJ694" s="14" t="s">
        <v>76</v>
      </c>
      <c r="AK694" s="14" t="s">
        <v>76</v>
      </c>
      <c r="AL694" s="14"/>
      <c r="AM694" s="14">
        <v>0.204440425572817</v>
      </c>
      <c r="AN694" s="14">
        <v>0.42488695150511402</v>
      </c>
    </row>
    <row r="695" spans="2:40" x14ac:dyDescent="0.35">
      <c r="B695" t="s">
        <v>169</v>
      </c>
      <c r="C695" s="14">
        <v>9.7227390225675503E-2</v>
      </c>
      <c r="D695" s="14">
        <v>6.6279660651533207E-2</v>
      </c>
      <c r="E695" s="14">
        <v>0.12768730040637399</v>
      </c>
      <c r="F695" s="14"/>
      <c r="G695" s="14" t="s">
        <v>76</v>
      </c>
      <c r="H695" s="14">
        <v>9.7227390225675503E-2</v>
      </c>
      <c r="I695" s="14" t="s">
        <v>76</v>
      </c>
      <c r="J695" s="14"/>
      <c r="K695" s="14">
        <v>9.7227390225675503E-2</v>
      </c>
      <c r="L695" s="14" t="s">
        <v>76</v>
      </c>
      <c r="M695" s="14" t="s">
        <v>76</v>
      </c>
      <c r="N695" s="14"/>
      <c r="O695" s="14">
        <v>0.108976465028751</v>
      </c>
      <c r="P695" s="14">
        <v>0</v>
      </c>
      <c r="Q695" s="14"/>
      <c r="R695" s="14">
        <v>6.7426520716748206E-2</v>
      </c>
      <c r="S695" s="14">
        <v>0.155554756479798</v>
      </c>
      <c r="T695" s="14">
        <v>9.3626868688598805E-2</v>
      </c>
      <c r="U695" s="14">
        <v>7.7301037155034599E-2</v>
      </c>
      <c r="V695" s="14">
        <v>3.8695180848336001E-2</v>
      </c>
      <c r="W695" s="14">
        <v>0.13573458654908899</v>
      </c>
      <c r="X695" s="14">
        <v>6.7327406923260794E-2</v>
      </c>
      <c r="Y695" s="14">
        <v>5.6988070962293601E-2</v>
      </c>
      <c r="Z695" s="14">
        <v>0.141814723855759</v>
      </c>
      <c r="AA695" s="14"/>
      <c r="AB695" s="14" t="s">
        <v>76</v>
      </c>
      <c r="AC695" s="14" t="s">
        <v>76</v>
      </c>
      <c r="AD695" s="14" t="s">
        <v>76</v>
      </c>
      <c r="AE695" s="14" t="s">
        <v>76</v>
      </c>
      <c r="AF695" s="14"/>
      <c r="AG695" s="14" t="s">
        <v>76</v>
      </c>
      <c r="AH695" s="14" t="s">
        <v>76</v>
      </c>
      <c r="AI695" s="14"/>
      <c r="AJ695" s="14" t="s">
        <v>76</v>
      </c>
      <c r="AK695" s="14" t="s">
        <v>76</v>
      </c>
      <c r="AL695" s="14"/>
      <c r="AM695" s="14">
        <v>3.8795630982975997E-2</v>
      </c>
      <c r="AN695" s="14">
        <v>0.32299082934923201</v>
      </c>
    </row>
    <row r="696" spans="2:40" x14ac:dyDescent="0.35">
      <c r="B696" t="s">
        <v>70</v>
      </c>
      <c r="C696" s="14">
        <v>1.4927937243944299E-2</v>
      </c>
      <c r="D696" s="14">
        <v>2.29085919577258E-2</v>
      </c>
      <c r="E696" s="14">
        <v>7.0730790973207603E-3</v>
      </c>
      <c r="F696" s="14"/>
      <c r="G696" s="14" t="s">
        <v>76</v>
      </c>
      <c r="H696" s="14">
        <v>1.4927937243944299E-2</v>
      </c>
      <c r="I696" s="14" t="s">
        <v>76</v>
      </c>
      <c r="J696" s="14"/>
      <c r="K696" s="14">
        <v>1.4927937243944299E-2</v>
      </c>
      <c r="L696" s="14" t="s">
        <v>76</v>
      </c>
      <c r="M696" s="14" t="s">
        <v>76</v>
      </c>
      <c r="N696" s="14"/>
      <c r="O696" s="14">
        <v>1.4723062994851099E-2</v>
      </c>
      <c r="P696" s="14">
        <v>1.9013540171833699E-2</v>
      </c>
      <c r="Q696" s="14"/>
      <c r="R696" s="14">
        <v>2.65696889451324E-2</v>
      </c>
      <c r="S696" s="14">
        <v>1.54724875326672E-2</v>
      </c>
      <c r="T696" s="14">
        <v>2.8841057140021002E-2</v>
      </c>
      <c r="U696" s="14">
        <v>2.4860068712775098E-2</v>
      </c>
      <c r="V696" s="14">
        <v>0</v>
      </c>
      <c r="W696" s="14">
        <v>0</v>
      </c>
      <c r="X696" s="14">
        <v>0</v>
      </c>
      <c r="Y696" s="14">
        <v>0</v>
      </c>
      <c r="Z696" s="14">
        <v>1.9169810670129898E-2</v>
      </c>
      <c r="AA696" s="14"/>
      <c r="AB696" s="14" t="s">
        <v>76</v>
      </c>
      <c r="AC696" s="14" t="s">
        <v>76</v>
      </c>
      <c r="AD696" s="14" t="s">
        <v>76</v>
      </c>
      <c r="AE696" s="14" t="s">
        <v>76</v>
      </c>
      <c r="AF696" s="14"/>
      <c r="AG696" s="14" t="s">
        <v>76</v>
      </c>
      <c r="AH696" s="14" t="s">
        <v>76</v>
      </c>
      <c r="AI696" s="14"/>
      <c r="AJ696" s="14" t="s">
        <v>76</v>
      </c>
      <c r="AK696" s="14" t="s">
        <v>76</v>
      </c>
      <c r="AL696" s="14"/>
      <c r="AM696" s="14">
        <v>1.79909283160632E-2</v>
      </c>
      <c r="AN696" s="14">
        <v>0</v>
      </c>
    </row>
    <row r="697" spans="2:40" x14ac:dyDescent="0.35"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F697" s="14"/>
      <c r="AG697" s="14"/>
      <c r="AH697" s="14"/>
      <c r="AI697" s="14"/>
      <c r="AJ697" s="14"/>
      <c r="AK697" s="14"/>
      <c r="AL697" s="14"/>
      <c r="AM697" s="14"/>
      <c r="AN697" s="14"/>
    </row>
    <row r="698" spans="2:40" x14ac:dyDescent="0.35">
      <c r="B698" s="6" t="s">
        <v>227</v>
      </c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</row>
    <row r="699" spans="2:40" x14ac:dyDescent="0.35">
      <c r="B699" s="26" t="s">
        <v>209</v>
      </c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F699" s="14"/>
      <c r="AG699" s="14"/>
      <c r="AH699" s="14"/>
      <c r="AI699" s="14"/>
      <c r="AJ699" s="14"/>
      <c r="AK699" s="14"/>
      <c r="AL699" s="14"/>
      <c r="AM699" s="14"/>
      <c r="AN699" s="14"/>
    </row>
    <row r="700" spans="2:40" x14ac:dyDescent="0.35">
      <c r="B700" t="s">
        <v>44</v>
      </c>
      <c r="C700" s="14">
        <v>0.72261893073161998</v>
      </c>
      <c r="D700" s="14">
        <v>0.68444889386622598</v>
      </c>
      <c r="E700" s="14">
        <v>0.77061172009610301</v>
      </c>
      <c r="F700" s="14"/>
      <c r="G700" s="14" t="s">
        <v>76</v>
      </c>
      <c r="H700" s="14">
        <v>0.72261893073161998</v>
      </c>
      <c r="I700" s="14" t="s">
        <v>76</v>
      </c>
      <c r="J700" s="14"/>
      <c r="K700" s="14">
        <v>0.72261893073161998</v>
      </c>
      <c r="L700" s="14" t="s">
        <v>76</v>
      </c>
      <c r="M700" s="14" t="s">
        <v>76</v>
      </c>
      <c r="N700" s="14"/>
      <c r="O700" s="14">
        <v>0.72348871364817602</v>
      </c>
      <c r="P700" s="14">
        <v>0.72536005400846804</v>
      </c>
      <c r="Q700" s="14"/>
      <c r="R700" s="14">
        <v>0.72713407664477003</v>
      </c>
      <c r="S700" s="14">
        <v>0.70957792352253302</v>
      </c>
      <c r="T700" s="14">
        <v>0.68250747690465596</v>
      </c>
      <c r="U700" s="14">
        <v>0.70277517558388602</v>
      </c>
      <c r="V700" s="14">
        <v>0.76330468758672299</v>
      </c>
      <c r="W700" s="14">
        <v>0.78385962202896298</v>
      </c>
      <c r="X700" s="14">
        <v>0.765271613011137</v>
      </c>
      <c r="Y700" s="14">
        <v>0.60833616796749501</v>
      </c>
      <c r="Z700" s="14">
        <v>0.71044573569864999</v>
      </c>
      <c r="AA700" s="14"/>
      <c r="AB700" s="14" t="s">
        <v>76</v>
      </c>
      <c r="AC700" s="14" t="s">
        <v>76</v>
      </c>
      <c r="AD700" s="14" t="s">
        <v>76</v>
      </c>
      <c r="AE700" s="14" t="s">
        <v>76</v>
      </c>
      <c r="AF700" s="14"/>
      <c r="AG700" s="14" t="s">
        <v>76</v>
      </c>
      <c r="AH700" s="14" t="s">
        <v>76</v>
      </c>
      <c r="AI700" s="14"/>
      <c r="AJ700" s="14" t="s">
        <v>76</v>
      </c>
      <c r="AK700" s="14" t="s">
        <v>76</v>
      </c>
      <c r="AL700" s="14"/>
      <c r="AM700" s="14">
        <v>0.74623174709559503</v>
      </c>
      <c r="AN700" s="14">
        <v>0.69149463570656999</v>
      </c>
    </row>
    <row r="701" spans="2:40" x14ac:dyDescent="0.35">
      <c r="B701" t="s">
        <v>45</v>
      </c>
      <c r="C701" s="14">
        <v>0.19181582564972099</v>
      </c>
      <c r="D701" s="14">
        <v>0.230476293807304</v>
      </c>
      <c r="E701" s="14">
        <v>0.14248822815862699</v>
      </c>
      <c r="F701" s="14"/>
      <c r="G701" s="14" t="s">
        <v>76</v>
      </c>
      <c r="H701" s="14">
        <v>0.19181582564972099</v>
      </c>
      <c r="I701" s="14" t="s">
        <v>76</v>
      </c>
      <c r="J701" s="14"/>
      <c r="K701" s="14">
        <v>0.19181582564972099</v>
      </c>
      <c r="L701" s="14" t="s">
        <v>76</v>
      </c>
      <c r="M701" s="14" t="s">
        <v>76</v>
      </c>
      <c r="N701" s="14"/>
      <c r="O701" s="14">
        <v>0.186628041582896</v>
      </c>
      <c r="P701" s="14">
        <v>0.22493191205374999</v>
      </c>
      <c r="Q701" s="14"/>
      <c r="R701" s="14">
        <v>0.24117244939939</v>
      </c>
      <c r="S701" s="14">
        <v>0.145349424529054</v>
      </c>
      <c r="T701" s="14">
        <v>0.24582028836852199</v>
      </c>
      <c r="U701" s="14">
        <v>0.15948749296564901</v>
      </c>
      <c r="V701" s="14">
        <v>0.128182234518741</v>
      </c>
      <c r="W701" s="14">
        <v>0.171335584407006</v>
      </c>
      <c r="X701" s="14">
        <v>0.15574851116643501</v>
      </c>
      <c r="Y701" s="14">
        <v>0.39166383203250499</v>
      </c>
      <c r="Z701" s="14">
        <v>0.206587685864938</v>
      </c>
      <c r="AA701" s="14"/>
      <c r="AB701" s="14" t="s">
        <v>76</v>
      </c>
      <c r="AC701" s="14" t="s">
        <v>76</v>
      </c>
      <c r="AD701" s="14" t="s">
        <v>76</v>
      </c>
      <c r="AE701" s="14" t="s">
        <v>76</v>
      </c>
      <c r="AF701" s="14"/>
      <c r="AG701" s="14" t="s">
        <v>76</v>
      </c>
      <c r="AH701" s="14" t="s">
        <v>76</v>
      </c>
      <c r="AI701" s="14"/>
      <c r="AJ701" s="14" t="s">
        <v>76</v>
      </c>
      <c r="AK701" s="14" t="s">
        <v>76</v>
      </c>
      <c r="AL701" s="14"/>
      <c r="AM701" s="14">
        <v>0.1783042428637</v>
      </c>
      <c r="AN701" s="14">
        <v>0.186425670537297</v>
      </c>
    </row>
    <row r="702" spans="2:40" x14ac:dyDescent="0.35">
      <c r="B702" t="s">
        <v>70</v>
      </c>
      <c r="C702" s="14">
        <v>8.5565243618659304E-2</v>
      </c>
      <c r="D702" s="14">
        <v>8.5074812326470003E-2</v>
      </c>
      <c r="E702" s="14">
        <v>8.6900051745270296E-2</v>
      </c>
      <c r="F702" s="14"/>
      <c r="G702" s="14" t="s">
        <v>76</v>
      </c>
      <c r="H702" s="14">
        <v>8.5565243618659304E-2</v>
      </c>
      <c r="I702" s="14" t="s">
        <v>76</v>
      </c>
      <c r="J702" s="14"/>
      <c r="K702" s="14">
        <v>8.5565243618659304E-2</v>
      </c>
      <c r="L702" s="14" t="s">
        <v>76</v>
      </c>
      <c r="M702" s="14" t="s">
        <v>76</v>
      </c>
      <c r="N702" s="14"/>
      <c r="O702" s="14">
        <v>8.9883244768927895E-2</v>
      </c>
      <c r="P702" s="14">
        <v>4.9708033937781497E-2</v>
      </c>
      <c r="Q702" s="14"/>
      <c r="R702" s="14">
        <v>3.1693473955840101E-2</v>
      </c>
      <c r="S702" s="14">
        <v>0.14507265194841301</v>
      </c>
      <c r="T702" s="14">
        <v>7.1672234726822298E-2</v>
      </c>
      <c r="U702" s="14">
        <v>0.13773733145046499</v>
      </c>
      <c r="V702" s="14">
        <v>0.108513077894536</v>
      </c>
      <c r="W702" s="14">
        <v>4.4804793564031699E-2</v>
      </c>
      <c r="X702" s="14">
        <v>7.8979875822428103E-2</v>
      </c>
      <c r="Y702" s="14">
        <v>0</v>
      </c>
      <c r="Z702" s="14">
        <v>8.2966578436412503E-2</v>
      </c>
      <c r="AA702" s="14"/>
      <c r="AB702" s="14" t="s">
        <v>76</v>
      </c>
      <c r="AC702" s="14" t="s">
        <v>76</v>
      </c>
      <c r="AD702" s="14" t="s">
        <v>76</v>
      </c>
      <c r="AE702" s="14" t="s">
        <v>76</v>
      </c>
      <c r="AF702" s="14"/>
      <c r="AG702" s="14" t="s">
        <v>76</v>
      </c>
      <c r="AH702" s="14" t="s">
        <v>76</v>
      </c>
      <c r="AI702" s="14"/>
      <c r="AJ702" s="14" t="s">
        <v>76</v>
      </c>
      <c r="AK702" s="14" t="s">
        <v>76</v>
      </c>
      <c r="AL702" s="14"/>
      <c r="AM702" s="14">
        <v>7.5464010040705201E-2</v>
      </c>
      <c r="AN702" s="14">
        <v>0.12207969375613301</v>
      </c>
    </row>
    <row r="703" spans="2:40" x14ac:dyDescent="0.35"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F703" s="14"/>
      <c r="AG703" s="14"/>
      <c r="AH703" s="14"/>
      <c r="AI703" s="14"/>
      <c r="AJ703" s="14"/>
      <c r="AK703" s="14"/>
      <c r="AL703" s="14"/>
      <c r="AM703" s="14"/>
      <c r="AN703" s="14"/>
    </row>
    <row r="704" spans="2:40" x14ac:dyDescent="0.35">
      <c r="B704" s="6" t="s">
        <v>228</v>
      </c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F704" s="14"/>
      <c r="AG704" s="14"/>
      <c r="AH704" s="14"/>
      <c r="AI704" s="14"/>
      <c r="AJ704" s="14"/>
      <c r="AK704" s="14"/>
      <c r="AL704" s="14"/>
      <c r="AM704" s="14"/>
      <c r="AN704" s="14"/>
    </row>
    <row r="705" spans="2:40" x14ac:dyDescent="0.35">
      <c r="B705" s="26" t="s">
        <v>395</v>
      </c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  <c r="AE705" s="14"/>
      <c r="AF705" s="14"/>
      <c r="AG705" s="14"/>
      <c r="AH705" s="14"/>
      <c r="AI705" s="14"/>
      <c r="AJ705" s="14"/>
      <c r="AK705" s="14"/>
      <c r="AL705" s="14"/>
      <c r="AM705" s="14"/>
      <c r="AN705" s="14"/>
    </row>
    <row r="706" spans="2:40" x14ac:dyDescent="0.35">
      <c r="B706" t="s">
        <v>155</v>
      </c>
      <c r="C706" s="14">
        <v>0.13704745666980001</v>
      </c>
      <c r="D706" s="14">
        <v>0.17563354786527</v>
      </c>
      <c r="E706" s="14">
        <v>0.10006466127027699</v>
      </c>
      <c r="F706" s="14"/>
      <c r="G706" s="14" t="s">
        <v>76</v>
      </c>
      <c r="H706" s="14">
        <v>0.13704745666980001</v>
      </c>
      <c r="I706" s="14" t="s">
        <v>76</v>
      </c>
      <c r="J706" s="14"/>
      <c r="K706" s="14">
        <v>0.13704745666980001</v>
      </c>
      <c r="L706" s="14" t="s">
        <v>76</v>
      </c>
      <c r="M706" s="14" t="s">
        <v>76</v>
      </c>
      <c r="N706" s="14"/>
      <c r="O706" s="14">
        <v>0.11409053218316299</v>
      </c>
      <c r="P706" s="14">
        <v>0.33245608315460901</v>
      </c>
      <c r="Q706" s="14"/>
      <c r="R706" s="14">
        <v>0.31135137691863801</v>
      </c>
      <c r="S706" s="14">
        <v>0.12347846860452399</v>
      </c>
      <c r="T706" s="14">
        <v>0.129774474531649</v>
      </c>
      <c r="U706" s="14">
        <v>0.12889473676405699</v>
      </c>
      <c r="V706" s="14">
        <v>8.8947366111048795E-2</v>
      </c>
      <c r="W706" s="14">
        <v>7.7274758486983702E-2</v>
      </c>
      <c r="X706" s="14">
        <v>3.15650638911689E-2</v>
      </c>
      <c r="Y706" s="14">
        <v>0.13848964631562899</v>
      </c>
      <c r="Z706" s="14">
        <v>0.158537016906177</v>
      </c>
      <c r="AA706" s="14"/>
      <c r="AB706" s="14" t="s">
        <v>76</v>
      </c>
      <c r="AC706" s="14" t="s">
        <v>76</v>
      </c>
      <c r="AD706" s="14" t="s">
        <v>76</v>
      </c>
      <c r="AE706" s="14" t="s">
        <v>76</v>
      </c>
      <c r="AF706" s="14"/>
      <c r="AG706" s="14" t="s">
        <v>76</v>
      </c>
      <c r="AH706" s="14" t="s">
        <v>76</v>
      </c>
      <c r="AI706" s="14"/>
      <c r="AJ706" s="14" t="s">
        <v>76</v>
      </c>
      <c r="AK706" s="14" t="s">
        <v>76</v>
      </c>
      <c r="AL706" s="14"/>
      <c r="AM706" s="14">
        <v>0.18267425740446999</v>
      </c>
      <c r="AN706" s="14">
        <v>4.3262956676040201E-2</v>
      </c>
    </row>
    <row r="707" spans="2:40" x14ac:dyDescent="0.35">
      <c r="B707" t="s">
        <v>156</v>
      </c>
      <c r="C707" s="14">
        <v>0.55721661328050098</v>
      </c>
      <c r="D707" s="14">
        <v>0.54072882870265904</v>
      </c>
      <c r="E707" s="14">
        <v>0.57301931173328902</v>
      </c>
      <c r="F707" s="14"/>
      <c r="G707" s="14" t="s">
        <v>76</v>
      </c>
      <c r="H707" s="14">
        <v>0.55721661328050098</v>
      </c>
      <c r="I707" s="14" t="s">
        <v>76</v>
      </c>
      <c r="J707" s="14"/>
      <c r="K707" s="14">
        <v>0.55721661328050098</v>
      </c>
      <c r="L707" s="14" t="s">
        <v>76</v>
      </c>
      <c r="M707" s="14" t="s">
        <v>76</v>
      </c>
      <c r="N707" s="14"/>
      <c r="O707" s="14">
        <v>0.55848877844289802</v>
      </c>
      <c r="P707" s="14">
        <v>0.50666662966209097</v>
      </c>
      <c r="Q707" s="14"/>
      <c r="R707" s="14">
        <v>0.36626859562573899</v>
      </c>
      <c r="S707" s="14">
        <v>0.44797836584671602</v>
      </c>
      <c r="T707" s="14">
        <v>0.521199608283062</v>
      </c>
      <c r="U707" s="14">
        <v>0.57359812190148196</v>
      </c>
      <c r="V707" s="14">
        <v>0.68675078432636005</v>
      </c>
      <c r="W707" s="14">
        <v>0.70532099681357496</v>
      </c>
      <c r="X707" s="14">
        <v>0.766618857817427</v>
      </c>
      <c r="Y707" s="14">
        <v>0.58970773960022604</v>
      </c>
      <c r="Z707" s="14">
        <v>0.48836388750613002</v>
      </c>
      <c r="AA707" s="14"/>
      <c r="AB707" s="14" t="s">
        <v>76</v>
      </c>
      <c r="AC707" s="14" t="s">
        <v>76</v>
      </c>
      <c r="AD707" s="14" t="s">
        <v>76</v>
      </c>
      <c r="AE707" s="14" t="s">
        <v>76</v>
      </c>
      <c r="AF707" s="14"/>
      <c r="AG707" s="14" t="s">
        <v>76</v>
      </c>
      <c r="AH707" s="14" t="s">
        <v>76</v>
      </c>
      <c r="AI707" s="14"/>
      <c r="AJ707" s="14" t="s">
        <v>76</v>
      </c>
      <c r="AK707" s="14" t="s">
        <v>76</v>
      </c>
      <c r="AL707" s="14"/>
      <c r="AM707" s="14">
        <v>0.56784352031138396</v>
      </c>
      <c r="AN707" s="14">
        <v>0.50531191688207999</v>
      </c>
    </row>
    <row r="708" spans="2:40" x14ac:dyDescent="0.35">
      <c r="B708" t="s">
        <v>157</v>
      </c>
      <c r="C708" s="14">
        <v>0.210955547228278</v>
      </c>
      <c r="D708" s="14">
        <v>0.18436942676164</v>
      </c>
      <c r="E708" s="14">
        <v>0.23643698427521601</v>
      </c>
      <c r="F708" s="14"/>
      <c r="G708" s="14" t="s">
        <v>76</v>
      </c>
      <c r="H708" s="14">
        <v>0.210955547228278</v>
      </c>
      <c r="I708" s="14" t="s">
        <v>76</v>
      </c>
      <c r="J708" s="14"/>
      <c r="K708" s="14">
        <v>0.210955547228278</v>
      </c>
      <c r="L708" s="14" t="s">
        <v>76</v>
      </c>
      <c r="M708" s="14" t="s">
        <v>76</v>
      </c>
      <c r="N708" s="14"/>
      <c r="O708" s="14">
        <v>0.225895419688184</v>
      </c>
      <c r="P708" s="14">
        <v>0.103576674532015</v>
      </c>
      <c r="Q708" s="14"/>
      <c r="R708" s="14">
        <v>0.217071897157122</v>
      </c>
      <c r="S708" s="14">
        <v>0.25540433253570399</v>
      </c>
      <c r="T708" s="14">
        <v>0.26225169498012202</v>
      </c>
      <c r="U708" s="14">
        <v>0.16625920654811199</v>
      </c>
      <c r="V708" s="14">
        <v>0.13963958658589201</v>
      </c>
      <c r="W708" s="14">
        <v>0.17545305091271701</v>
      </c>
      <c r="X708" s="14">
        <v>0.13656289736555399</v>
      </c>
      <c r="Y708" s="14">
        <v>0.202989142657378</v>
      </c>
      <c r="Z708" s="14">
        <v>0.31561778418082698</v>
      </c>
      <c r="AA708" s="14"/>
      <c r="AB708" s="14" t="s">
        <v>76</v>
      </c>
      <c r="AC708" s="14" t="s">
        <v>76</v>
      </c>
      <c r="AD708" s="14" t="s">
        <v>76</v>
      </c>
      <c r="AE708" s="14" t="s">
        <v>76</v>
      </c>
      <c r="AF708" s="14"/>
      <c r="AG708" s="14" t="s">
        <v>76</v>
      </c>
      <c r="AH708" s="14" t="s">
        <v>76</v>
      </c>
      <c r="AI708" s="14"/>
      <c r="AJ708" s="14" t="s">
        <v>76</v>
      </c>
      <c r="AK708" s="14" t="s">
        <v>76</v>
      </c>
      <c r="AL708" s="14"/>
      <c r="AM708" s="14">
        <v>0.18418057404715599</v>
      </c>
      <c r="AN708" s="14">
        <v>0.245286917593806</v>
      </c>
    </row>
    <row r="709" spans="2:40" x14ac:dyDescent="0.35">
      <c r="B709" t="s">
        <v>158</v>
      </c>
      <c r="C709" s="14">
        <v>6.9152960267837293E-2</v>
      </c>
      <c r="D709" s="14">
        <v>7.0797411174920999E-2</v>
      </c>
      <c r="E709" s="14">
        <v>6.7576838158625599E-2</v>
      </c>
      <c r="F709" s="14"/>
      <c r="G709" s="14" t="s">
        <v>76</v>
      </c>
      <c r="H709" s="14">
        <v>6.9152960267837293E-2</v>
      </c>
      <c r="I709" s="14" t="s">
        <v>76</v>
      </c>
      <c r="J709" s="14"/>
      <c r="K709" s="14">
        <v>6.9152960267837293E-2</v>
      </c>
      <c r="L709" s="14" t="s">
        <v>76</v>
      </c>
      <c r="M709" s="14" t="s">
        <v>76</v>
      </c>
      <c r="N709" s="14"/>
      <c r="O709" s="14">
        <v>7.2246869256505503E-2</v>
      </c>
      <c r="P709" s="14">
        <v>5.7300612651284402E-2</v>
      </c>
      <c r="Q709" s="14"/>
      <c r="R709" s="14">
        <v>6.0418452722705497E-2</v>
      </c>
      <c r="S709" s="14">
        <v>0.122895475142275</v>
      </c>
      <c r="T709" s="14">
        <v>5.71679209430336E-2</v>
      </c>
      <c r="U709" s="14">
        <v>8.1329052845137306E-2</v>
      </c>
      <c r="V709" s="14">
        <v>8.4662262976699904E-2</v>
      </c>
      <c r="W709" s="14">
        <v>4.1951193786723302E-2</v>
      </c>
      <c r="X709" s="14">
        <v>6.5253180925850196E-2</v>
      </c>
      <c r="Y709" s="14">
        <v>6.8813471426767595E-2</v>
      </c>
      <c r="Z709" s="14">
        <v>1.8740655703433601E-2</v>
      </c>
      <c r="AA709" s="14"/>
      <c r="AB709" s="14" t="s">
        <v>76</v>
      </c>
      <c r="AC709" s="14" t="s">
        <v>76</v>
      </c>
      <c r="AD709" s="14" t="s">
        <v>76</v>
      </c>
      <c r="AE709" s="14" t="s">
        <v>76</v>
      </c>
      <c r="AF709" s="14"/>
      <c r="AG709" s="14" t="s">
        <v>76</v>
      </c>
      <c r="AH709" s="14" t="s">
        <v>76</v>
      </c>
      <c r="AI709" s="14"/>
      <c r="AJ709" s="14" t="s">
        <v>76</v>
      </c>
      <c r="AK709" s="14" t="s">
        <v>76</v>
      </c>
      <c r="AL709" s="14"/>
      <c r="AM709" s="14">
        <v>4.68747986174173E-2</v>
      </c>
      <c r="AN709" s="14">
        <v>0.15128267136013299</v>
      </c>
    </row>
    <row r="710" spans="2:40" x14ac:dyDescent="0.35">
      <c r="B710" t="s">
        <v>70</v>
      </c>
      <c r="C710" s="14">
        <v>2.5627422553582802E-2</v>
      </c>
      <c r="D710" s="14">
        <v>2.8470785495510201E-2</v>
      </c>
      <c r="E710" s="14">
        <v>2.29022045625926E-2</v>
      </c>
      <c r="F710" s="14"/>
      <c r="G710" s="14" t="s">
        <v>76</v>
      </c>
      <c r="H710" s="14">
        <v>2.5627422553582802E-2</v>
      </c>
      <c r="I710" s="14" t="s">
        <v>76</v>
      </c>
      <c r="J710" s="14"/>
      <c r="K710" s="14">
        <v>2.5627422553582802E-2</v>
      </c>
      <c r="L710" s="14" t="s">
        <v>76</v>
      </c>
      <c r="M710" s="14" t="s">
        <v>76</v>
      </c>
      <c r="N710" s="14"/>
      <c r="O710" s="14">
        <v>2.9278400429249399E-2</v>
      </c>
      <c r="P710" s="14">
        <v>0</v>
      </c>
      <c r="Q710" s="14"/>
      <c r="R710" s="14">
        <v>4.4889677575795497E-2</v>
      </c>
      <c r="S710" s="14">
        <v>5.0243357870780499E-2</v>
      </c>
      <c r="T710" s="14">
        <v>2.9606301262134101E-2</v>
      </c>
      <c r="U710" s="14">
        <v>4.9918881941211302E-2</v>
      </c>
      <c r="V710" s="14">
        <v>0</v>
      </c>
      <c r="W710" s="14">
        <v>0</v>
      </c>
      <c r="X710" s="14">
        <v>0</v>
      </c>
      <c r="Y710" s="14">
        <v>0</v>
      </c>
      <c r="Z710" s="14">
        <v>1.8740655703433601E-2</v>
      </c>
      <c r="AA710" s="14"/>
      <c r="AB710" s="14" t="s">
        <v>76</v>
      </c>
      <c r="AC710" s="14" t="s">
        <v>76</v>
      </c>
      <c r="AD710" s="14" t="s">
        <v>76</v>
      </c>
      <c r="AE710" s="14" t="s">
        <v>76</v>
      </c>
      <c r="AF710" s="14"/>
      <c r="AG710" s="14" t="s">
        <v>76</v>
      </c>
      <c r="AH710" s="14" t="s">
        <v>76</v>
      </c>
      <c r="AI710" s="14"/>
      <c r="AJ710" s="14" t="s">
        <v>76</v>
      </c>
      <c r="AK710" s="14" t="s">
        <v>76</v>
      </c>
      <c r="AL710" s="14"/>
      <c r="AM710" s="14">
        <v>1.8426849619571799E-2</v>
      </c>
      <c r="AN710" s="14">
        <v>5.4855537487941003E-2</v>
      </c>
    </row>
    <row r="711" spans="2:40" x14ac:dyDescent="0.35"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  <c r="AD711" s="14"/>
      <c r="AE711" s="14"/>
      <c r="AF711" s="14"/>
      <c r="AG711" s="14"/>
      <c r="AH711" s="14"/>
      <c r="AI711" s="14"/>
      <c r="AJ711" s="14"/>
      <c r="AK711" s="14"/>
      <c r="AL711" s="14"/>
      <c r="AM711" s="14"/>
      <c r="AN711" s="14"/>
    </row>
    <row r="712" spans="2:40" x14ac:dyDescent="0.35">
      <c r="B712" s="6" t="s">
        <v>230</v>
      </c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4"/>
      <c r="AC712" s="14"/>
      <c r="AD712" s="14"/>
      <c r="AE712" s="14"/>
      <c r="AF712" s="14"/>
      <c r="AG712" s="14"/>
      <c r="AH712" s="14"/>
      <c r="AI712" s="14"/>
      <c r="AJ712" s="14"/>
      <c r="AK712" s="14"/>
      <c r="AL712" s="14"/>
      <c r="AM712" s="14"/>
      <c r="AN712" s="14"/>
    </row>
    <row r="713" spans="2:40" x14ac:dyDescent="0.35">
      <c r="B713" s="26" t="s">
        <v>395</v>
      </c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4"/>
      <c r="AC713" s="14"/>
      <c r="AD713" s="14"/>
      <c r="AE713" s="14"/>
      <c r="AF713" s="14"/>
      <c r="AG713" s="14"/>
      <c r="AH713" s="14"/>
      <c r="AI713" s="14"/>
      <c r="AJ713" s="14"/>
      <c r="AK713" s="14"/>
      <c r="AL713" s="14"/>
      <c r="AM713" s="14"/>
      <c r="AN713" s="14"/>
    </row>
    <row r="714" spans="2:40" x14ac:dyDescent="0.35">
      <c r="B714" t="s">
        <v>160</v>
      </c>
      <c r="C714" s="14">
        <v>0.21781346904835799</v>
      </c>
      <c r="D714" s="14">
        <v>0.25435199168886902</v>
      </c>
      <c r="E714" s="14">
        <v>0.18279316341103799</v>
      </c>
      <c r="F714" s="14"/>
      <c r="G714" s="14" t="s">
        <v>76</v>
      </c>
      <c r="H714" s="14">
        <v>0.21781346904835799</v>
      </c>
      <c r="I714" s="14" t="s">
        <v>76</v>
      </c>
      <c r="J714" s="14"/>
      <c r="K714" s="14">
        <v>0.21781346904835799</v>
      </c>
      <c r="L714" s="14" t="s">
        <v>76</v>
      </c>
      <c r="M714" s="14" t="s">
        <v>76</v>
      </c>
      <c r="N714" s="14"/>
      <c r="O714" s="14">
        <v>0.19743849599761301</v>
      </c>
      <c r="P714" s="14">
        <v>0.38225422628899097</v>
      </c>
      <c r="Q714" s="14"/>
      <c r="R714" s="14">
        <v>0.35986313063726699</v>
      </c>
      <c r="S714" s="14">
        <v>0.16772624011639201</v>
      </c>
      <c r="T714" s="14">
        <v>0.201066779644298</v>
      </c>
      <c r="U714" s="14">
        <v>0.18017947267265</v>
      </c>
      <c r="V714" s="14">
        <v>0.136711212343744</v>
      </c>
      <c r="W714" s="14">
        <v>0.15800271336358801</v>
      </c>
      <c r="X714" s="14">
        <v>0.29651125658830402</v>
      </c>
      <c r="Y714" s="14">
        <v>0.225855015507306</v>
      </c>
      <c r="Z714" s="14">
        <v>0.201639542618755</v>
      </c>
      <c r="AA714" s="14"/>
      <c r="AB714" s="14" t="s">
        <v>76</v>
      </c>
      <c r="AC714" s="14" t="s">
        <v>76</v>
      </c>
      <c r="AD714" s="14" t="s">
        <v>76</v>
      </c>
      <c r="AE714" s="14" t="s">
        <v>76</v>
      </c>
      <c r="AF714" s="14"/>
      <c r="AG714" s="14" t="s">
        <v>76</v>
      </c>
      <c r="AH714" s="14" t="s">
        <v>76</v>
      </c>
      <c r="AI714" s="14"/>
      <c r="AJ714" s="14" t="s">
        <v>76</v>
      </c>
      <c r="AK714" s="14" t="s">
        <v>76</v>
      </c>
      <c r="AL714" s="14"/>
      <c r="AM714" s="14">
        <v>0.29799408473112199</v>
      </c>
      <c r="AN714" s="14">
        <v>6.5140380271422604E-2</v>
      </c>
    </row>
    <row r="715" spans="2:40" x14ac:dyDescent="0.35">
      <c r="B715" t="s">
        <v>161</v>
      </c>
      <c r="C715" s="14">
        <v>0.58451786540607997</v>
      </c>
      <c r="D715" s="14">
        <v>0.57242500654162798</v>
      </c>
      <c r="E715" s="14">
        <v>0.59610825228703601</v>
      </c>
      <c r="F715" s="14"/>
      <c r="G715" s="14" t="s">
        <v>76</v>
      </c>
      <c r="H715" s="14">
        <v>0.58451786540607997</v>
      </c>
      <c r="I715" s="14" t="s">
        <v>76</v>
      </c>
      <c r="J715" s="14"/>
      <c r="K715" s="14">
        <v>0.58451786540607997</v>
      </c>
      <c r="L715" s="14" t="s">
        <v>76</v>
      </c>
      <c r="M715" s="14" t="s">
        <v>76</v>
      </c>
      <c r="N715" s="14"/>
      <c r="O715" s="14">
        <v>0.60293603236337501</v>
      </c>
      <c r="P715" s="14">
        <v>0.42330717820729202</v>
      </c>
      <c r="Q715" s="14"/>
      <c r="R715" s="14">
        <v>0.43242666346618203</v>
      </c>
      <c r="S715" s="14">
        <v>0.65613059057518597</v>
      </c>
      <c r="T715" s="14">
        <v>0.57955011347532603</v>
      </c>
      <c r="U715" s="14">
        <v>0.71966984903576103</v>
      </c>
      <c r="V715" s="14">
        <v>0.68357607268645804</v>
      </c>
      <c r="W715" s="14">
        <v>0.56395787299210198</v>
      </c>
      <c r="X715" s="14">
        <v>0.54181304839687705</v>
      </c>
      <c r="Y715" s="14">
        <v>0.56648026939687501</v>
      </c>
      <c r="Z715" s="14">
        <v>0.528178869858416</v>
      </c>
      <c r="AA715" s="14"/>
      <c r="AB715" s="14" t="s">
        <v>76</v>
      </c>
      <c r="AC715" s="14" t="s">
        <v>76</v>
      </c>
      <c r="AD715" s="14" t="s">
        <v>76</v>
      </c>
      <c r="AE715" s="14" t="s">
        <v>76</v>
      </c>
      <c r="AF715" s="14"/>
      <c r="AG715" s="14" t="s">
        <v>76</v>
      </c>
      <c r="AH715" s="14" t="s">
        <v>76</v>
      </c>
      <c r="AI715" s="14"/>
      <c r="AJ715" s="14" t="s">
        <v>76</v>
      </c>
      <c r="AK715" s="14" t="s">
        <v>76</v>
      </c>
      <c r="AL715" s="14"/>
      <c r="AM715" s="14">
        <v>0.58592736136425605</v>
      </c>
      <c r="AN715" s="14">
        <v>0.53734109654607498</v>
      </c>
    </row>
    <row r="716" spans="2:40" x14ac:dyDescent="0.35">
      <c r="B716" t="s">
        <v>162</v>
      </c>
      <c r="C716" s="14">
        <v>0.164992833012684</v>
      </c>
      <c r="D716" s="14">
        <v>0.14088906858957101</v>
      </c>
      <c r="E716" s="14">
        <v>0.18809505872148999</v>
      </c>
      <c r="F716" s="14"/>
      <c r="G716" s="14" t="s">
        <v>76</v>
      </c>
      <c r="H716" s="14">
        <v>0.164992833012684</v>
      </c>
      <c r="I716" s="14" t="s">
        <v>76</v>
      </c>
      <c r="J716" s="14"/>
      <c r="K716" s="14">
        <v>0.164992833012684</v>
      </c>
      <c r="L716" s="14" t="s">
        <v>76</v>
      </c>
      <c r="M716" s="14" t="s">
        <v>76</v>
      </c>
      <c r="N716" s="14"/>
      <c r="O716" s="14">
        <v>0.16836529932119701</v>
      </c>
      <c r="P716" s="14">
        <v>0.142963943588616</v>
      </c>
      <c r="Q716" s="14"/>
      <c r="R716" s="14">
        <v>0.187931502254501</v>
      </c>
      <c r="S716" s="14">
        <v>0.126906163519312</v>
      </c>
      <c r="T716" s="14">
        <v>0.13731126612010799</v>
      </c>
      <c r="U716" s="14">
        <v>5.0231796350376702E-2</v>
      </c>
      <c r="V716" s="14">
        <v>0.17971271496979799</v>
      </c>
      <c r="W716" s="14">
        <v>0.25470112507753101</v>
      </c>
      <c r="X716" s="14">
        <v>0.16167569501481899</v>
      </c>
      <c r="Y716" s="14">
        <v>0.134175675363847</v>
      </c>
      <c r="Z716" s="14">
        <v>0.25120598292267898</v>
      </c>
      <c r="AA716" s="14"/>
      <c r="AB716" s="14" t="s">
        <v>76</v>
      </c>
      <c r="AC716" s="14" t="s">
        <v>76</v>
      </c>
      <c r="AD716" s="14" t="s">
        <v>76</v>
      </c>
      <c r="AE716" s="14" t="s">
        <v>76</v>
      </c>
      <c r="AF716" s="14"/>
      <c r="AG716" s="14" t="s">
        <v>76</v>
      </c>
      <c r="AH716" s="14" t="s">
        <v>76</v>
      </c>
      <c r="AI716" s="14"/>
      <c r="AJ716" s="14" t="s">
        <v>76</v>
      </c>
      <c r="AK716" s="14" t="s">
        <v>76</v>
      </c>
      <c r="AL716" s="14"/>
      <c r="AM716" s="14">
        <v>0.10753472457045</v>
      </c>
      <c r="AN716" s="14">
        <v>0.31233615402116499</v>
      </c>
    </row>
    <row r="717" spans="2:40" x14ac:dyDescent="0.35">
      <c r="B717" t="s">
        <v>163</v>
      </c>
      <c r="C717" s="14">
        <v>2.2575002268947E-2</v>
      </c>
      <c r="D717" s="14">
        <v>2.2145789742675899E-2</v>
      </c>
      <c r="E717" s="14">
        <v>2.2986380528579101E-2</v>
      </c>
      <c r="F717" s="14"/>
      <c r="G717" s="14" t="s">
        <v>76</v>
      </c>
      <c r="H717" s="14">
        <v>2.2575002268947E-2</v>
      </c>
      <c r="I717" s="14" t="s">
        <v>76</v>
      </c>
      <c r="J717" s="14"/>
      <c r="K717" s="14">
        <v>2.2575002268947E-2</v>
      </c>
      <c r="L717" s="14" t="s">
        <v>76</v>
      </c>
      <c r="M717" s="14" t="s">
        <v>76</v>
      </c>
      <c r="N717" s="14"/>
      <c r="O717" s="14">
        <v>2.2701651196960701E-2</v>
      </c>
      <c r="P717" s="14">
        <v>2.6195869829096E-2</v>
      </c>
      <c r="Q717" s="14"/>
      <c r="R717" s="14">
        <v>1.9778703642050002E-2</v>
      </c>
      <c r="S717" s="14">
        <v>3.3615346228329103E-2</v>
      </c>
      <c r="T717" s="14">
        <v>8.2071840760267703E-2</v>
      </c>
      <c r="U717" s="14">
        <v>2.4959440970605599E-2</v>
      </c>
      <c r="V717" s="14">
        <v>0</v>
      </c>
      <c r="W717" s="14">
        <v>2.3338288566779899E-2</v>
      </c>
      <c r="X717" s="14">
        <v>0</v>
      </c>
      <c r="Y717" s="14">
        <v>0</v>
      </c>
      <c r="Z717" s="14">
        <v>0</v>
      </c>
      <c r="AA717" s="14"/>
      <c r="AB717" s="14" t="s">
        <v>76</v>
      </c>
      <c r="AC717" s="14" t="s">
        <v>76</v>
      </c>
      <c r="AD717" s="14" t="s">
        <v>76</v>
      </c>
      <c r="AE717" s="14" t="s">
        <v>76</v>
      </c>
      <c r="AF717" s="14"/>
      <c r="AG717" s="14" t="s">
        <v>76</v>
      </c>
      <c r="AH717" s="14" t="s">
        <v>76</v>
      </c>
      <c r="AI717" s="14"/>
      <c r="AJ717" s="14" t="s">
        <v>76</v>
      </c>
      <c r="AK717" s="14" t="s">
        <v>76</v>
      </c>
      <c r="AL717" s="14"/>
      <c r="AM717" s="14">
        <v>4.5220188630973003E-3</v>
      </c>
      <c r="AN717" s="14">
        <v>5.8064027125314201E-2</v>
      </c>
    </row>
    <row r="718" spans="2:40" x14ac:dyDescent="0.35">
      <c r="B718" t="s">
        <v>70</v>
      </c>
      <c r="C718" s="14">
        <v>1.01008302639302E-2</v>
      </c>
      <c r="D718" s="14">
        <v>1.01881434372551E-2</v>
      </c>
      <c r="E718" s="14">
        <v>1.00171450518573E-2</v>
      </c>
      <c r="F718" s="14"/>
      <c r="G718" s="14" t="s">
        <v>76</v>
      </c>
      <c r="H718" s="14">
        <v>1.01008302639302E-2</v>
      </c>
      <c r="I718" s="14" t="s">
        <v>76</v>
      </c>
      <c r="J718" s="14"/>
      <c r="K718" s="14">
        <v>1.01008302639302E-2</v>
      </c>
      <c r="L718" s="14" t="s">
        <v>76</v>
      </c>
      <c r="M718" s="14" t="s">
        <v>76</v>
      </c>
      <c r="N718" s="14"/>
      <c r="O718" s="14">
        <v>8.5585211208534604E-3</v>
      </c>
      <c r="P718" s="14">
        <v>2.5278782086005501E-2</v>
      </c>
      <c r="Q718" s="14"/>
      <c r="R718" s="14">
        <v>0</v>
      </c>
      <c r="S718" s="14">
        <v>1.56216595607809E-2</v>
      </c>
      <c r="T718" s="14">
        <v>0</v>
      </c>
      <c r="U718" s="14">
        <v>2.4959440970605599E-2</v>
      </c>
      <c r="V718" s="14">
        <v>0</v>
      </c>
      <c r="W718" s="14">
        <v>0</v>
      </c>
      <c r="X718" s="14">
        <v>0</v>
      </c>
      <c r="Y718" s="14">
        <v>7.3489039731971698E-2</v>
      </c>
      <c r="Z718" s="14">
        <v>1.8975604600149999E-2</v>
      </c>
      <c r="AA718" s="14"/>
      <c r="AB718" s="14" t="s">
        <v>76</v>
      </c>
      <c r="AC718" s="14" t="s">
        <v>76</v>
      </c>
      <c r="AD718" s="14" t="s">
        <v>76</v>
      </c>
      <c r="AE718" s="14" t="s">
        <v>76</v>
      </c>
      <c r="AF718" s="14"/>
      <c r="AG718" s="14" t="s">
        <v>76</v>
      </c>
      <c r="AH718" s="14" t="s">
        <v>76</v>
      </c>
      <c r="AI718" s="14"/>
      <c r="AJ718" s="14" t="s">
        <v>76</v>
      </c>
      <c r="AK718" s="14" t="s">
        <v>76</v>
      </c>
      <c r="AL718" s="14"/>
      <c r="AM718" s="14">
        <v>4.0218104710741899E-3</v>
      </c>
      <c r="AN718" s="14">
        <v>2.71183420360234E-2</v>
      </c>
    </row>
    <row r="719" spans="2:40" x14ac:dyDescent="0.35">
      <c r="B719" t="s">
        <v>164</v>
      </c>
      <c r="C719" s="14">
        <v>0.80233133445443805</v>
      </c>
      <c r="D719" s="14">
        <v>0.82677699823049799</v>
      </c>
      <c r="E719" s="14">
        <v>0.77890141569807303</v>
      </c>
      <c r="F719" s="14"/>
      <c r="G719" s="14" t="s">
        <v>76</v>
      </c>
      <c r="H719" s="14">
        <v>0.80233133445443805</v>
      </c>
      <c r="I719" s="14" t="s">
        <v>76</v>
      </c>
      <c r="J719" s="14"/>
      <c r="K719" s="14">
        <v>0.80233133445443805</v>
      </c>
      <c r="L719" s="14" t="s">
        <v>76</v>
      </c>
      <c r="M719" s="14" t="s">
        <v>76</v>
      </c>
      <c r="N719" s="14"/>
      <c r="O719" s="14">
        <v>0.80037452836098799</v>
      </c>
      <c r="P719" s="14">
        <v>0.805561404496283</v>
      </c>
      <c r="Q719" s="14"/>
      <c r="R719" s="14">
        <v>0.79228979410344902</v>
      </c>
      <c r="S719" s="14">
        <v>0.823856830691578</v>
      </c>
      <c r="T719" s="14">
        <v>0.78061689311962401</v>
      </c>
      <c r="U719" s="14">
        <v>0.89984932170841203</v>
      </c>
      <c r="V719" s="14">
        <v>0.82028728503020198</v>
      </c>
      <c r="W719" s="14">
        <v>0.72196058635568905</v>
      </c>
      <c r="X719" s="14">
        <v>0.83832430498518096</v>
      </c>
      <c r="Y719" s="14">
        <v>0.79233528490418204</v>
      </c>
      <c r="Z719" s="14">
        <v>0.72981841247717105</v>
      </c>
      <c r="AA719" s="14"/>
      <c r="AB719" s="14" t="s">
        <v>76</v>
      </c>
      <c r="AC719" s="14" t="s">
        <v>76</v>
      </c>
      <c r="AD719" s="14" t="s">
        <v>76</v>
      </c>
      <c r="AE719" s="14" t="s">
        <v>76</v>
      </c>
      <c r="AF719" s="14"/>
      <c r="AG719" s="14" t="s">
        <v>76</v>
      </c>
      <c r="AH719" s="14" t="s">
        <v>76</v>
      </c>
      <c r="AI719" s="14"/>
      <c r="AJ719" s="14" t="s">
        <v>76</v>
      </c>
      <c r="AK719" s="14" t="s">
        <v>76</v>
      </c>
      <c r="AL719" s="14"/>
      <c r="AM719" s="14">
        <v>0.88392144609537904</v>
      </c>
      <c r="AN719" s="14">
        <v>0.60248147681749697</v>
      </c>
    </row>
    <row r="720" spans="2:40" x14ac:dyDescent="0.35"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4"/>
      <c r="AD720" s="14"/>
      <c r="AE720" s="14"/>
      <c r="AF720" s="14"/>
      <c r="AG720" s="14"/>
      <c r="AH720" s="14"/>
      <c r="AI720" s="14"/>
      <c r="AJ720" s="14"/>
      <c r="AK720" s="14"/>
      <c r="AL720" s="14"/>
      <c r="AM720" s="14"/>
      <c r="AN720" s="14"/>
    </row>
    <row r="721" spans="2:40" x14ac:dyDescent="0.35">
      <c r="B721" s="6" t="s">
        <v>231</v>
      </c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  <c r="AC721" s="14"/>
      <c r="AD721" s="14"/>
      <c r="AE721" s="14"/>
      <c r="AF721" s="14"/>
      <c r="AG721" s="14"/>
      <c r="AH721" s="14"/>
      <c r="AI721" s="14"/>
      <c r="AJ721" s="14"/>
      <c r="AK721" s="14"/>
      <c r="AL721" s="14"/>
      <c r="AM721" s="14"/>
      <c r="AN721" s="14"/>
    </row>
    <row r="722" spans="2:40" x14ac:dyDescent="0.35">
      <c r="B722" s="26" t="s">
        <v>395</v>
      </c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4"/>
      <c r="AC722" s="14"/>
      <c r="AD722" s="14"/>
      <c r="AE722" s="14"/>
      <c r="AF722" s="14"/>
      <c r="AG722" s="14"/>
      <c r="AH722" s="14"/>
      <c r="AI722" s="14"/>
      <c r="AJ722" s="14"/>
      <c r="AK722" s="14"/>
      <c r="AL722" s="14"/>
      <c r="AM722" s="14"/>
      <c r="AN722" s="14"/>
    </row>
    <row r="723" spans="2:40" x14ac:dyDescent="0.35">
      <c r="B723" t="s">
        <v>166</v>
      </c>
      <c r="C723" s="14">
        <v>0.203211971629642</v>
      </c>
      <c r="D723" s="14">
        <v>0.24267632407246201</v>
      </c>
      <c r="E723" s="14">
        <v>0.16538740773241001</v>
      </c>
      <c r="F723" s="14"/>
      <c r="G723" s="14" t="s">
        <v>76</v>
      </c>
      <c r="H723" s="14">
        <v>0.203211971629642</v>
      </c>
      <c r="I723" s="14" t="s">
        <v>76</v>
      </c>
      <c r="J723" s="14"/>
      <c r="K723" s="14">
        <v>0.203211971629642</v>
      </c>
      <c r="L723" s="14" t="s">
        <v>76</v>
      </c>
      <c r="M723" s="14" t="s">
        <v>76</v>
      </c>
      <c r="N723" s="14"/>
      <c r="O723" s="14">
        <v>0.18634000134466799</v>
      </c>
      <c r="P723" s="14">
        <v>0.33491392769925399</v>
      </c>
      <c r="Q723" s="14"/>
      <c r="R723" s="14">
        <v>0.381483425522117</v>
      </c>
      <c r="S723" s="14">
        <v>0.169347249928019</v>
      </c>
      <c r="T723" s="14">
        <v>0.25160382355923799</v>
      </c>
      <c r="U723" s="14">
        <v>0.23041125885296099</v>
      </c>
      <c r="V723" s="14">
        <v>5.35131357581742E-2</v>
      </c>
      <c r="W723" s="14">
        <v>0.13692468722714499</v>
      </c>
      <c r="X723" s="14">
        <v>0.12798757754812601</v>
      </c>
      <c r="Y723" s="14">
        <v>0.20730311360916001</v>
      </c>
      <c r="Z723" s="14">
        <v>0.21886112501299601</v>
      </c>
      <c r="AA723" s="14"/>
      <c r="AB723" s="14" t="s">
        <v>76</v>
      </c>
      <c r="AC723" s="14" t="s">
        <v>76</v>
      </c>
      <c r="AD723" s="14" t="s">
        <v>76</v>
      </c>
      <c r="AE723" s="14" t="s">
        <v>76</v>
      </c>
      <c r="AF723" s="14"/>
      <c r="AG723" s="14" t="s">
        <v>76</v>
      </c>
      <c r="AH723" s="14" t="s">
        <v>76</v>
      </c>
      <c r="AI723" s="14"/>
      <c r="AJ723" s="14" t="s">
        <v>76</v>
      </c>
      <c r="AK723" s="14" t="s">
        <v>76</v>
      </c>
      <c r="AL723" s="14"/>
      <c r="AM723" s="14">
        <v>0.28279843844226099</v>
      </c>
      <c r="AN723" s="14">
        <v>4.8974239118753198E-2</v>
      </c>
    </row>
    <row r="724" spans="2:40" x14ac:dyDescent="0.35">
      <c r="B724" t="s">
        <v>167</v>
      </c>
      <c r="C724" s="14">
        <v>0.47863380059489902</v>
      </c>
      <c r="D724" s="14">
        <v>0.49262737372950299</v>
      </c>
      <c r="E724" s="14">
        <v>0.46522167627467098</v>
      </c>
      <c r="F724" s="14"/>
      <c r="G724" s="14" t="s">
        <v>76</v>
      </c>
      <c r="H724" s="14">
        <v>0.47863380059489902</v>
      </c>
      <c r="I724" s="14" t="s">
        <v>76</v>
      </c>
      <c r="J724" s="14"/>
      <c r="K724" s="14">
        <v>0.47863380059489902</v>
      </c>
      <c r="L724" s="14" t="s">
        <v>76</v>
      </c>
      <c r="M724" s="14" t="s">
        <v>76</v>
      </c>
      <c r="N724" s="14"/>
      <c r="O724" s="14">
        <v>0.48626164431818703</v>
      </c>
      <c r="P724" s="14">
        <v>0.41146845210416499</v>
      </c>
      <c r="Q724" s="14"/>
      <c r="R724" s="14">
        <v>0.41080636583101399</v>
      </c>
      <c r="S724" s="14">
        <v>0.436174215965419</v>
      </c>
      <c r="T724" s="14">
        <v>0.47680487488783702</v>
      </c>
      <c r="U724" s="14">
        <v>0.48142487710943999</v>
      </c>
      <c r="V724" s="14">
        <v>0.56640795138728295</v>
      </c>
      <c r="W724" s="14">
        <v>0.54928709406668697</v>
      </c>
      <c r="X724" s="14">
        <v>0.53376442370945798</v>
      </c>
      <c r="Y724" s="14">
        <v>0.51621869986825397</v>
      </c>
      <c r="Z724" s="14">
        <v>0.410111648861268</v>
      </c>
      <c r="AA724" s="14"/>
      <c r="AB724" s="14" t="s">
        <v>76</v>
      </c>
      <c r="AC724" s="14" t="s">
        <v>76</v>
      </c>
      <c r="AD724" s="14" t="s">
        <v>76</v>
      </c>
      <c r="AE724" s="14" t="s">
        <v>76</v>
      </c>
      <c r="AF724" s="14"/>
      <c r="AG724" s="14" t="s">
        <v>76</v>
      </c>
      <c r="AH724" s="14" t="s">
        <v>76</v>
      </c>
      <c r="AI724" s="14"/>
      <c r="AJ724" s="14" t="s">
        <v>76</v>
      </c>
      <c r="AK724" s="14" t="s">
        <v>76</v>
      </c>
      <c r="AL724" s="14"/>
      <c r="AM724" s="14">
        <v>0.541210496954591</v>
      </c>
      <c r="AN724" s="14">
        <v>0.334779625973113</v>
      </c>
    </row>
    <row r="725" spans="2:40" x14ac:dyDescent="0.35">
      <c r="B725" t="s">
        <v>168</v>
      </c>
      <c r="C725" s="14">
        <v>0.23591926936488899</v>
      </c>
      <c r="D725" s="14">
        <v>0.21479259695139899</v>
      </c>
      <c r="E725" s="14">
        <v>0.25616810460924799</v>
      </c>
      <c r="F725" s="14"/>
      <c r="G725" s="14" t="s">
        <v>76</v>
      </c>
      <c r="H725" s="14">
        <v>0.23591926936488899</v>
      </c>
      <c r="I725" s="14" t="s">
        <v>76</v>
      </c>
      <c r="J725" s="14"/>
      <c r="K725" s="14">
        <v>0.23591926936488899</v>
      </c>
      <c r="L725" s="14" t="s">
        <v>76</v>
      </c>
      <c r="M725" s="14" t="s">
        <v>76</v>
      </c>
      <c r="N725" s="14"/>
      <c r="O725" s="14">
        <v>0.25000159757114498</v>
      </c>
      <c r="P725" s="14">
        <v>0.14100308163365499</v>
      </c>
      <c r="Q725" s="14"/>
      <c r="R725" s="14">
        <v>0.122180780984058</v>
      </c>
      <c r="S725" s="14">
        <v>0.29880552006607197</v>
      </c>
      <c r="T725" s="14">
        <v>0.19480441658002501</v>
      </c>
      <c r="U725" s="14">
        <v>0.23687912864808899</v>
      </c>
      <c r="V725" s="14">
        <v>0.25569731601468898</v>
      </c>
      <c r="W725" s="14">
        <v>0.25167317066080702</v>
      </c>
      <c r="X725" s="14">
        <v>0.30495561231995399</v>
      </c>
      <c r="Y725" s="14">
        <v>0.202989146790614</v>
      </c>
      <c r="Z725" s="14">
        <v>0.23604832943988999</v>
      </c>
      <c r="AA725" s="14"/>
      <c r="AB725" s="14" t="s">
        <v>76</v>
      </c>
      <c r="AC725" s="14" t="s">
        <v>76</v>
      </c>
      <c r="AD725" s="14" t="s">
        <v>76</v>
      </c>
      <c r="AE725" s="14" t="s">
        <v>76</v>
      </c>
      <c r="AF725" s="14"/>
      <c r="AG725" s="14" t="s">
        <v>76</v>
      </c>
      <c r="AH725" s="14" t="s">
        <v>76</v>
      </c>
      <c r="AI725" s="14"/>
      <c r="AJ725" s="14" t="s">
        <v>76</v>
      </c>
      <c r="AK725" s="14" t="s">
        <v>76</v>
      </c>
      <c r="AL725" s="14"/>
      <c r="AM725" s="14">
        <v>0.143039987514266</v>
      </c>
      <c r="AN725" s="14">
        <v>0.387799353577365</v>
      </c>
    </row>
    <row r="726" spans="2:40" x14ac:dyDescent="0.35">
      <c r="B726" t="s">
        <v>169</v>
      </c>
      <c r="C726" s="14">
        <v>7.0935306915579893E-2</v>
      </c>
      <c r="D726" s="14">
        <v>4.3989748121736998E-2</v>
      </c>
      <c r="E726" s="14">
        <v>9.6761247220088303E-2</v>
      </c>
      <c r="F726" s="14"/>
      <c r="G726" s="14" t="s">
        <v>76</v>
      </c>
      <c r="H726" s="14">
        <v>7.0935306915579893E-2</v>
      </c>
      <c r="I726" s="14" t="s">
        <v>76</v>
      </c>
      <c r="J726" s="14"/>
      <c r="K726" s="14">
        <v>7.0935306915579893E-2</v>
      </c>
      <c r="L726" s="14" t="s">
        <v>76</v>
      </c>
      <c r="M726" s="14" t="s">
        <v>76</v>
      </c>
      <c r="N726" s="14"/>
      <c r="O726" s="14">
        <v>7.1227986232089799E-2</v>
      </c>
      <c r="P726" s="14">
        <v>5.5459829406495798E-2</v>
      </c>
      <c r="Q726" s="14"/>
      <c r="R726" s="14">
        <v>8.5529427662811006E-2</v>
      </c>
      <c r="S726" s="14">
        <v>8.0051354479708806E-2</v>
      </c>
      <c r="T726" s="14">
        <v>7.6786884972900302E-2</v>
      </c>
      <c r="U726" s="14">
        <v>2.63252944189038E-2</v>
      </c>
      <c r="V726" s="14">
        <v>9.0411552502178902E-2</v>
      </c>
      <c r="W726" s="14">
        <v>6.2115048045360603E-2</v>
      </c>
      <c r="X726" s="14">
        <v>3.32923864224621E-2</v>
      </c>
      <c r="Y726" s="14">
        <v>0</v>
      </c>
      <c r="Z726" s="14">
        <v>0.13497889668584601</v>
      </c>
      <c r="AA726" s="14"/>
      <c r="AB726" s="14" t="s">
        <v>76</v>
      </c>
      <c r="AC726" s="14" t="s">
        <v>76</v>
      </c>
      <c r="AD726" s="14" t="s">
        <v>76</v>
      </c>
      <c r="AE726" s="14" t="s">
        <v>76</v>
      </c>
      <c r="AF726" s="14"/>
      <c r="AG726" s="14" t="s">
        <v>76</v>
      </c>
      <c r="AH726" s="14" t="s">
        <v>76</v>
      </c>
      <c r="AI726" s="14"/>
      <c r="AJ726" s="14" t="s">
        <v>76</v>
      </c>
      <c r="AK726" s="14" t="s">
        <v>76</v>
      </c>
      <c r="AL726" s="14"/>
      <c r="AM726" s="14">
        <v>2.8929266617807599E-2</v>
      </c>
      <c r="AN726" s="14">
        <v>0.201328439294745</v>
      </c>
    </row>
    <row r="727" spans="2:40" x14ac:dyDescent="0.35">
      <c r="B727" t="s">
        <v>70</v>
      </c>
      <c r="C727" s="14">
        <v>1.1299651494989E-2</v>
      </c>
      <c r="D727" s="14">
        <v>5.91395712489972E-3</v>
      </c>
      <c r="E727" s="14">
        <v>1.6461564163581899E-2</v>
      </c>
      <c r="F727" s="14"/>
      <c r="G727" s="14" t="s">
        <v>76</v>
      </c>
      <c r="H727" s="14">
        <v>1.1299651494989E-2</v>
      </c>
      <c r="I727" s="14" t="s">
        <v>76</v>
      </c>
      <c r="J727" s="14"/>
      <c r="K727" s="14">
        <v>1.1299651494989E-2</v>
      </c>
      <c r="L727" s="14" t="s">
        <v>76</v>
      </c>
      <c r="M727" s="14" t="s">
        <v>76</v>
      </c>
      <c r="N727" s="14"/>
      <c r="O727" s="14">
        <v>6.1687705339105101E-3</v>
      </c>
      <c r="P727" s="14">
        <v>5.7154709156430498E-2</v>
      </c>
      <c r="Q727" s="14"/>
      <c r="R727" s="14">
        <v>0</v>
      </c>
      <c r="S727" s="14">
        <v>1.56216595607809E-2</v>
      </c>
      <c r="T727" s="14">
        <v>0</v>
      </c>
      <c r="U727" s="14">
        <v>2.4959440970605599E-2</v>
      </c>
      <c r="V727" s="14">
        <v>3.39700443376749E-2</v>
      </c>
      <c r="W727" s="14">
        <v>0</v>
      </c>
      <c r="X727" s="14">
        <v>0</v>
      </c>
      <c r="Y727" s="14">
        <v>7.3489039731971698E-2</v>
      </c>
      <c r="Z727" s="14">
        <v>0</v>
      </c>
      <c r="AA727" s="14"/>
      <c r="AB727" s="14" t="s">
        <v>76</v>
      </c>
      <c r="AC727" s="14" t="s">
        <v>76</v>
      </c>
      <c r="AD727" s="14" t="s">
        <v>76</v>
      </c>
      <c r="AE727" s="14" t="s">
        <v>76</v>
      </c>
      <c r="AF727" s="14"/>
      <c r="AG727" s="14" t="s">
        <v>76</v>
      </c>
      <c r="AH727" s="14" t="s">
        <v>76</v>
      </c>
      <c r="AI727" s="14"/>
      <c r="AJ727" s="14" t="s">
        <v>76</v>
      </c>
      <c r="AK727" s="14" t="s">
        <v>76</v>
      </c>
      <c r="AL727" s="14"/>
      <c r="AM727" s="14">
        <v>4.0218104710741899E-3</v>
      </c>
      <c r="AN727" s="14">
        <v>2.71183420360234E-2</v>
      </c>
    </row>
    <row r="728" spans="2:40" x14ac:dyDescent="0.35"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4"/>
      <c r="AC728" s="14"/>
      <c r="AD728" s="14"/>
      <c r="AE728" s="14"/>
      <c r="AF728" s="14"/>
      <c r="AG728" s="14"/>
      <c r="AH728" s="14"/>
      <c r="AI728" s="14"/>
      <c r="AJ728" s="14"/>
      <c r="AK728" s="14"/>
      <c r="AL728" s="14"/>
      <c r="AM728" s="14"/>
      <c r="AN728" s="14"/>
    </row>
    <row r="729" spans="2:40" x14ac:dyDescent="0.35">
      <c r="B729" s="6" t="s">
        <v>232</v>
      </c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  <c r="AC729" s="14"/>
      <c r="AD729" s="14"/>
      <c r="AE729" s="14"/>
      <c r="AF729" s="14"/>
      <c r="AG729" s="14"/>
      <c r="AH729" s="14"/>
      <c r="AI729" s="14"/>
      <c r="AJ729" s="14"/>
      <c r="AK729" s="14"/>
      <c r="AL729" s="14"/>
      <c r="AM729" s="14"/>
      <c r="AN729" s="14"/>
    </row>
    <row r="730" spans="2:40" x14ac:dyDescent="0.35">
      <c r="B730" s="26" t="s">
        <v>209</v>
      </c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  <c r="AC730" s="14"/>
      <c r="AD730" s="14"/>
      <c r="AE730" s="14"/>
      <c r="AF730" s="14"/>
      <c r="AG730" s="14"/>
      <c r="AH730" s="14"/>
      <c r="AI730" s="14"/>
      <c r="AJ730" s="14"/>
      <c r="AK730" s="14"/>
      <c r="AL730" s="14"/>
      <c r="AM730" s="14"/>
      <c r="AN730" s="14"/>
    </row>
    <row r="731" spans="2:40" x14ac:dyDescent="0.35">
      <c r="B731" t="s">
        <v>44</v>
      </c>
      <c r="C731" s="14">
        <v>0.48828828288685799</v>
      </c>
      <c r="D731" s="14">
        <v>0.46612263023348999</v>
      </c>
      <c r="E731" s="14">
        <v>0.51311173508238594</v>
      </c>
      <c r="F731" s="14"/>
      <c r="G731" s="14" t="s">
        <v>76</v>
      </c>
      <c r="H731" s="14">
        <v>0.48828828288685799</v>
      </c>
      <c r="I731" s="14" t="s">
        <v>76</v>
      </c>
      <c r="J731" s="14"/>
      <c r="K731" s="14">
        <v>0.48828828288685799</v>
      </c>
      <c r="L731" s="14" t="s">
        <v>76</v>
      </c>
      <c r="M731" s="14" t="s">
        <v>76</v>
      </c>
      <c r="N731" s="14"/>
      <c r="O731" s="14">
        <v>0.46853403409129402</v>
      </c>
      <c r="P731" s="14">
        <v>0.65291906547847101</v>
      </c>
      <c r="Q731" s="14"/>
      <c r="R731" s="14">
        <v>0.52426164338998105</v>
      </c>
      <c r="S731" s="14">
        <v>0.43682381839439199</v>
      </c>
      <c r="T731" s="14">
        <v>0.50435240100611101</v>
      </c>
      <c r="U731" s="14">
        <v>0.47678902727817402</v>
      </c>
      <c r="V731" s="14">
        <v>0.38192147651694403</v>
      </c>
      <c r="W731" s="14">
        <v>0.568665593960614</v>
      </c>
      <c r="X731" s="14">
        <v>0.48842354847914299</v>
      </c>
      <c r="Y731" s="14">
        <v>0.55756473052255695</v>
      </c>
      <c r="Z731" s="14">
        <v>0.50245412674685797</v>
      </c>
      <c r="AA731" s="14"/>
      <c r="AB731" s="14" t="s">
        <v>76</v>
      </c>
      <c r="AC731" s="14" t="s">
        <v>76</v>
      </c>
      <c r="AD731" s="14" t="s">
        <v>76</v>
      </c>
      <c r="AE731" s="14" t="s">
        <v>76</v>
      </c>
      <c r="AF731" s="14"/>
      <c r="AG731" s="14" t="s">
        <v>76</v>
      </c>
      <c r="AH731" s="14" t="s">
        <v>76</v>
      </c>
      <c r="AI731" s="14"/>
      <c r="AJ731" s="14" t="s">
        <v>76</v>
      </c>
      <c r="AK731" s="14" t="s">
        <v>76</v>
      </c>
      <c r="AL731" s="14"/>
      <c r="AM731" s="14">
        <v>0.55701217454229801</v>
      </c>
      <c r="AN731" s="14">
        <v>0.303368183495692</v>
      </c>
    </row>
    <row r="732" spans="2:40" x14ac:dyDescent="0.35">
      <c r="B732" t="s">
        <v>45</v>
      </c>
      <c r="C732" s="14">
        <v>0.32632083105413201</v>
      </c>
      <c r="D732" s="14">
        <v>0.34767664098003898</v>
      </c>
      <c r="E732" s="14">
        <v>0.30062586178696199</v>
      </c>
      <c r="F732" s="14"/>
      <c r="G732" s="14" t="s">
        <v>76</v>
      </c>
      <c r="H732" s="14">
        <v>0.32632083105413201</v>
      </c>
      <c r="I732" s="14" t="s">
        <v>76</v>
      </c>
      <c r="J732" s="14"/>
      <c r="K732" s="14">
        <v>0.32632083105413201</v>
      </c>
      <c r="L732" s="14" t="s">
        <v>76</v>
      </c>
      <c r="M732" s="14" t="s">
        <v>76</v>
      </c>
      <c r="N732" s="14"/>
      <c r="O732" s="14">
        <v>0.33564862781933402</v>
      </c>
      <c r="P732" s="14">
        <v>0.26145611693696102</v>
      </c>
      <c r="Q732" s="14"/>
      <c r="R732" s="14">
        <v>0.35072895754873501</v>
      </c>
      <c r="S732" s="14">
        <v>0.28508636297344198</v>
      </c>
      <c r="T732" s="14">
        <v>0.39037876577448799</v>
      </c>
      <c r="U732" s="14">
        <v>0.31624565796929599</v>
      </c>
      <c r="V732" s="14">
        <v>0.39831938164339198</v>
      </c>
      <c r="W732" s="14">
        <v>0.26012159851142602</v>
      </c>
      <c r="X732" s="14">
        <v>0.30363018068480502</v>
      </c>
      <c r="Y732" s="14">
        <v>0.30942422265894098</v>
      </c>
      <c r="Z732" s="14">
        <v>0.32910217151688798</v>
      </c>
      <c r="AA732" s="14"/>
      <c r="AB732" s="14" t="s">
        <v>76</v>
      </c>
      <c r="AC732" s="14" t="s">
        <v>76</v>
      </c>
      <c r="AD732" s="14" t="s">
        <v>76</v>
      </c>
      <c r="AE732" s="14" t="s">
        <v>76</v>
      </c>
      <c r="AF732" s="14"/>
      <c r="AG732" s="14" t="s">
        <v>76</v>
      </c>
      <c r="AH732" s="14" t="s">
        <v>76</v>
      </c>
      <c r="AI732" s="14"/>
      <c r="AJ732" s="14" t="s">
        <v>76</v>
      </c>
      <c r="AK732" s="14" t="s">
        <v>76</v>
      </c>
      <c r="AL732" s="14"/>
      <c r="AM732" s="14">
        <v>0.30139793929131498</v>
      </c>
      <c r="AN732" s="14">
        <v>0.40427396253478498</v>
      </c>
    </row>
    <row r="733" spans="2:40" x14ac:dyDescent="0.35">
      <c r="B733" t="s">
        <v>70</v>
      </c>
      <c r="C733" s="14">
        <v>0.18539088605901</v>
      </c>
      <c r="D733" s="14">
        <v>0.18620072878647101</v>
      </c>
      <c r="E733" s="14">
        <v>0.18626240313065101</v>
      </c>
      <c r="F733" s="14"/>
      <c r="G733" s="14" t="s">
        <v>76</v>
      </c>
      <c r="H733" s="14">
        <v>0.18539088605901</v>
      </c>
      <c r="I733" s="14" t="s">
        <v>76</v>
      </c>
      <c r="J733" s="14"/>
      <c r="K733" s="14">
        <v>0.18539088605901</v>
      </c>
      <c r="L733" s="14" t="s">
        <v>76</v>
      </c>
      <c r="M733" s="14" t="s">
        <v>76</v>
      </c>
      <c r="N733" s="14"/>
      <c r="O733" s="14">
        <v>0.19581733808937199</v>
      </c>
      <c r="P733" s="14">
        <v>8.5624817584568205E-2</v>
      </c>
      <c r="Q733" s="14"/>
      <c r="R733" s="14">
        <v>0.125009399061284</v>
      </c>
      <c r="S733" s="14">
        <v>0.27808981863216597</v>
      </c>
      <c r="T733" s="14">
        <v>0.105268833219401</v>
      </c>
      <c r="U733" s="14">
        <v>0.20696531475252999</v>
      </c>
      <c r="V733" s="14">
        <v>0.219759141839663</v>
      </c>
      <c r="W733" s="14">
        <v>0.17121280752796</v>
      </c>
      <c r="X733" s="14">
        <v>0.20794627083605199</v>
      </c>
      <c r="Y733" s="14">
        <v>0.13301104681850201</v>
      </c>
      <c r="Z733" s="14">
        <v>0.168443701736254</v>
      </c>
      <c r="AA733" s="14"/>
      <c r="AB733" s="14" t="s">
        <v>76</v>
      </c>
      <c r="AC733" s="14" t="s">
        <v>76</v>
      </c>
      <c r="AD733" s="14" t="s">
        <v>76</v>
      </c>
      <c r="AE733" s="14" t="s">
        <v>76</v>
      </c>
      <c r="AF733" s="14"/>
      <c r="AG733" s="14" t="s">
        <v>76</v>
      </c>
      <c r="AH733" s="14" t="s">
        <v>76</v>
      </c>
      <c r="AI733" s="14"/>
      <c r="AJ733" s="14" t="s">
        <v>76</v>
      </c>
      <c r="AK733" s="14" t="s">
        <v>76</v>
      </c>
      <c r="AL733" s="14"/>
      <c r="AM733" s="14">
        <v>0.14158988616638599</v>
      </c>
      <c r="AN733" s="14">
        <v>0.29235785396952302</v>
      </c>
    </row>
    <row r="734" spans="2:40" x14ac:dyDescent="0.35"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4"/>
      <c r="AC734" s="14"/>
      <c r="AD734" s="14"/>
      <c r="AE734" s="14"/>
      <c r="AF734" s="14"/>
      <c r="AG734" s="14"/>
      <c r="AH734" s="14"/>
      <c r="AI734" s="14"/>
      <c r="AJ734" s="14"/>
      <c r="AK734" s="14"/>
      <c r="AL734" s="14"/>
      <c r="AM734" s="14"/>
      <c r="AN734" s="14"/>
    </row>
    <row r="735" spans="2:40" x14ac:dyDescent="0.35">
      <c r="B735" s="6" t="s">
        <v>233</v>
      </c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4"/>
      <c r="AD735" s="14"/>
      <c r="AE735" s="14"/>
      <c r="AF735" s="14"/>
      <c r="AG735" s="14"/>
      <c r="AH735" s="14"/>
      <c r="AI735" s="14"/>
      <c r="AJ735" s="14"/>
      <c r="AK735" s="14"/>
      <c r="AL735" s="14"/>
      <c r="AM735" s="14"/>
      <c r="AN735" s="14"/>
    </row>
    <row r="736" spans="2:40" x14ac:dyDescent="0.35">
      <c r="B736" s="26" t="s">
        <v>395</v>
      </c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  <c r="AC736" s="14"/>
      <c r="AD736" s="14"/>
      <c r="AE736" s="14"/>
      <c r="AF736" s="14"/>
      <c r="AG736" s="14"/>
      <c r="AH736" s="14"/>
      <c r="AI736" s="14"/>
      <c r="AJ736" s="14"/>
      <c r="AK736" s="14"/>
      <c r="AL736" s="14"/>
      <c r="AM736" s="14"/>
      <c r="AN736" s="14"/>
    </row>
    <row r="737" spans="2:40" x14ac:dyDescent="0.35">
      <c r="B737" t="s">
        <v>155</v>
      </c>
      <c r="C737" s="14">
        <v>0.21550803838570301</v>
      </c>
      <c r="D737" s="14">
        <v>0.280205627090932</v>
      </c>
      <c r="E737" s="14">
        <v>0.153637011647517</v>
      </c>
      <c r="F737" s="14"/>
      <c r="G737" s="14" t="s">
        <v>76</v>
      </c>
      <c r="H737" s="14">
        <v>0.21550803838570301</v>
      </c>
      <c r="I737" s="14" t="s">
        <v>76</v>
      </c>
      <c r="J737" s="14"/>
      <c r="K737" s="14">
        <v>0.21550803838570301</v>
      </c>
      <c r="L737" s="14" t="s">
        <v>76</v>
      </c>
      <c r="M737" s="14" t="s">
        <v>76</v>
      </c>
      <c r="N737" s="14"/>
      <c r="O737" s="14">
        <v>0.18418274515375399</v>
      </c>
      <c r="P737" s="14">
        <v>0.41244886947783899</v>
      </c>
      <c r="Q737" s="14"/>
      <c r="R737" s="14">
        <v>0.31098419213629502</v>
      </c>
      <c r="S737" s="14">
        <v>9.9171942142033495E-2</v>
      </c>
      <c r="T737" s="14">
        <v>0.20863981934126299</v>
      </c>
      <c r="U737" s="14">
        <v>0.30879909971290498</v>
      </c>
      <c r="V737" s="14">
        <v>4.7867109123256799E-2</v>
      </c>
      <c r="W737" s="14">
        <v>0.34556707193519298</v>
      </c>
      <c r="X737" s="14">
        <v>0.26006581337666201</v>
      </c>
      <c r="Y737" s="14">
        <v>0</v>
      </c>
      <c r="Z737" s="14">
        <v>0.167971362715987</v>
      </c>
      <c r="AA737" s="14"/>
      <c r="AB737" s="14" t="s">
        <v>76</v>
      </c>
      <c r="AC737" s="14" t="s">
        <v>76</v>
      </c>
      <c r="AD737" s="14" t="s">
        <v>76</v>
      </c>
      <c r="AE737" s="14" t="s">
        <v>76</v>
      </c>
      <c r="AF737" s="14"/>
      <c r="AG737" s="14" t="s">
        <v>76</v>
      </c>
      <c r="AH737" s="14" t="s">
        <v>76</v>
      </c>
      <c r="AI737" s="14"/>
      <c r="AJ737" s="14" t="s">
        <v>76</v>
      </c>
      <c r="AK737" s="14" t="s">
        <v>76</v>
      </c>
      <c r="AL737" s="14"/>
      <c r="AM737" s="14">
        <v>0.26986662230717801</v>
      </c>
      <c r="AN737" s="14">
        <v>0.10983586630610299</v>
      </c>
    </row>
    <row r="738" spans="2:40" x14ac:dyDescent="0.35">
      <c r="B738" t="s">
        <v>156</v>
      </c>
      <c r="C738" s="14">
        <v>0.46172218027190298</v>
      </c>
      <c r="D738" s="14">
        <v>0.391368129020085</v>
      </c>
      <c r="E738" s="14">
        <v>0.52681524211480502</v>
      </c>
      <c r="F738" s="14"/>
      <c r="G738" s="14" t="s">
        <v>76</v>
      </c>
      <c r="H738" s="14">
        <v>0.46172218027190298</v>
      </c>
      <c r="I738" s="14" t="s">
        <v>76</v>
      </c>
      <c r="J738" s="14"/>
      <c r="K738" s="14">
        <v>0.46172218027190298</v>
      </c>
      <c r="L738" s="14" t="s">
        <v>76</v>
      </c>
      <c r="M738" s="14" t="s">
        <v>76</v>
      </c>
      <c r="N738" s="14"/>
      <c r="O738" s="14">
        <v>0.45650543113508502</v>
      </c>
      <c r="P738" s="14">
        <v>0.51597930392096203</v>
      </c>
      <c r="Q738" s="14"/>
      <c r="R738" s="14">
        <v>0.40023810306625801</v>
      </c>
      <c r="S738" s="14">
        <v>0.46047544811777502</v>
      </c>
      <c r="T738" s="14">
        <v>0.43359471076575601</v>
      </c>
      <c r="U738" s="14">
        <v>0.49189587779071497</v>
      </c>
      <c r="V738" s="14">
        <v>0.45124341672114898</v>
      </c>
      <c r="W738" s="14">
        <v>0.378494938885024</v>
      </c>
      <c r="X738" s="14">
        <v>0.475956638668178</v>
      </c>
      <c r="Y738" s="14">
        <v>0.61128371386479197</v>
      </c>
      <c r="Z738" s="14">
        <v>0.55766193675668296</v>
      </c>
      <c r="AA738" s="14"/>
      <c r="AB738" s="14" t="s">
        <v>76</v>
      </c>
      <c r="AC738" s="14" t="s">
        <v>76</v>
      </c>
      <c r="AD738" s="14" t="s">
        <v>76</v>
      </c>
      <c r="AE738" s="14" t="s">
        <v>76</v>
      </c>
      <c r="AF738" s="14"/>
      <c r="AG738" s="14" t="s">
        <v>76</v>
      </c>
      <c r="AH738" s="14" t="s">
        <v>76</v>
      </c>
      <c r="AI738" s="14"/>
      <c r="AJ738" s="14" t="s">
        <v>76</v>
      </c>
      <c r="AK738" s="14" t="s">
        <v>76</v>
      </c>
      <c r="AL738" s="14"/>
      <c r="AM738" s="14">
        <v>0.465963322557017</v>
      </c>
      <c r="AN738" s="14">
        <v>0.45884980559177502</v>
      </c>
    </row>
    <row r="739" spans="2:40" x14ac:dyDescent="0.35">
      <c r="B739" t="s">
        <v>157</v>
      </c>
      <c r="C739" s="14">
        <v>0.24533478254978899</v>
      </c>
      <c r="D739" s="14">
        <v>0.22974491640596401</v>
      </c>
      <c r="E739" s="14">
        <v>0.26238289418552702</v>
      </c>
      <c r="F739" s="14"/>
      <c r="G739" s="14" t="s">
        <v>76</v>
      </c>
      <c r="H739" s="14">
        <v>0.24533478254978899</v>
      </c>
      <c r="I739" s="14" t="s">
        <v>76</v>
      </c>
      <c r="J739" s="14"/>
      <c r="K739" s="14">
        <v>0.24533478254978899</v>
      </c>
      <c r="L739" s="14" t="s">
        <v>76</v>
      </c>
      <c r="M739" s="14" t="s">
        <v>76</v>
      </c>
      <c r="N739" s="14"/>
      <c r="O739" s="14">
        <v>0.27368387871323302</v>
      </c>
      <c r="P739" s="14">
        <v>3.0824010871769902E-2</v>
      </c>
      <c r="Q739" s="14"/>
      <c r="R739" s="14">
        <v>0.26134527751362502</v>
      </c>
      <c r="S739" s="14">
        <v>0.36297163289916101</v>
      </c>
      <c r="T739" s="14">
        <v>0.28259623967007202</v>
      </c>
      <c r="U739" s="14">
        <v>0.16251542687433301</v>
      </c>
      <c r="V739" s="14">
        <v>0.39101231278138199</v>
      </c>
      <c r="W739" s="14">
        <v>0.21842932405488899</v>
      </c>
      <c r="X739" s="14">
        <v>0.102273890802464</v>
      </c>
      <c r="Y739" s="14">
        <v>0.38871628613520798</v>
      </c>
      <c r="Z739" s="14">
        <v>0.13717425961451599</v>
      </c>
      <c r="AA739" s="14"/>
      <c r="AB739" s="14" t="s">
        <v>76</v>
      </c>
      <c r="AC739" s="14" t="s">
        <v>76</v>
      </c>
      <c r="AD739" s="14" t="s">
        <v>76</v>
      </c>
      <c r="AE739" s="14" t="s">
        <v>76</v>
      </c>
      <c r="AF739" s="14"/>
      <c r="AG739" s="14" t="s">
        <v>76</v>
      </c>
      <c r="AH739" s="14" t="s">
        <v>76</v>
      </c>
      <c r="AI739" s="14"/>
      <c r="AJ739" s="14" t="s">
        <v>76</v>
      </c>
      <c r="AK739" s="14" t="s">
        <v>76</v>
      </c>
      <c r="AL739" s="14"/>
      <c r="AM739" s="14">
        <v>0.20997678827982499</v>
      </c>
      <c r="AN739" s="14">
        <v>0.28594364921979898</v>
      </c>
    </row>
    <row r="740" spans="2:40" x14ac:dyDescent="0.35">
      <c r="B740" t="s">
        <v>158</v>
      </c>
      <c r="C740" s="14">
        <v>5.6408841372455401E-2</v>
      </c>
      <c r="D740" s="14">
        <v>5.6051752181733E-2</v>
      </c>
      <c r="E740" s="14">
        <v>5.7164852052152201E-2</v>
      </c>
      <c r="F740" s="14"/>
      <c r="G740" s="14" t="s">
        <v>76</v>
      </c>
      <c r="H740" s="14">
        <v>5.6408841372455401E-2</v>
      </c>
      <c r="I740" s="14" t="s">
        <v>76</v>
      </c>
      <c r="J740" s="14"/>
      <c r="K740" s="14">
        <v>5.6408841372455401E-2</v>
      </c>
      <c r="L740" s="14" t="s">
        <v>76</v>
      </c>
      <c r="M740" s="14" t="s">
        <v>76</v>
      </c>
      <c r="N740" s="14"/>
      <c r="O740" s="14">
        <v>6.0563394906227301E-2</v>
      </c>
      <c r="P740" s="14">
        <v>4.0747815729429197E-2</v>
      </c>
      <c r="Q740" s="14"/>
      <c r="R740" s="14">
        <v>0</v>
      </c>
      <c r="S740" s="14">
        <v>2.4360914458249401E-2</v>
      </c>
      <c r="T740" s="14">
        <v>3.5104938004632998E-2</v>
      </c>
      <c r="U740" s="14">
        <v>0</v>
      </c>
      <c r="V740" s="14">
        <v>0.109877161374211</v>
      </c>
      <c r="W740" s="14">
        <v>5.7508665124893998E-2</v>
      </c>
      <c r="X740" s="14">
        <v>0.161703657152696</v>
      </c>
      <c r="Y740" s="14">
        <v>0</v>
      </c>
      <c r="Z740" s="14">
        <v>0.13719244091281399</v>
      </c>
      <c r="AA740" s="14"/>
      <c r="AB740" s="14" t="s">
        <v>76</v>
      </c>
      <c r="AC740" s="14" t="s">
        <v>76</v>
      </c>
      <c r="AD740" s="14" t="s">
        <v>76</v>
      </c>
      <c r="AE740" s="14" t="s">
        <v>76</v>
      </c>
      <c r="AF740" s="14"/>
      <c r="AG740" s="14" t="s">
        <v>76</v>
      </c>
      <c r="AH740" s="14" t="s">
        <v>76</v>
      </c>
      <c r="AI740" s="14"/>
      <c r="AJ740" s="14" t="s">
        <v>76</v>
      </c>
      <c r="AK740" s="14" t="s">
        <v>76</v>
      </c>
      <c r="AL740" s="14"/>
      <c r="AM740" s="14">
        <v>2.9786282104608298E-2</v>
      </c>
      <c r="AN740" s="14">
        <v>0.14537067888232399</v>
      </c>
    </row>
    <row r="741" spans="2:40" x14ac:dyDescent="0.35">
      <c r="B741" t="s">
        <v>70</v>
      </c>
      <c r="C741" s="14">
        <v>2.10261574201508E-2</v>
      </c>
      <c r="D741" s="14">
        <v>4.26295753012862E-2</v>
      </c>
      <c r="E741" s="14">
        <v>0</v>
      </c>
      <c r="F741" s="14"/>
      <c r="G741" s="14" t="s">
        <v>76</v>
      </c>
      <c r="H741" s="14">
        <v>2.10261574201508E-2</v>
      </c>
      <c r="I741" s="14" t="s">
        <v>76</v>
      </c>
      <c r="J741" s="14"/>
      <c r="K741" s="14">
        <v>2.10261574201508E-2</v>
      </c>
      <c r="L741" s="14" t="s">
        <v>76</v>
      </c>
      <c r="M741" s="14" t="s">
        <v>76</v>
      </c>
      <c r="N741" s="14"/>
      <c r="O741" s="14">
        <v>2.5064550091700701E-2</v>
      </c>
      <c r="P741" s="14">
        <v>0</v>
      </c>
      <c r="Q741" s="14"/>
      <c r="R741" s="14">
        <v>2.7432427283821802E-2</v>
      </c>
      <c r="S741" s="14">
        <v>5.3020062382781098E-2</v>
      </c>
      <c r="T741" s="14">
        <v>4.00642922182766E-2</v>
      </c>
      <c r="U741" s="14">
        <v>3.67895956220467E-2</v>
      </c>
      <c r="V741" s="14">
        <v>0</v>
      </c>
      <c r="W741" s="14">
        <v>0</v>
      </c>
      <c r="X741" s="14">
        <v>0</v>
      </c>
      <c r="Y741" s="14">
        <v>0</v>
      </c>
      <c r="Z741" s="14">
        <v>0</v>
      </c>
      <c r="AA741" s="14"/>
      <c r="AB741" s="14" t="s">
        <v>76</v>
      </c>
      <c r="AC741" s="14" t="s">
        <v>76</v>
      </c>
      <c r="AD741" s="14" t="s">
        <v>76</v>
      </c>
      <c r="AE741" s="14" t="s">
        <v>76</v>
      </c>
      <c r="AF741" s="14"/>
      <c r="AG741" s="14" t="s">
        <v>76</v>
      </c>
      <c r="AH741" s="14" t="s">
        <v>76</v>
      </c>
      <c r="AI741" s="14"/>
      <c r="AJ741" s="14" t="s">
        <v>76</v>
      </c>
      <c r="AK741" s="14" t="s">
        <v>76</v>
      </c>
      <c r="AL741" s="14"/>
      <c r="AM741" s="14">
        <v>2.4406984751371801E-2</v>
      </c>
      <c r="AN741" s="14">
        <v>0</v>
      </c>
    </row>
    <row r="742" spans="2:40" x14ac:dyDescent="0.35"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4"/>
      <c r="AC742" s="14"/>
      <c r="AD742" s="14"/>
      <c r="AE742" s="14"/>
      <c r="AF742" s="14"/>
      <c r="AG742" s="14"/>
      <c r="AH742" s="14"/>
      <c r="AI742" s="14"/>
      <c r="AJ742" s="14"/>
      <c r="AK742" s="14"/>
      <c r="AL742" s="14"/>
      <c r="AM742" s="14"/>
      <c r="AN742" s="14"/>
    </row>
    <row r="743" spans="2:40" x14ac:dyDescent="0.35">
      <c r="B743" s="6" t="s">
        <v>235</v>
      </c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4"/>
      <c r="AD743" s="14"/>
      <c r="AE743" s="14"/>
      <c r="AF743" s="14"/>
      <c r="AG743" s="14"/>
      <c r="AH743" s="14"/>
      <c r="AI743" s="14"/>
      <c r="AJ743" s="14"/>
      <c r="AK743" s="14"/>
      <c r="AL743" s="14"/>
      <c r="AM743" s="14"/>
      <c r="AN743" s="14"/>
    </row>
    <row r="744" spans="2:40" x14ac:dyDescent="0.35">
      <c r="B744" s="26" t="s">
        <v>395</v>
      </c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4"/>
      <c r="AC744" s="14"/>
      <c r="AD744" s="14"/>
      <c r="AE744" s="14"/>
      <c r="AF744" s="14"/>
      <c r="AG744" s="14"/>
      <c r="AH744" s="14"/>
      <c r="AI744" s="14"/>
      <c r="AJ744" s="14"/>
      <c r="AK744" s="14"/>
      <c r="AL744" s="14"/>
      <c r="AM744" s="14"/>
      <c r="AN744" s="14"/>
    </row>
    <row r="745" spans="2:40" x14ac:dyDescent="0.35">
      <c r="B745" t="s">
        <v>160</v>
      </c>
      <c r="C745" s="14">
        <v>0.161326307111293</v>
      </c>
      <c r="D745" s="14">
        <v>0.17704416057021499</v>
      </c>
      <c r="E745" s="14">
        <v>0.147079381646123</v>
      </c>
      <c r="F745" s="14"/>
      <c r="G745" s="14" t="s">
        <v>76</v>
      </c>
      <c r="H745" s="14">
        <v>0.161326307111293</v>
      </c>
      <c r="I745" s="14" t="s">
        <v>76</v>
      </c>
      <c r="J745" s="14"/>
      <c r="K745" s="14">
        <v>0.161326307111293</v>
      </c>
      <c r="L745" s="14" t="s">
        <v>76</v>
      </c>
      <c r="M745" s="14" t="s">
        <v>76</v>
      </c>
      <c r="N745" s="14"/>
      <c r="O745" s="14">
        <v>0.12543570903984599</v>
      </c>
      <c r="P745" s="14">
        <v>0.37681618089303398</v>
      </c>
      <c r="Q745" s="14"/>
      <c r="R745" s="14">
        <v>0.19788939982942</v>
      </c>
      <c r="S745" s="14">
        <v>0.12941588353637901</v>
      </c>
      <c r="T745" s="14">
        <v>0.18232709224138799</v>
      </c>
      <c r="U745" s="14">
        <v>0.114395226484342</v>
      </c>
      <c r="V745" s="14">
        <v>0</v>
      </c>
      <c r="W745" s="14">
        <v>0.238005743147475</v>
      </c>
      <c r="X745" s="14">
        <v>0.26339224897663099</v>
      </c>
      <c r="Y745" s="14">
        <v>0</v>
      </c>
      <c r="Z745" s="14">
        <v>0.169071032460969</v>
      </c>
      <c r="AA745" s="14"/>
      <c r="AB745" s="14" t="s">
        <v>76</v>
      </c>
      <c r="AC745" s="14" t="s">
        <v>76</v>
      </c>
      <c r="AD745" s="14" t="s">
        <v>76</v>
      </c>
      <c r="AE745" s="14" t="s">
        <v>76</v>
      </c>
      <c r="AF745" s="14"/>
      <c r="AG745" s="14" t="s">
        <v>76</v>
      </c>
      <c r="AH745" s="14" t="s">
        <v>76</v>
      </c>
      <c r="AI745" s="14"/>
      <c r="AJ745" s="14" t="s">
        <v>76</v>
      </c>
      <c r="AK745" s="14" t="s">
        <v>76</v>
      </c>
      <c r="AL745" s="14"/>
      <c r="AM745" s="14">
        <v>0.21846179272765301</v>
      </c>
      <c r="AN745" s="14">
        <v>0</v>
      </c>
    </row>
    <row r="746" spans="2:40" x14ac:dyDescent="0.35">
      <c r="B746" t="s">
        <v>161</v>
      </c>
      <c r="C746" s="14">
        <v>0.52676292339489905</v>
      </c>
      <c r="D746" s="14">
        <v>0.55049668674104502</v>
      </c>
      <c r="E746" s="14">
        <v>0.50009131974541299</v>
      </c>
      <c r="F746" s="14"/>
      <c r="G746" s="14" t="s">
        <v>76</v>
      </c>
      <c r="H746" s="14">
        <v>0.52676292339489905</v>
      </c>
      <c r="I746" s="14" t="s">
        <v>76</v>
      </c>
      <c r="J746" s="14"/>
      <c r="K746" s="14">
        <v>0.52676292339489905</v>
      </c>
      <c r="L746" s="14" t="s">
        <v>76</v>
      </c>
      <c r="M746" s="14" t="s">
        <v>76</v>
      </c>
      <c r="N746" s="14"/>
      <c r="O746" s="14">
        <v>0.531792978088518</v>
      </c>
      <c r="P746" s="14">
        <v>0.52967609417064698</v>
      </c>
      <c r="Q746" s="14"/>
      <c r="R746" s="14">
        <v>0.69238088963950395</v>
      </c>
      <c r="S746" s="14">
        <v>0.34565090360054401</v>
      </c>
      <c r="T746" s="14">
        <v>0.55442773938399903</v>
      </c>
      <c r="U746" s="14">
        <v>0.61408170743295898</v>
      </c>
      <c r="V746" s="14">
        <v>0.44539079687760003</v>
      </c>
      <c r="W746" s="14">
        <v>0.56862116553201103</v>
      </c>
      <c r="X746" s="14">
        <v>0.53000753420031399</v>
      </c>
      <c r="Y746" s="14">
        <v>0.61128371386479197</v>
      </c>
      <c r="Z746" s="14">
        <v>0.38789125406415997</v>
      </c>
      <c r="AA746" s="14"/>
      <c r="AB746" s="14" t="s">
        <v>76</v>
      </c>
      <c r="AC746" s="14" t="s">
        <v>76</v>
      </c>
      <c r="AD746" s="14" t="s">
        <v>76</v>
      </c>
      <c r="AE746" s="14" t="s">
        <v>76</v>
      </c>
      <c r="AF746" s="14"/>
      <c r="AG746" s="14" t="s">
        <v>76</v>
      </c>
      <c r="AH746" s="14" t="s">
        <v>76</v>
      </c>
      <c r="AI746" s="14"/>
      <c r="AJ746" s="14" t="s">
        <v>76</v>
      </c>
      <c r="AK746" s="14" t="s">
        <v>76</v>
      </c>
      <c r="AL746" s="14"/>
      <c r="AM746" s="14">
        <v>0.59256151120476297</v>
      </c>
      <c r="AN746" s="14">
        <v>0.30391742796247601</v>
      </c>
    </row>
    <row r="747" spans="2:40" x14ac:dyDescent="0.35">
      <c r="B747" t="s">
        <v>162</v>
      </c>
      <c r="C747" s="14">
        <v>0.25253803885447501</v>
      </c>
      <c r="D747" s="14">
        <v>0.217334731206489</v>
      </c>
      <c r="E747" s="14">
        <v>0.28886472739563801</v>
      </c>
      <c r="F747" s="14"/>
      <c r="G747" s="14" t="s">
        <v>76</v>
      </c>
      <c r="H747" s="14">
        <v>0.25253803885447501</v>
      </c>
      <c r="I747" s="14" t="s">
        <v>76</v>
      </c>
      <c r="J747" s="14"/>
      <c r="K747" s="14">
        <v>0.25253803885447501</v>
      </c>
      <c r="L747" s="14" t="s">
        <v>76</v>
      </c>
      <c r="M747" s="14" t="s">
        <v>76</v>
      </c>
      <c r="N747" s="14"/>
      <c r="O747" s="14">
        <v>0.28770576267658798</v>
      </c>
      <c r="P747" s="14">
        <v>2.4967459052459E-2</v>
      </c>
      <c r="Q747" s="14"/>
      <c r="R747" s="14">
        <v>0.109729710531076</v>
      </c>
      <c r="S747" s="14">
        <v>0.39029770185191598</v>
      </c>
      <c r="T747" s="14">
        <v>0.223180876156336</v>
      </c>
      <c r="U747" s="14">
        <v>0.27152306608269899</v>
      </c>
      <c r="V747" s="14">
        <v>0.49820746820383699</v>
      </c>
      <c r="W747" s="14">
        <v>0.167716703795905</v>
      </c>
      <c r="X747" s="14">
        <v>0.10498029011681299</v>
      </c>
      <c r="Y747" s="14">
        <v>0.30952816575537001</v>
      </c>
      <c r="Z747" s="14">
        <v>0.33379370740596898</v>
      </c>
      <c r="AA747" s="14"/>
      <c r="AB747" s="14" t="s">
        <v>76</v>
      </c>
      <c r="AC747" s="14" t="s">
        <v>76</v>
      </c>
      <c r="AD747" s="14" t="s">
        <v>76</v>
      </c>
      <c r="AE747" s="14" t="s">
        <v>76</v>
      </c>
      <c r="AF747" s="14"/>
      <c r="AG747" s="14" t="s">
        <v>76</v>
      </c>
      <c r="AH747" s="14" t="s">
        <v>76</v>
      </c>
      <c r="AI747" s="14"/>
      <c r="AJ747" s="14" t="s">
        <v>76</v>
      </c>
      <c r="AK747" s="14" t="s">
        <v>76</v>
      </c>
      <c r="AL747" s="14"/>
      <c r="AM747" s="14">
        <v>0.17618349823526799</v>
      </c>
      <c r="AN747" s="14">
        <v>0.39814311173464101</v>
      </c>
    </row>
    <row r="748" spans="2:40" x14ac:dyDescent="0.35">
      <c r="B748" t="s">
        <v>163</v>
      </c>
      <c r="C748" s="14">
        <v>4.6338185036287297E-2</v>
      </c>
      <c r="D748" s="14">
        <v>3.68996333672603E-2</v>
      </c>
      <c r="E748" s="14">
        <v>5.5924128905642197E-2</v>
      </c>
      <c r="F748" s="14"/>
      <c r="G748" s="14" t="s">
        <v>76</v>
      </c>
      <c r="H748" s="14">
        <v>4.6338185036287297E-2</v>
      </c>
      <c r="I748" s="14" t="s">
        <v>76</v>
      </c>
      <c r="J748" s="14"/>
      <c r="K748" s="14">
        <v>4.6338185036287297E-2</v>
      </c>
      <c r="L748" s="14" t="s">
        <v>76</v>
      </c>
      <c r="M748" s="14" t="s">
        <v>76</v>
      </c>
      <c r="N748" s="14"/>
      <c r="O748" s="14">
        <v>3.9527522268130902E-2</v>
      </c>
      <c r="P748" s="14">
        <v>6.8540265883860294E-2</v>
      </c>
      <c r="Q748" s="14"/>
      <c r="R748" s="14">
        <v>0</v>
      </c>
      <c r="S748" s="14">
        <v>0.10567473345293101</v>
      </c>
      <c r="T748" s="14">
        <v>0</v>
      </c>
      <c r="U748" s="14">
        <v>0</v>
      </c>
      <c r="V748" s="14">
        <v>0</v>
      </c>
      <c r="W748" s="14">
        <v>2.5656387524609501E-2</v>
      </c>
      <c r="X748" s="14">
        <v>0.10161992670624299</v>
      </c>
      <c r="Y748" s="14">
        <v>7.9188120379837607E-2</v>
      </c>
      <c r="Z748" s="14">
        <v>0.109244006068902</v>
      </c>
      <c r="AA748" s="14"/>
      <c r="AB748" s="14" t="s">
        <v>76</v>
      </c>
      <c r="AC748" s="14" t="s">
        <v>76</v>
      </c>
      <c r="AD748" s="14" t="s">
        <v>76</v>
      </c>
      <c r="AE748" s="14" t="s">
        <v>76</v>
      </c>
      <c r="AF748" s="14"/>
      <c r="AG748" s="14" t="s">
        <v>76</v>
      </c>
      <c r="AH748" s="14" t="s">
        <v>76</v>
      </c>
      <c r="AI748" s="14"/>
      <c r="AJ748" s="14" t="s">
        <v>76</v>
      </c>
      <c r="AK748" s="14" t="s">
        <v>76</v>
      </c>
      <c r="AL748" s="14"/>
      <c r="AM748" s="14">
        <v>0</v>
      </c>
      <c r="AN748" s="14">
        <v>0.29793946030288299</v>
      </c>
    </row>
    <row r="749" spans="2:40" x14ac:dyDescent="0.35">
      <c r="B749" t="s">
        <v>70</v>
      </c>
      <c r="C749" s="14">
        <v>1.30345456030448E-2</v>
      </c>
      <c r="D749" s="14">
        <v>1.82247881149902E-2</v>
      </c>
      <c r="E749" s="14">
        <v>8.0404423071843492E-3</v>
      </c>
      <c r="F749" s="14"/>
      <c r="G749" s="14" t="s">
        <v>76</v>
      </c>
      <c r="H749" s="14">
        <v>1.30345456030448E-2</v>
      </c>
      <c r="I749" s="14" t="s">
        <v>76</v>
      </c>
      <c r="J749" s="14"/>
      <c r="K749" s="14">
        <v>1.30345456030448E-2</v>
      </c>
      <c r="L749" s="14" t="s">
        <v>76</v>
      </c>
      <c r="M749" s="14" t="s">
        <v>76</v>
      </c>
      <c r="N749" s="14"/>
      <c r="O749" s="14">
        <v>1.5538027926917899E-2</v>
      </c>
      <c r="P749" s="14">
        <v>0</v>
      </c>
      <c r="Q749" s="14"/>
      <c r="R749" s="14">
        <v>0</v>
      </c>
      <c r="S749" s="14">
        <v>2.89607775582305E-2</v>
      </c>
      <c r="T749" s="14">
        <v>4.00642922182766E-2</v>
      </c>
      <c r="U749" s="14">
        <v>0</v>
      </c>
      <c r="V749" s="14">
        <v>5.6401734918563699E-2</v>
      </c>
      <c r="W749" s="14">
        <v>0</v>
      </c>
      <c r="X749" s="14">
        <v>0</v>
      </c>
      <c r="Y749" s="14">
        <v>0</v>
      </c>
      <c r="Z749" s="14">
        <v>0</v>
      </c>
      <c r="AA749" s="14"/>
      <c r="AB749" s="14" t="s">
        <v>76</v>
      </c>
      <c r="AC749" s="14" t="s">
        <v>76</v>
      </c>
      <c r="AD749" s="14" t="s">
        <v>76</v>
      </c>
      <c r="AE749" s="14" t="s">
        <v>76</v>
      </c>
      <c r="AF749" s="14"/>
      <c r="AG749" s="14" t="s">
        <v>76</v>
      </c>
      <c r="AH749" s="14" t="s">
        <v>76</v>
      </c>
      <c r="AI749" s="14"/>
      <c r="AJ749" s="14" t="s">
        <v>76</v>
      </c>
      <c r="AK749" s="14" t="s">
        <v>76</v>
      </c>
      <c r="AL749" s="14"/>
      <c r="AM749" s="14">
        <v>1.27931978323165E-2</v>
      </c>
      <c r="AN749" s="14">
        <v>0</v>
      </c>
    </row>
    <row r="750" spans="2:40" x14ac:dyDescent="0.35">
      <c r="B750" t="s">
        <v>164</v>
      </c>
      <c r="C750" s="14">
        <v>0.68808923050619297</v>
      </c>
      <c r="D750" s="14">
        <v>0.72754084731126101</v>
      </c>
      <c r="E750" s="14">
        <v>0.64717070139153599</v>
      </c>
      <c r="F750" s="14"/>
      <c r="G750" s="14" t="s">
        <v>76</v>
      </c>
      <c r="H750" s="14">
        <v>0.68808923050619297</v>
      </c>
      <c r="I750" s="14" t="s">
        <v>76</v>
      </c>
      <c r="J750" s="14"/>
      <c r="K750" s="14">
        <v>0.68808923050619297</v>
      </c>
      <c r="L750" s="14" t="s">
        <v>76</v>
      </c>
      <c r="M750" s="14" t="s">
        <v>76</v>
      </c>
      <c r="N750" s="14"/>
      <c r="O750" s="14">
        <v>0.65722868712836302</v>
      </c>
      <c r="P750" s="14">
        <v>0.90649227506368102</v>
      </c>
      <c r="Q750" s="14"/>
      <c r="R750" s="14">
        <v>0.89027028946892395</v>
      </c>
      <c r="S750" s="14">
        <v>0.47506678713692302</v>
      </c>
      <c r="T750" s="14">
        <v>0.73675483162538702</v>
      </c>
      <c r="U750" s="14">
        <v>0.72847693391730095</v>
      </c>
      <c r="V750" s="14">
        <v>0.44539079687760003</v>
      </c>
      <c r="W750" s="14">
        <v>0.80662690867948605</v>
      </c>
      <c r="X750" s="14">
        <v>0.79339978317694404</v>
      </c>
      <c r="Y750" s="14">
        <v>0.61128371386479197</v>
      </c>
      <c r="Z750" s="14">
        <v>0.55696228652512902</v>
      </c>
      <c r="AA750" s="14"/>
      <c r="AB750" s="14" t="s">
        <v>76</v>
      </c>
      <c r="AC750" s="14" t="s">
        <v>76</v>
      </c>
      <c r="AD750" s="14" t="s">
        <v>76</v>
      </c>
      <c r="AE750" s="14" t="s">
        <v>76</v>
      </c>
      <c r="AF750" s="14"/>
      <c r="AG750" s="14" t="s">
        <v>76</v>
      </c>
      <c r="AH750" s="14" t="s">
        <v>76</v>
      </c>
      <c r="AI750" s="14"/>
      <c r="AJ750" s="14" t="s">
        <v>76</v>
      </c>
      <c r="AK750" s="14" t="s">
        <v>76</v>
      </c>
      <c r="AL750" s="14"/>
      <c r="AM750" s="14">
        <v>0.81102330393241595</v>
      </c>
      <c r="AN750" s="14">
        <v>0.30391742796247601</v>
      </c>
    </row>
    <row r="751" spans="2:40" x14ac:dyDescent="0.35"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  <c r="AN751" s="14"/>
    </row>
    <row r="752" spans="2:40" x14ac:dyDescent="0.35">
      <c r="B752" s="6" t="s">
        <v>236</v>
      </c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4"/>
      <c r="AB752" s="14"/>
      <c r="AC752" s="14"/>
      <c r="AD752" s="14"/>
      <c r="AE752" s="14"/>
      <c r="AF752" s="14"/>
      <c r="AG752" s="14"/>
      <c r="AH752" s="14"/>
      <c r="AI752" s="14"/>
      <c r="AJ752" s="14"/>
      <c r="AK752" s="14"/>
      <c r="AL752" s="14"/>
      <c r="AM752" s="14"/>
      <c r="AN752" s="14"/>
    </row>
    <row r="753" spans="2:40" x14ac:dyDescent="0.35">
      <c r="B753" s="26" t="s">
        <v>395</v>
      </c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4"/>
      <c r="AB753" s="14"/>
      <c r="AC753" s="14"/>
      <c r="AD753" s="14"/>
      <c r="AE753" s="14"/>
      <c r="AF753" s="14"/>
      <c r="AG753" s="14"/>
      <c r="AH753" s="14"/>
      <c r="AI753" s="14"/>
      <c r="AJ753" s="14"/>
      <c r="AK753" s="14"/>
      <c r="AL753" s="14"/>
      <c r="AM753" s="14"/>
      <c r="AN753" s="14"/>
    </row>
    <row r="754" spans="2:40" x14ac:dyDescent="0.35">
      <c r="B754" t="s">
        <v>166</v>
      </c>
      <c r="C754" s="14">
        <v>0.197609356082451</v>
      </c>
      <c r="D754" s="14">
        <v>0.25493719704511603</v>
      </c>
      <c r="E754" s="14">
        <v>0.142833959935698</v>
      </c>
      <c r="F754" s="14"/>
      <c r="G754" s="14" t="s">
        <v>76</v>
      </c>
      <c r="H754" s="14">
        <v>0.197609356082451</v>
      </c>
      <c r="I754" s="14" t="s">
        <v>76</v>
      </c>
      <c r="J754" s="14"/>
      <c r="K754" s="14">
        <v>0.197609356082451</v>
      </c>
      <c r="L754" s="14" t="s">
        <v>76</v>
      </c>
      <c r="M754" s="14" t="s">
        <v>76</v>
      </c>
      <c r="N754" s="14"/>
      <c r="O754" s="14">
        <v>0.16776618837655799</v>
      </c>
      <c r="P754" s="14">
        <v>0.38243628204269697</v>
      </c>
      <c r="Q754" s="14"/>
      <c r="R754" s="14">
        <v>0.27730966976439397</v>
      </c>
      <c r="S754" s="14">
        <v>0.128099298722222</v>
      </c>
      <c r="T754" s="14">
        <v>0.24192339413671701</v>
      </c>
      <c r="U754" s="14">
        <v>0.15319805614079901</v>
      </c>
      <c r="V754" s="14">
        <v>5.34754264556477E-2</v>
      </c>
      <c r="W754" s="14">
        <v>0.26101542007494799</v>
      </c>
      <c r="X754" s="14">
        <v>0.26006581116316702</v>
      </c>
      <c r="Y754" s="14">
        <v>0</v>
      </c>
      <c r="Z754" s="14">
        <v>0.225318286186346</v>
      </c>
      <c r="AA754" s="14"/>
      <c r="AB754" s="14" t="s">
        <v>76</v>
      </c>
      <c r="AC754" s="14" t="s">
        <v>76</v>
      </c>
      <c r="AD754" s="14" t="s">
        <v>76</v>
      </c>
      <c r="AE754" s="14" t="s">
        <v>76</v>
      </c>
      <c r="AF754" s="14"/>
      <c r="AG754" s="14" t="s">
        <v>76</v>
      </c>
      <c r="AH754" s="14" t="s">
        <v>76</v>
      </c>
      <c r="AI754" s="14"/>
      <c r="AJ754" s="14" t="s">
        <v>76</v>
      </c>
      <c r="AK754" s="14" t="s">
        <v>76</v>
      </c>
      <c r="AL754" s="14"/>
      <c r="AM754" s="14">
        <v>0.26367518136189599</v>
      </c>
      <c r="AN754" s="14">
        <v>3.42841598059783E-2</v>
      </c>
    </row>
    <row r="755" spans="2:40" x14ac:dyDescent="0.35">
      <c r="B755" t="s">
        <v>167</v>
      </c>
      <c r="C755" s="14">
        <v>0.428437569413949</v>
      </c>
      <c r="D755" s="14">
        <v>0.39011210769305799</v>
      </c>
      <c r="E755" s="14">
        <v>0.46189398557878503</v>
      </c>
      <c r="F755" s="14"/>
      <c r="G755" s="14" t="s">
        <v>76</v>
      </c>
      <c r="H755" s="14">
        <v>0.428437569413949</v>
      </c>
      <c r="I755" s="14" t="s">
        <v>76</v>
      </c>
      <c r="J755" s="14"/>
      <c r="K755" s="14">
        <v>0.428437569413949</v>
      </c>
      <c r="L755" s="14" t="s">
        <v>76</v>
      </c>
      <c r="M755" s="14" t="s">
        <v>76</v>
      </c>
      <c r="N755" s="14"/>
      <c r="O755" s="14">
        <v>0.43838272845354298</v>
      </c>
      <c r="P755" s="14">
        <v>0.35366461208198002</v>
      </c>
      <c r="Q755" s="14"/>
      <c r="R755" s="14">
        <v>0.45944903347042898</v>
      </c>
      <c r="S755" s="14">
        <v>0.30151243140392298</v>
      </c>
      <c r="T755" s="14">
        <v>0.43339208416261299</v>
      </c>
      <c r="U755" s="14">
        <v>0.49873876101787601</v>
      </c>
      <c r="V755" s="14">
        <v>0.44831710750690301</v>
      </c>
      <c r="W755" s="14">
        <v>0.45788444520816102</v>
      </c>
      <c r="X755" s="14">
        <v>0.47325024156732298</v>
      </c>
      <c r="Y755" s="14">
        <v>0.61128371386479197</v>
      </c>
      <c r="Z755" s="14">
        <v>0.30938937569123798</v>
      </c>
      <c r="AA755" s="14"/>
      <c r="AB755" s="14" t="s">
        <v>76</v>
      </c>
      <c r="AC755" s="14" t="s">
        <v>76</v>
      </c>
      <c r="AD755" s="14" t="s">
        <v>76</v>
      </c>
      <c r="AE755" s="14" t="s">
        <v>76</v>
      </c>
      <c r="AF755" s="14"/>
      <c r="AG755" s="14" t="s">
        <v>76</v>
      </c>
      <c r="AH755" s="14" t="s">
        <v>76</v>
      </c>
      <c r="AI755" s="14"/>
      <c r="AJ755" s="14" t="s">
        <v>76</v>
      </c>
      <c r="AK755" s="14" t="s">
        <v>76</v>
      </c>
      <c r="AL755" s="14"/>
      <c r="AM755" s="14">
        <v>0.48265867152958702</v>
      </c>
      <c r="AN755" s="14">
        <v>0.216778216551791</v>
      </c>
    </row>
    <row r="756" spans="2:40" x14ac:dyDescent="0.35">
      <c r="B756" t="s">
        <v>168</v>
      </c>
      <c r="C756" s="14">
        <v>0.27982444955140601</v>
      </c>
      <c r="D756" s="14">
        <v>0.26682691081405602</v>
      </c>
      <c r="E756" s="14">
        <v>0.29457955944735997</v>
      </c>
      <c r="F756" s="14"/>
      <c r="G756" s="14" t="s">
        <v>76</v>
      </c>
      <c r="H756" s="14">
        <v>0.27982444955140601</v>
      </c>
      <c r="I756" s="14" t="s">
        <v>76</v>
      </c>
      <c r="J756" s="14"/>
      <c r="K756" s="14">
        <v>0.27982444955140601</v>
      </c>
      <c r="L756" s="14" t="s">
        <v>76</v>
      </c>
      <c r="M756" s="14" t="s">
        <v>76</v>
      </c>
      <c r="N756" s="14"/>
      <c r="O756" s="14">
        <v>0.292879148953826</v>
      </c>
      <c r="P756" s="14">
        <v>0.195358839991463</v>
      </c>
      <c r="Q756" s="14"/>
      <c r="R756" s="14">
        <v>0.26324129676517699</v>
      </c>
      <c r="S756" s="14">
        <v>0.35218711133828601</v>
      </c>
      <c r="T756" s="14">
        <v>0.28462022948239302</v>
      </c>
      <c r="U756" s="14">
        <v>0.23521993380192799</v>
      </c>
      <c r="V756" s="14">
        <v>0.44180572966002701</v>
      </c>
      <c r="W756" s="14">
        <v>0.20306204310975401</v>
      </c>
      <c r="X756" s="14">
        <v>0.16506402056326699</v>
      </c>
      <c r="Y756" s="14">
        <v>0.30952816575537001</v>
      </c>
      <c r="Z756" s="14">
        <v>0.32700022928803602</v>
      </c>
      <c r="AA756" s="14"/>
      <c r="AB756" s="14" t="s">
        <v>76</v>
      </c>
      <c r="AC756" s="14" t="s">
        <v>76</v>
      </c>
      <c r="AD756" s="14" t="s">
        <v>76</v>
      </c>
      <c r="AE756" s="14" t="s">
        <v>76</v>
      </c>
      <c r="AF756" s="14"/>
      <c r="AG756" s="14" t="s">
        <v>76</v>
      </c>
      <c r="AH756" s="14" t="s">
        <v>76</v>
      </c>
      <c r="AI756" s="14"/>
      <c r="AJ756" s="14" t="s">
        <v>76</v>
      </c>
      <c r="AK756" s="14" t="s">
        <v>76</v>
      </c>
      <c r="AL756" s="14"/>
      <c r="AM756" s="14">
        <v>0.22312711616773301</v>
      </c>
      <c r="AN756" s="14">
        <v>0.30305186116341498</v>
      </c>
    </row>
    <row r="757" spans="2:40" x14ac:dyDescent="0.35">
      <c r="B757" t="s">
        <v>169</v>
      </c>
      <c r="C757" s="14">
        <v>7.6519535270908101E-2</v>
      </c>
      <c r="D757" s="14">
        <v>5.2422158156506603E-2</v>
      </c>
      <c r="E757" s="14">
        <v>0.100692495038158</v>
      </c>
      <c r="F757" s="14"/>
      <c r="G757" s="14" t="s">
        <v>76</v>
      </c>
      <c r="H757" s="14">
        <v>7.6519535270908101E-2</v>
      </c>
      <c r="I757" s="14" t="s">
        <v>76</v>
      </c>
      <c r="J757" s="14"/>
      <c r="K757" s="14">
        <v>7.6519535270908101E-2</v>
      </c>
      <c r="L757" s="14" t="s">
        <v>76</v>
      </c>
      <c r="M757" s="14" t="s">
        <v>76</v>
      </c>
      <c r="N757" s="14"/>
      <c r="O757" s="14">
        <v>7.9980751587388599E-2</v>
      </c>
      <c r="P757" s="14">
        <v>6.8540265883860294E-2</v>
      </c>
      <c r="Q757" s="14"/>
      <c r="R757" s="14">
        <v>0</v>
      </c>
      <c r="S757" s="14">
        <v>0.189240380977339</v>
      </c>
      <c r="T757" s="14">
        <v>0</v>
      </c>
      <c r="U757" s="14">
        <v>3.8802829656456601E-2</v>
      </c>
      <c r="V757" s="14">
        <v>5.6401736377422497E-2</v>
      </c>
      <c r="W757" s="14">
        <v>7.8038091607137497E-2</v>
      </c>
      <c r="X757" s="14">
        <v>0.10161992670624299</v>
      </c>
      <c r="Y757" s="14">
        <v>7.9188120379837607E-2</v>
      </c>
      <c r="Z757" s="14">
        <v>0.13829210883438001</v>
      </c>
      <c r="AA757" s="14"/>
      <c r="AB757" s="14" t="s">
        <v>76</v>
      </c>
      <c r="AC757" s="14" t="s">
        <v>76</v>
      </c>
      <c r="AD757" s="14" t="s">
        <v>76</v>
      </c>
      <c r="AE757" s="14" t="s">
        <v>76</v>
      </c>
      <c r="AF757" s="14"/>
      <c r="AG757" s="14" t="s">
        <v>76</v>
      </c>
      <c r="AH757" s="14" t="s">
        <v>76</v>
      </c>
      <c r="AI757" s="14"/>
      <c r="AJ757" s="14" t="s">
        <v>76</v>
      </c>
      <c r="AK757" s="14" t="s">
        <v>76</v>
      </c>
      <c r="AL757" s="14"/>
      <c r="AM757" s="14">
        <v>1.74004684403101E-2</v>
      </c>
      <c r="AN757" s="14">
        <v>0.41297287426860502</v>
      </c>
    </row>
    <row r="758" spans="2:40" x14ac:dyDescent="0.35">
      <c r="B758" t="s">
        <v>70</v>
      </c>
      <c r="C758" s="14">
        <v>1.76090896812863E-2</v>
      </c>
      <c r="D758" s="14">
        <v>3.5701626291263201E-2</v>
      </c>
      <c r="E758" s="14">
        <v>0</v>
      </c>
      <c r="F758" s="14"/>
      <c r="G758" s="14" t="s">
        <v>76</v>
      </c>
      <c r="H758" s="14">
        <v>1.76090896812863E-2</v>
      </c>
      <c r="I758" s="14" t="s">
        <v>76</v>
      </c>
      <c r="J758" s="14"/>
      <c r="K758" s="14">
        <v>1.76090896812863E-2</v>
      </c>
      <c r="L758" s="14" t="s">
        <v>76</v>
      </c>
      <c r="M758" s="14" t="s">
        <v>76</v>
      </c>
      <c r="N758" s="14"/>
      <c r="O758" s="14">
        <v>2.09911826286843E-2</v>
      </c>
      <c r="P758" s="14">
        <v>0</v>
      </c>
      <c r="Q758" s="14"/>
      <c r="R758" s="14">
        <v>0</v>
      </c>
      <c r="S758" s="14">
        <v>2.89607775582305E-2</v>
      </c>
      <c r="T758" s="14">
        <v>4.00642922182766E-2</v>
      </c>
      <c r="U758" s="14">
        <v>7.4040419382940703E-2</v>
      </c>
      <c r="V758" s="14">
        <v>0</v>
      </c>
      <c r="W758" s="14">
        <v>0</v>
      </c>
      <c r="X758" s="14">
        <v>0</v>
      </c>
      <c r="Y758" s="14">
        <v>0</v>
      </c>
      <c r="Z758" s="14">
        <v>0</v>
      </c>
      <c r="AA758" s="14"/>
      <c r="AB758" s="14" t="s">
        <v>76</v>
      </c>
      <c r="AC758" s="14" t="s">
        <v>76</v>
      </c>
      <c r="AD758" s="14" t="s">
        <v>76</v>
      </c>
      <c r="AE758" s="14" t="s">
        <v>76</v>
      </c>
      <c r="AF758" s="14"/>
      <c r="AG758" s="14" t="s">
        <v>76</v>
      </c>
      <c r="AH758" s="14" t="s">
        <v>76</v>
      </c>
      <c r="AI758" s="14"/>
      <c r="AJ758" s="14" t="s">
        <v>76</v>
      </c>
      <c r="AK758" s="14" t="s">
        <v>76</v>
      </c>
      <c r="AL758" s="14"/>
      <c r="AM758" s="14">
        <v>1.3138562500473299E-2</v>
      </c>
      <c r="AN758" s="14">
        <v>3.2912888210211197E-2</v>
      </c>
    </row>
    <row r="759" spans="2:40" x14ac:dyDescent="0.35"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4"/>
      <c r="AB759" s="14"/>
      <c r="AC759" s="14"/>
      <c r="AD759" s="14"/>
      <c r="AE759" s="14"/>
      <c r="AF759" s="14"/>
      <c r="AG759" s="14"/>
      <c r="AH759" s="14"/>
      <c r="AI759" s="14"/>
      <c r="AJ759" s="14"/>
      <c r="AK759" s="14"/>
      <c r="AL759" s="14"/>
      <c r="AM759" s="14"/>
      <c r="AN759" s="14"/>
    </row>
    <row r="760" spans="2:40" x14ac:dyDescent="0.35">
      <c r="B760" s="6" t="s">
        <v>237</v>
      </c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  <c r="AB760" s="14"/>
      <c r="AC760" s="14"/>
      <c r="AD760" s="14"/>
      <c r="AE760" s="14"/>
      <c r="AF760" s="14"/>
      <c r="AG760" s="14"/>
      <c r="AH760" s="14"/>
      <c r="AI760" s="14"/>
      <c r="AJ760" s="14"/>
      <c r="AK760" s="14"/>
      <c r="AL760" s="14"/>
      <c r="AM760" s="14"/>
      <c r="AN760" s="14"/>
    </row>
    <row r="761" spans="2:40" x14ac:dyDescent="0.35">
      <c r="B761" s="24" t="s">
        <v>74</v>
      </c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</row>
    <row r="762" spans="2:40" x14ac:dyDescent="0.35">
      <c r="B762" t="s">
        <v>44</v>
      </c>
      <c r="C762" s="14">
        <v>0.931551182658234</v>
      </c>
      <c r="D762" s="14">
        <v>0.92073233474943705</v>
      </c>
      <c r="E762" s="14">
        <v>0.94234537584052303</v>
      </c>
      <c r="F762" s="14"/>
      <c r="G762" s="14" t="s">
        <v>76</v>
      </c>
      <c r="H762" s="14" t="s">
        <v>76</v>
      </c>
      <c r="I762" s="14">
        <v>0.931551182658234</v>
      </c>
      <c r="J762" s="14"/>
      <c r="K762" s="14" t="s">
        <v>76</v>
      </c>
      <c r="L762" s="14">
        <v>0.92689071519558097</v>
      </c>
      <c r="M762" s="14">
        <v>0.94041415848658905</v>
      </c>
      <c r="N762" s="14"/>
      <c r="O762" s="14">
        <v>0.93733693490440295</v>
      </c>
      <c r="P762" s="14">
        <v>0.92561304414561296</v>
      </c>
      <c r="Q762" s="14"/>
      <c r="R762" s="14">
        <v>0.94369266797398399</v>
      </c>
      <c r="S762" s="14">
        <v>0.93027654388539904</v>
      </c>
      <c r="T762" s="14">
        <v>0.95579087229398296</v>
      </c>
      <c r="U762" s="14">
        <v>0.92604725241613395</v>
      </c>
      <c r="V762" s="14">
        <v>0.92379574800126196</v>
      </c>
      <c r="W762" s="14">
        <v>0.898232089460553</v>
      </c>
      <c r="X762" s="14">
        <v>0.96764623498305302</v>
      </c>
      <c r="Y762" s="14">
        <v>0.96120445226158402</v>
      </c>
      <c r="Z762" s="14">
        <v>0.89952208349685003</v>
      </c>
      <c r="AA762" s="14"/>
      <c r="AB762" s="14">
        <v>0.92392220332758201</v>
      </c>
      <c r="AC762" s="14">
        <v>0.92461949006652899</v>
      </c>
      <c r="AD762" s="14">
        <v>0.96060296470433704</v>
      </c>
      <c r="AE762" s="14">
        <v>0.96143465421470597</v>
      </c>
      <c r="AF762" s="14"/>
      <c r="AG762" s="14">
        <v>0.92511085627219602</v>
      </c>
      <c r="AH762" s="14">
        <v>0.95208567361899499</v>
      </c>
      <c r="AI762" s="14"/>
      <c r="AJ762" s="14">
        <v>0.93453855321622403</v>
      </c>
      <c r="AK762" s="14">
        <v>0.967953671225393</v>
      </c>
      <c r="AL762" s="14"/>
      <c r="AM762" s="14">
        <v>0.92957217784217505</v>
      </c>
      <c r="AN762" s="14">
        <v>0.94883812010965796</v>
      </c>
    </row>
    <row r="763" spans="2:40" x14ac:dyDescent="0.35">
      <c r="B763" t="s">
        <v>45</v>
      </c>
      <c r="C763" s="14">
        <v>5.958341828719E-2</v>
      </c>
      <c r="D763" s="14">
        <v>7.1025993528718606E-2</v>
      </c>
      <c r="E763" s="14">
        <v>4.8144815045026101E-2</v>
      </c>
      <c r="F763" s="14"/>
      <c r="G763" s="14" t="s">
        <v>76</v>
      </c>
      <c r="H763" s="14" t="s">
        <v>76</v>
      </c>
      <c r="I763" s="14">
        <v>5.958341828719E-2</v>
      </c>
      <c r="J763" s="14"/>
      <c r="K763" s="14" t="s">
        <v>76</v>
      </c>
      <c r="L763" s="14">
        <v>6.3980739582141996E-2</v>
      </c>
      <c r="M763" s="14">
        <v>5.1220876834215202E-2</v>
      </c>
      <c r="N763" s="14"/>
      <c r="O763" s="14">
        <v>5.4409926478070303E-2</v>
      </c>
      <c r="P763" s="14">
        <v>6.03521688773061E-2</v>
      </c>
      <c r="Q763" s="14"/>
      <c r="R763" s="14">
        <v>3.9672191173150399E-2</v>
      </c>
      <c r="S763" s="14">
        <v>6.5568079748871105E-2</v>
      </c>
      <c r="T763" s="14">
        <v>4.42091277060166E-2</v>
      </c>
      <c r="U763" s="14">
        <v>6.68260298096678E-2</v>
      </c>
      <c r="V763" s="14">
        <v>6.84049350393168E-2</v>
      </c>
      <c r="W763" s="14">
        <v>7.9574221419730404E-2</v>
      </c>
      <c r="X763" s="14">
        <v>3.2353765016947401E-2</v>
      </c>
      <c r="Y763" s="14">
        <v>3.8795547738416203E-2</v>
      </c>
      <c r="Z763" s="14">
        <v>8.7015722326856795E-2</v>
      </c>
      <c r="AA763" s="14"/>
      <c r="AB763" s="14">
        <v>7.6077796672417999E-2</v>
      </c>
      <c r="AC763" s="14">
        <v>7.0064551739086295E-2</v>
      </c>
      <c r="AD763" s="14">
        <v>3.3492257418406099E-2</v>
      </c>
      <c r="AE763" s="14">
        <v>3.8565345785294101E-2</v>
      </c>
      <c r="AF763" s="14"/>
      <c r="AG763" s="14">
        <v>6.9560775799552596E-2</v>
      </c>
      <c r="AH763" s="14">
        <v>4.7914326381004901E-2</v>
      </c>
      <c r="AI763" s="14"/>
      <c r="AJ763" s="14">
        <v>6.1995343106955501E-2</v>
      </c>
      <c r="AK763" s="14">
        <v>2.8671770459615002E-2</v>
      </c>
      <c r="AL763" s="14"/>
      <c r="AM763" s="14">
        <v>6.6253009801936796E-2</v>
      </c>
      <c r="AN763" s="14">
        <v>4.00103091117823E-2</v>
      </c>
    </row>
    <row r="764" spans="2:40" x14ac:dyDescent="0.35">
      <c r="B764" t="s">
        <v>70</v>
      </c>
      <c r="C764" s="14">
        <v>8.8653990545765095E-3</v>
      </c>
      <c r="D764" s="14">
        <v>8.2416717218443299E-3</v>
      </c>
      <c r="E764" s="14">
        <v>9.5098091144511007E-3</v>
      </c>
      <c r="F764" s="14"/>
      <c r="G764" s="14" t="s">
        <v>76</v>
      </c>
      <c r="H764" s="14" t="s">
        <v>76</v>
      </c>
      <c r="I764" s="14">
        <v>8.8653990545765095E-3</v>
      </c>
      <c r="J764" s="14"/>
      <c r="K764" s="14" t="s">
        <v>76</v>
      </c>
      <c r="L764" s="14">
        <v>9.1285452222769192E-3</v>
      </c>
      <c r="M764" s="14">
        <v>8.3649646791961307E-3</v>
      </c>
      <c r="N764" s="14"/>
      <c r="O764" s="14">
        <v>8.2531386175263306E-3</v>
      </c>
      <c r="P764" s="14">
        <v>1.40347869770813E-2</v>
      </c>
      <c r="Q764" s="14"/>
      <c r="R764" s="14">
        <v>1.6635140852866E-2</v>
      </c>
      <c r="S764" s="14">
        <v>4.1553763657293701E-3</v>
      </c>
      <c r="T764" s="14">
        <v>0</v>
      </c>
      <c r="U764" s="14">
        <v>7.1267177741984001E-3</v>
      </c>
      <c r="V764" s="14">
        <v>7.7993169594209001E-3</v>
      </c>
      <c r="W764" s="14">
        <v>2.2193689119716802E-2</v>
      </c>
      <c r="X764" s="14">
        <v>0</v>
      </c>
      <c r="Y764" s="14">
        <v>0</v>
      </c>
      <c r="Z764" s="14">
        <v>1.3462194176293499E-2</v>
      </c>
      <c r="AA764" s="14"/>
      <c r="AB764" s="14">
        <v>0</v>
      </c>
      <c r="AC764" s="14">
        <v>5.3159581943851304E-3</v>
      </c>
      <c r="AD764" s="14">
        <v>5.9047778772568704E-3</v>
      </c>
      <c r="AE764" s="14">
        <v>0</v>
      </c>
      <c r="AF764" s="14"/>
      <c r="AG764" s="14">
        <v>5.3283679282518396E-3</v>
      </c>
      <c r="AH764" s="14">
        <v>0</v>
      </c>
      <c r="AI764" s="14"/>
      <c r="AJ764" s="14">
        <v>3.4661036768203102E-3</v>
      </c>
      <c r="AK764" s="14">
        <v>3.37455831499202E-3</v>
      </c>
      <c r="AL764" s="14"/>
      <c r="AM764" s="14">
        <v>4.1748123558877203E-3</v>
      </c>
      <c r="AN764" s="14">
        <v>1.11515707785602E-2</v>
      </c>
    </row>
    <row r="765" spans="2:40" x14ac:dyDescent="0.35"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4"/>
      <c r="AC765" s="14"/>
      <c r="AD765" s="14"/>
      <c r="AE765" s="14"/>
      <c r="AF765" s="14"/>
      <c r="AG765" s="14"/>
      <c r="AH765" s="14"/>
      <c r="AI765" s="14"/>
      <c r="AJ765" s="14"/>
      <c r="AK765" s="14"/>
      <c r="AL765" s="14"/>
      <c r="AM765" s="14"/>
      <c r="AN765" s="14"/>
    </row>
    <row r="766" spans="2:40" x14ac:dyDescent="0.35">
      <c r="B766" s="6" t="s">
        <v>238</v>
      </c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4"/>
      <c r="AC766" s="14"/>
      <c r="AD766" s="14"/>
      <c r="AE766" s="14"/>
      <c r="AF766" s="14"/>
      <c r="AG766" s="14"/>
      <c r="AH766" s="14"/>
      <c r="AI766" s="14"/>
      <c r="AJ766" s="14"/>
      <c r="AK766" s="14"/>
      <c r="AL766" s="14"/>
      <c r="AM766" s="14"/>
      <c r="AN766" s="14"/>
    </row>
    <row r="767" spans="2:40" x14ac:dyDescent="0.35">
      <c r="B767" s="26" t="s">
        <v>395</v>
      </c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</row>
    <row r="768" spans="2:40" x14ac:dyDescent="0.35">
      <c r="B768" t="s">
        <v>155</v>
      </c>
      <c r="C768" s="14">
        <v>0.46698143973043199</v>
      </c>
      <c r="D768" s="14">
        <v>0.47776600459179702</v>
      </c>
      <c r="E768" s="14">
        <v>0.45928049349040401</v>
      </c>
      <c r="F768" s="14"/>
      <c r="G768" s="14" t="s">
        <v>76</v>
      </c>
      <c r="H768" s="14" t="s">
        <v>76</v>
      </c>
      <c r="I768" s="14">
        <v>0.46698143973043199</v>
      </c>
      <c r="J768" s="14"/>
      <c r="K768" s="14" t="s">
        <v>76</v>
      </c>
      <c r="L768" s="14">
        <v>0.462840502546358</v>
      </c>
      <c r="M768" s="14">
        <v>0.47474316202012701</v>
      </c>
      <c r="N768" s="14"/>
      <c r="O768" s="14">
        <v>0.45487142162506</v>
      </c>
      <c r="P768" s="14">
        <v>0.52835759799189996</v>
      </c>
      <c r="Q768" s="14"/>
      <c r="R768" s="14">
        <v>0.45683153574063201</v>
      </c>
      <c r="S768" s="14">
        <v>0.49353205579408299</v>
      </c>
      <c r="T768" s="14">
        <v>0.50521872313412097</v>
      </c>
      <c r="U768" s="14">
        <v>0.35750017573741699</v>
      </c>
      <c r="V768" s="14">
        <v>0.43586211321952301</v>
      </c>
      <c r="W768" s="14">
        <v>0.50734381634725201</v>
      </c>
      <c r="X768" s="14">
        <v>0.49304995340456897</v>
      </c>
      <c r="Y768" s="14">
        <v>0.40494870912497899</v>
      </c>
      <c r="Z768" s="14">
        <v>0.50406483971549698</v>
      </c>
      <c r="AA768" s="14"/>
      <c r="AB768" s="14">
        <v>0.424325848483946</v>
      </c>
      <c r="AC768" s="14">
        <v>0.50551536681568998</v>
      </c>
      <c r="AD768" s="14">
        <v>0.44011460112045497</v>
      </c>
      <c r="AE768" s="14">
        <v>0.51485106637633804</v>
      </c>
      <c r="AF768" s="14"/>
      <c r="AG768" s="14">
        <v>0.55574399981476896</v>
      </c>
      <c r="AH768" s="14">
        <v>0.45063705683551603</v>
      </c>
      <c r="AI768" s="14"/>
      <c r="AJ768" s="14">
        <v>0.518319387197821</v>
      </c>
      <c r="AK768" s="14">
        <v>0.42085153770457501</v>
      </c>
      <c r="AL768" s="14"/>
      <c r="AM768" s="14">
        <v>0.52620931002613403</v>
      </c>
      <c r="AN768" s="14">
        <v>0.41779733175290701</v>
      </c>
    </row>
    <row r="769" spans="2:40" x14ac:dyDescent="0.35">
      <c r="B769" t="s">
        <v>156</v>
      </c>
      <c r="C769" s="14">
        <v>0.46107332927579497</v>
      </c>
      <c r="D769" s="14">
        <v>0.46125441942242001</v>
      </c>
      <c r="E769" s="14">
        <v>0.458448722857624</v>
      </c>
      <c r="F769" s="14"/>
      <c r="G769" s="14" t="s">
        <v>76</v>
      </c>
      <c r="H769" s="14" t="s">
        <v>76</v>
      </c>
      <c r="I769" s="14">
        <v>0.46107332927579497</v>
      </c>
      <c r="J769" s="14"/>
      <c r="K769" s="14" t="s">
        <v>76</v>
      </c>
      <c r="L769" s="14">
        <v>0.46993859734559301</v>
      </c>
      <c r="M769" s="14">
        <v>0.44445637863811599</v>
      </c>
      <c r="N769" s="14"/>
      <c r="O769" s="14">
        <v>0.472438110892897</v>
      </c>
      <c r="P769" s="14">
        <v>0.39813256812384701</v>
      </c>
      <c r="Q769" s="14"/>
      <c r="R769" s="14">
        <v>0.454570857136472</v>
      </c>
      <c r="S769" s="14">
        <v>0.42662331327186498</v>
      </c>
      <c r="T769" s="14">
        <v>0.45773574642245501</v>
      </c>
      <c r="U769" s="14">
        <v>0.54614658703950902</v>
      </c>
      <c r="V769" s="14">
        <v>0.49814727487201099</v>
      </c>
      <c r="W769" s="14">
        <v>0.43933366388331302</v>
      </c>
      <c r="X769" s="14">
        <v>0.44777008715788003</v>
      </c>
      <c r="Y769" s="14">
        <v>0.52674640803797002</v>
      </c>
      <c r="Z769" s="14">
        <v>0.42109609311680002</v>
      </c>
      <c r="AA769" s="14"/>
      <c r="AB769" s="14">
        <v>0.50881103508610304</v>
      </c>
      <c r="AC769" s="14">
        <v>0.44279877950596302</v>
      </c>
      <c r="AD769" s="14">
        <v>0.47901633350755402</v>
      </c>
      <c r="AE769" s="14">
        <v>0.420367146738094</v>
      </c>
      <c r="AF769" s="14"/>
      <c r="AG769" s="14">
        <v>0.37346426216043399</v>
      </c>
      <c r="AH769" s="14">
        <v>0.51471400449376903</v>
      </c>
      <c r="AI769" s="14"/>
      <c r="AJ769" s="14">
        <v>0.42375796055210202</v>
      </c>
      <c r="AK769" s="14">
        <v>0.479444953841421</v>
      </c>
      <c r="AL769" s="14"/>
      <c r="AM769" s="14">
        <v>0.42999895095125701</v>
      </c>
      <c r="AN769" s="14">
        <v>0.480125174170973</v>
      </c>
    </row>
    <row r="770" spans="2:40" x14ac:dyDescent="0.35">
      <c r="B770" t="s">
        <v>157</v>
      </c>
      <c r="C770" s="14">
        <v>5.55970848985455E-2</v>
      </c>
      <c r="D770" s="14">
        <v>5.0985977181564598E-2</v>
      </c>
      <c r="E770" s="14">
        <v>6.0123414558580203E-2</v>
      </c>
      <c r="F770" s="14"/>
      <c r="G770" s="14" t="s">
        <v>76</v>
      </c>
      <c r="H770" s="14" t="s">
        <v>76</v>
      </c>
      <c r="I770" s="14">
        <v>5.55970848985455E-2</v>
      </c>
      <c r="J770" s="14"/>
      <c r="K770" s="14" t="s">
        <v>76</v>
      </c>
      <c r="L770" s="14">
        <v>5.13993940112175E-2</v>
      </c>
      <c r="M770" s="14">
        <v>6.3465185639299898E-2</v>
      </c>
      <c r="N770" s="14"/>
      <c r="O770" s="14">
        <v>5.45797447099831E-2</v>
      </c>
      <c r="P770" s="14">
        <v>6.5207089523342698E-2</v>
      </c>
      <c r="Q770" s="14"/>
      <c r="R770" s="14">
        <v>8.3022101432530096E-2</v>
      </c>
      <c r="S770" s="14">
        <v>5.3175856247961298E-2</v>
      </c>
      <c r="T770" s="14">
        <v>2.7501744558145299E-2</v>
      </c>
      <c r="U770" s="14">
        <v>8.8236253981353499E-2</v>
      </c>
      <c r="V770" s="14">
        <v>6.5990611908465197E-2</v>
      </c>
      <c r="W770" s="14">
        <v>1.96977545241728E-2</v>
      </c>
      <c r="X770" s="14">
        <v>4.8301705400330998E-2</v>
      </c>
      <c r="Y770" s="14">
        <v>3.7841424660467998E-2</v>
      </c>
      <c r="Z770" s="14">
        <v>5.0852539116298702E-2</v>
      </c>
      <c r="AA770" s="14"/>
      <c r="AB770" s="14">
        <v>6.0858771235477803E-2</v>
      </c>
      <c r="AC770" s="14">
        <v>4.6234801996190698E-2</v>
      </c>
      <c r="AD770" s="14">
        <v>6.1621375629034802E-2</v>
      </c>
      <c r="AE770" s="14">
        <v>4.6471402386572998E-2</v>
      </c>
      <c r="AF770" s="14"/>
      <c r="AG770" s="14">
        <v>6.4782077297773494E-2</v>
      </c>
      <c r="AH770" s="14">
        <v>3.4648938670714703E-2</v>
      </c>
      <c r="AI770" s="14"/>
      <c r="AJ770" s="14">
        <v>5.4052804729423101E-2</v>
      </c>
      <c r="AK770" s="14">
        <v>6.7679407138871203E-2</v>
      </c>
      <c r="AL770" s="14"/>
      <c r="AM770" s="14">
        <v>3.5690646729602003E-2</v>
      </c>
      <c r="AN770" s="14">
        <v>8.2300006719874697E-2</v>
      </c>
    </row>
    <row r="771" spans="2:40" x14ac:dyDescent="0.35">
      <c r="B771" t="s">
        <v>158</v>
      </c>
      <c r="C771" s="14">
        <v>9.5405995733449794E-3</v>
      </c>
      <c r="D771" s="14">
        <v>9.9935988042183493E-3</v>
      </c>
      <c r="E771" s="14">
        <v>9.20507924019664E-3</v>
      </c>
      <c r="F771" s="14"/>
      <c r="G771" s="14" t="s">
        <v>76</v>
      </c>
      <c r="H771" s="14" t="s">
        <v>76</v>
      </c>
      <c r="I771" s="14">
        <v>9.5405995733449794E-3</v>
      </c>
      <c r="J771" s="14"/>
      <c r="K771" s="14" t="s">
        <v>76</v>
      </c>
      <c r="L771" s="14">
        <v>1.01666233410192E-2</v>
      </c>
      <c r="M771" s="14">
        <v>8.3671882378326106E-3</v>
      </c>
      <c r="N771" s="14"/>
      <c r="O771" s="14">
        <v>9.9874963608264106E-3</v>
      </c>
      <c r="P771" s="14">
        <v>8.3027443609112305E-3</v>
      </c>
      <c r="Q771" s="14"/>
      <c r="R771" s="14">
        <v>5.5755056903658102E-3</v>
      </c>
      <c r="S771" s="14">
        <v>1.8313142497987302E-2</v>
      </c>
      <c r="T771" s="14">
        <v>0</v>
      </c>
      <c r="U771" s="14">
        <v>8.1169832417206794E-3</v>
      </c>
      <c r="V771" s="14">
        <v>0</v>
      </c>
      <c r="W771" s="14">
        <v>1.8971115247020401E-2</v>
      </c>
      <c r="X771" s="14">
        <v>1.0878254037219299E-2</v>
      </c>
      <c r="Y771" s="14">
        <v>0</v>
      </c>
      <c r="Z771" s="14">
        <v>1.36080738437285E-2</v>
      </c>
      <c r="AA771" s="14"/>
      <c r="AB771" s="14">
        <v>6.0043451944725998E-3</v>
      </c>
      <c r="AC771" s="14">
        <v>5.4510516821562501E-3</v>
      </c>
      <c r="AD771" s="14">
        <v>1.19677671932203E-2</v>
      </c>
      <c r="AE771" s="14">
        <v>4.8164327027540796E-3</v>
      </c>
      <c r="AF771" s="14"/>
      <c r="AG771" s="14">
        <v>6.0096607270231604E-3</v>
      </c>
      <c r="AH771" s="14">
        <v>0</v>
      </c>
      <c r="AI771" s="14"/>
      <c r="AJ771" s="14">
        <v>3.8698475206536899E-3</v>
      </c>
      <c r="AK771" s="14">
        <v>1.35751882454095E-2</v>
      </c>
      <c r="AL771" s="14"/>
      <c r="AM771" s="14">
        <v>6.7122555127499704E-3</v>
      </c>
      <c r="AN771" s="14">
        <v>1.72435729106694E-2</v>
      </c>
    </row>
    <row r="772" spans="2:40" x14ac:dyDescent="0.35">
      <c r="B772" t="s">
        <v>70</v>
      </c>
      <c r="C772" s="14">
        <v>6.8075465218829503E-3</v>
      </c>
      <c r="D772" s="14">
        <v>0</v>
      </c>
      <c r="E772" s="14">
        <v>1.2942289853195401E-2</v>
      </c>
      <c r="F772" s="14"/>
      <c r="G772" s="14" t="s">
        <v>76</v>
      </c>
      <c r="H772" s="14" t="s">
        <v>76</v>
      </c>
      <c r="I772" s="14">
        <v>6.8075465218829503E-3</v>
      </c>
      <c r="J772" s="14"/>
      <c r="K772" s="14" t="s">
        <v>76</v>
      </c>
      <c r="L772" s="14">
        <v>5.6548827558123701E-3</v>
      </c>
      <c r="M772" s="14">
        <v>8.9680854646238609E-3</v>
      </c>
      <c r="N772" s="14"/>
      <c r="O772" s="14">
        <v>8.1232264112332496E-3</v>
      </c>
      <c r="P772" s="14">
        <v>0</v>
      </c>
      <c r="Q772" s="14"/>
      <c r="R772" s="14">
        <v>0</v>
      </c>
      <c r="S772" s="14">
        <v>8.3556321881025006E-3</v>
      </c>
      <c r="T772" s="14">
        <v>9.5437858852788892E-3</v>
      </c>
      <c r="U772" s="14">
        <v>0</v>
      </c>
      <c r="V772" s="14">
        <v>0</v>
      </c>
      <c r="W772" s="14">
        <v>1.4653649998241799E-2</v>
      </c>
      <c r="X772" s="14">
        <v>0</v>
      </c>
      <c r="Y772" s="14">
        <v>3.0463458176582602E-2</v>
      </c>
      <c r="Z772" s="14">
        <v>1.0378454207675801E-2</v>
      </c>
      <c r="AA772" s="14"/>
      <c r="AB772" s="14">
        <v>0</v>
      </c>
      <c r="AC772" s="14">
        <v>0</v>
      </c>
      <c r="AD772" s="14">
        <v>7.2799225497360001E-3</v>
      </c>
      <c r="AE772" s="14">
        <v>1.3493951796241599E-2</v>
      </c>
      <c r="AF772" s="14"/>
      <c r="AG772" s="14">
        <v>0</v>
      </c>
      <c r="AH772" s="14">
        <v>0</v>
      </c>
      <c r="AI772" s="14"/>
      <c r="AJ772" s="14">
        <v>0</v>
      </c>
      <c r="AK772" s="14">
        <v>1.8448913069722701E-2</v>
      </c>
      <c r="AL772" s="14"/>
      <c r="AM772" s="14">
        <v>1.3888367802563999E-3</v>
      </c>
      <c r="AN772" s="14">
        <v>2.53391444557537E-3</v>
      </c>
    </row>
    <row r="773" spans="2:40" x14ac:dyDescent="0.35"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F773" s="14"/>
      <c r="AG773" s="14"/>
      <c r="AH773" s="14"/>
      <c r="AI773" s="14"/>
      <c r="AJ773" s="14"/>
      <c r="AK773" s="14"/>
      <c r="AL773" s="14"/>
      <c r="AM773" s="14"/>
      <c r="AN773" s="14"/>
    </row>
    <row r="774" spans="2:40" x14ac:dyDescent="0.35">
      <c r="B774" s="6" t="s">
        <v>240</v>
      </c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  <c r="AB774" s="14"/>
      <c r="AC774" s="14"/>
      <c r="AD774" s="14"/>
      <c r="AE774" s="14"/>
      <c r="AF774" s="14"/>
      <c r="AG774" s="14"/>
      <c r="AH774" s="14"/>
      <c r="AI774" s="14"/>
      <c r="AJ774" s="14"/>
      <c r="AK774" s="14"/>
      <c r="AL774" s="14"/>
      <c r="AM774" s="14"/>
      <c r="AN774" s="14"/>
    </row>
    <row r="775" spans="2:40" x14ac:dyDescent="0.35">
      <c r="B775" s="26" t="s">
        <v>395</v>
      </c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  <c r="AB775" s="14"/>
      <c r="AC775" s="14"/>
      <c r="AD775" s="14"/>
      <c r="AE775" s="14"/>
      <c r="AF775" s="14"/>
      <c r="AG775" s="14"/>
      <c r="AH775" s="14"/>
      <c r="AI775" s="14"/>
      <c r="AJ775" s="14"/>
      <c r="AK775" s="14"/>
      <c r="AL775" s="14"/>
      <c r="AM775" s="14"/>
      <c r="AN775" s="14"/>
    </row>
    <row r="776" spans="2:40" x14ac:dyDescent="0.35">
      <c r="B776" t="s">
        <v>160</v>
      </c>
      <c r="C776" s="14">
        <v>0.32366494988287697</v>
      </c>
      <c r="D776" s="14">
        <v>0.36445997226947602</v>
      </c>
      <c r="E776" s="14">
        <v>0.28498434356358199</v>
      </c>
      <c r="F776" s="14"/>
      <c r="G776" s="14" t="s">
        <v>76</v>
      </c>
      <c r="H776" s="14" t="s">
        <v>76</v>
      </c>
      <c r="I776" s="14">
        <v>0.32366494988287697</v>
      </c>
      <c r="J776" s="14"/>
      <c r="K776" s="14" t="s">
        <v>76</v>
      </c>
      <c r="L776" s="14">
        <v>0.31261032451776699</v>
      </c>
      <c r="M776" s="14">
        <v>0.344385605204726</v>
      </c>
      <c r="N776" s="14"/>
      <c r="O776" s="14">
        <v>0.28776592244531202</v>
      </c>
      <c r="P776" s="14">
        <v>0.53622723438287101</v>
      </c>
      <c r="Q776" s="14"/>
      <c r="R776" s="14">
        <v>0.53284106175891999</v>
      </c>
      <c r="S776" s="14">
        <v>0.25888580999607502</v>
      </c>
      <c r="T776" s="14">
        <v>0.29492478052368898</v>
      </c>
      <c r="U776" s="14">
        <v>0.28334938806295501</v>
      </c>
      <c r="V776" s="14">
        <v>0.27895240907933699</v>
      </c>
      <c r="W776" s="14">
        <v>0.23604805646254601</v>
      </c>
      <c r="X776" s="14">
        <v>0.28430802211247902</v>
      </c>
      <c r="Y776" s="14">
        <v>0.30383986101481097</v>
      </c>
      <c r="Z776" s="14">
        <v>0.33072302499649198</v>
      </c>
      <c r="AA776" s="14"/>
      <c r="AB776" s="14">
        <v>0.201264598569521</v>
      </c>
      <c r="AC776" s="14">
        <v>0.58005320720298903</v>
      </c>
      <c r="AD776" s="14">
        <v>0.21641596751638101</v>
      </c>
      <c r="AE776" s="14">
        <v>0.55265544961511803</v>
      </c>
      <c r="AF776" s="14"/>
      <c r="AG776" s="14">
        <v>0.55545822905390896</v>
      </c>
      <c r="AH776" s="14">
        <v>0.21467371456915901</v>
      </c>
      <c r="AI776" s="14"/>
      <c r="AJ776" s="14">
        <v>0.43411773451622698</v>
      </c>
      <c r="AK776" s="14">
        <v>0.27207724125291999</v>
      </c>
      <c r="AL776" s="14"/>
      <c r="AM776" s="14">
        <v>0.54120974816485101</v>
      </c>
      <c r="AN776" s="14">
        <v>7.2522437579643204E-2</v>
      </c>
    </row>
    <row r="777" spans="2:40" x14ac:dyDescent="0.35">
      <c r="B777" t="s">
        <v>161</v>
      </c>
      <c r="C777" s="14">
        <v>0.50452900025368497</v>
      </c>
      <c r="D777" s="14">
        <v>0.48707546010901998</v>
      </c>
      <c r="E777" s="14">
        <v>0.52109485985488002</v>
      </c>
      <c r="F777" s="14"/>
      <c r="G777" s="14" t="s">
        <v>76</v>
      </c>
      <c r="H777" s="14" t="s">
        <v>76</v>
      </c>
      <c r="I777" s="14">
        <v>0.50452900025368497</v>
      </c>
      <c r="J777" s="14"/>
      <c r="K777" s="14" t="s">
        <v>76</v>
      </c>
      <c r="L777" s="14">
        <v>0.52037641791114497</v>
      </c>
      <c r="M777" s="14">
        <v>0.47482479335600503</v>
      </c>
      <c r="N777" s="14"/>
      <c r="O777" s="14">
        <v>0.526018189111223</v>
      </c>
      <c r="P777" s="14">
        <v>0.40068498756718901</v>
      </c>
      <c r="Q777" s="14"/>
      <c r="R777" s="14">
        <v>0.35020239371570999</v>
      </c>
      <c r="S777" s="14">
        <v>0.51606982484375896</v>
      </c>
      <c r="T777" s="14">
        <v>0.54116337625703004</v>
      </c>
      <c r="U777" s="14">
        <v>0.52687715890323705</v>
      </c>
      <c r="V777" s="14">
        <v>0.52949206865239096</v>
      </c>
      <c r="W777" s="14">
        <v>0.58290952547380304</v>
      </c>
      <c r="X777" s="14">
        <v>0.57373823181831995</v>
      </c>
      <c r="Y777" s="14">
        <v>0.50798351599046498</v>
      </c>
      <c r="Z777" s="14">
        <v>0.51090928903662003</v>
      </c>
      <c r="AA777" s="14"/>
      <c r="AB777" s="14">
        <v>0.60723838210155601</v>
      </c>
      <c r="AC777" s="14">
        <v>0.397450595190387</v>
      </c>
      <c r="AD777" s="14">
        <v>0.56356601438589304</v>
      </c>
      <c r="AE777" s="14">
        <v>0.37519260249730002</v>
      </c>
      <c r="AF777" s="14"/>
      <c r="AG777" s="14">
        <v>0.38437192900334</v>
      </c>
      <c r="AH777" s="14">
        <v>0.45247344082475699</v>
      </c>
      <c r="AI777" s="14"/>
      <c r="AJ777" s="14">
        <v>0.40862030524094101</v>
      </c>
      <c r="AK777" s="14">
        <v>0.54261135941370398</v>
      </c>
      <c r="AL777" s="14"/>
      <c r="AM777" s="14">
        <v>0.41475414801958099</v>
      </c>
      <c r="AN777" s="14">
        <v>0.49927175390207901</v>
      </c>
    </row>
    <row r="778" spans="2:40" x14ac:dyDescent="0.35">
      <c r="B778" t="s">
        <v>162</v>
      </c>
      <c r="C778" s="14">
        <v>0.13319004556172501</v>
      </c>
      <c r="D778" s="14">
        <v>0.120189165760354</v>
      </c>
      <c r="E778" s="14">
        <v>0.145780455142549</v>
      </c>
      <c r="F778" s="14"/>
      <c r="G778" s="14" t="s">
        <v>76</v>
      </c>
      <c r="H778" s="14" t="s">
        <v>76</v>
      </c>
      <c r="I778" s="14">
        <v>0.13319004556172501</v>
      </c>
      <c r="J778" s="14"/>
      <c r="K778" s="14" t="s">
        <v>76</v>
      </c>
      <c r="L778" s="14">
        <v>0.13627361248792</v>
      </c>
      <c r="M778" s="14">
        <v>0.127410245222113</v>
      </c>
      <c r="N778" s="14"/>
      <c r="O778" s="14">
        <v>0.141158748273674</v>
      </c>
      <c r="P778" s="14">
        <v>6.3087778049939994E-2</v>
      </c>
      <c r="Q778" s="14"/>
      <c r="R778" s="14">
        <v>8.7229881309842897E-2</v>
      </c>
      <c r="S778" s="14">
        <v>0.188199017911484</v>
      </c>
      <c r="T778" s="14">
        <v>0.107749489102081</v>
      </c>
      <c r="U778" s="14">
        <v>0.12962614258565799</v>
      </c>
      <c r="V778" s="14">
        <v>0.18265083126833501</v>
      </c>
      <c r="W778" s="14">
        <v>0.16098381285940899</v>
      </c>
      <c r="X778" s="14">
        <v>0.118029700330968</v>
      </c>
      <c r="Y778" s="14">
        <v>0.101589274132701</v>
      </c>
      <c r="Z778" s="14">
        <v>0.11314003291454</v>
      </c>
      <c r="AA778" s="14"/>
      <c r="AB778" s="14">
        <v>0.14724931359739701</v>
      </c>
      <c r="AC778" s="14">
        <v>2.2496197606624101E-2</v>
      </c>
      <c r="AD778" s="14">
        <v>0.16645646484629401</v>
      </c>
      <c r="AE778" s="14">
        <v>3.4299945805505397E-2</v>
      </c>
      <c r="AF778" s="14"/>
      <c r="AG778" s="14">
        <v>6.0169841942751198E-2</v>
      </c>
      <c r="AH778" s="14">
        <v>0.242233736202976</v>
      </c>
      <c r="AI778" s="14"/>
      <c r="AJ778" s="14">
        <v>0.124995918328275</v>
      </c>
      <c r="AK778" s="14">
        <v>0.117901204070344</v>
      </c>
      <c r="AL778" s="14"/>
      <c r="AM778" s="14">
        <v>3.7259517093325402E-2</v>
      </c>
      <c r="AN778" s="14">
        <v>0.32135700500611902</v>
      </c>
    </row>
    <row r="779" spans="2:40" x14ac:dyDescent="0.35">
      <c r="B779" t="s">
        <v>163</v>
      </c>
      <c r="C779" s="14">
        <v>3.1998055337813899E-2</v>
      </c>
      <c r="D779" s="14">
        <v>2.4476824632994099E-2</v>
      </c>
      <c r="E779" s="14">
        <v>3.8954028362617799E-2</v>
      </c>
      <c r="F779" s="14"/>
      <c r="G779" s="14" t="s">
        <v>76</v>
      </c>
      <c r="H779" s="14" t="s">
        <v>76</v>
      </c>
      <c r="I779" s="14">
        <v>3.1998055337813899E-2</v>
      </c>
      <c r="J779" s="14"/>
      <c r="K779" s="14" t="s">
        <v>76</v>
      </c>
      <c r="L779" s="14">
        <v>2.5972829560808E-2</v>
      </c>
      <c r="M779" s="14">
        <v>4.3291665246629703E-2</v>
      </c>
      <c r="N779" s="14"/>
      <c r="O779" s="14">
        <v>3.7160154429198698E-2</v>
      </c>
      <c r="P779" s="14">
        <v>0</v>
      </c>
      <c r="Q779" s="14"/>
      <c r="R779" s="14">
        <v>2.3846051738814999E-2</v>
      </c>
      <c r="S779" s="14">
        <v>3.2134092857747501E-2</v>
      </c>
      <c r="T779" s="14">
        <v>3.7097701445331199E-2</v>
      </c>
      <c r="U779" s="14">
        <v>6.01473104481497E-2</v>
      </c>
      <c r="V779" s="14">
        <v>8.9046909999366992E-3</v>
      </c>
      <c r="W779" s="14">
        <v>1.3103568922908501E-2</v>
      </c>
      <c r="X779" s="14">
        <v>2.3924045738232199E-2</v>
      </c>
      <c r="Y779" s="14">
        <v>5.6123890685440297E-2</v>
      </c>
      <c r="Z779" s="14">
        <v>4.0038425971215999E-2</v>
      </c>
      <c r="AA779" s="14"/>
      <c r="AB779" s="14">
        <v>4.4247705731525797E-2</v>
      </c>
      <c r="AC779" s="14">
        <v>0</v>
      </c>
      <c r="AD779" s="14">
        <v>5.3561553251430701E-2</v>
      </c>
      <c r="AE779" s="14">
        <v>2.43580502858349E-2</v>
      </c>
      <c r="AF779" s="14"/>
      <c r="AG779" s="14">
        <v>0</v>
      </c>
      <c r="AH779" s="14">
        <v>9.0619108403107801E-2</v>
      </c>
      <c r="AI779" s="14"/>
      <c r="AJ779" s="14">
        <v>3.2266041914557002E-2</v>
      </c>
      <c r="AK779" s="14">
        <v>4.6658058753671197E-2</v>
      </c>
      <c r="AL779" s="14"/>
      <c r="AM779" s="14">
        <v>3.1899217701786501E-3</v>
      </c>
      <c r="AN779" s="14">
        <v>0.104000130159884</v>
      </c>
    </row>
    <row r="780" spans="2:40" x14ac:dyDescent="0.35">
      <c r="B780" t="s">
        <v>70</v>
      </c>
      <c r="C780" s="14">
        <v>6.6179489638986903E-3</v>
      </c>
      <c r="D780" s="14">
        <v>3.7985772281566E-3</v>
      </c>
      <c r="E780" s="14">
        <v>9.1863130763714905E-3</v>
      </c>
      <c r="F780" s="14"/>
      <c r="G780" s="14" t="s">
        <v>76</v>
      </c>
      <c r="H780" s="14" t="s">
        <v>76</v>
      </c>
      <c r="I780" s="14">
        <v>6.6179489638986903E-3</v>
      </c>
      <c r="J780" s="14"/>
      <c r="K780" s="14" t="s">
        <v>76</v>
      </c>
      <c r="L780" s="14">
        <v>4.7668155223604698E-3</v>
      </c>
      <c r="M780" s="14">
        <v>1.0087690970526799E-2</v>
      </c>
      <c r="N780" s="14"/>
      <c r="O780" s="14">
        <v>7.8969857405933493E-3</v>
      </c>
      <c r="P780" s="14">
        <v>0</v>
      </c>
      <c r="Q780" s="14"/>
      <c r="R780" s="14">
        <v>5.8806114767113796E-3</v>
      </c>
      <c r="S780" s="14">
        <v>4.7112543909349101E-3</v>
      </c>
      <c r="T780" s="14">
        <v>1.9064652671868899E-2</v>
      </c>
      <c r="U780" s="14">
        <v>0</v>
      </c>
      <c r="V780" s="14">
        <v>0</v>
      </c>
      <c r="W780" s="14">
        <v>6.9550362813340996E-3</v>
      </c>
      <c r="X780" s="14">
        <v>0</v>
      </c>
      <c r="Y780" s="14">
        <v>3.0463458176582602E-2</v>
      </c>
      <c r="Z780" s="14">
        <v>5.18922708113211E-3</v>
      </c>
      <c r="AA780" s="14"/>
      <c r="AB780" s="14">
        <v>0</v>
      </c>
      <c r="AC780" s="14">
        <v>0</v>
      </c>
      <c r="AD780" s="14">
        <v>0</v>
      </c>
      <c r="AE780" s="14">
        <v>1.3493951796241599E-2</v>
      </c>
      <c r="AF780" s="14"/>
      <c r="AG780" s="14">
        <v>0</v>
      </c>
      <c r="AH780" s="14">
        <v>0</v>
      </c>
      <c r="AI780" s="14"/>
      <c r="AJ780" s="14">
        <v>0</v>
      </c>
      <c r="AK780" s="14">
        <v>2.0752136509359399E-2</v>
      </c>
      <c r="AL780" s="14"/>
      <c r="AM780" s="14">
        <v>3.5866649520636599E-3</v>
      </c>
      <c r="AN780" s="14">
        <v>2.8486733522743901E-3</v>
      </c>
    </row>
    <row r="781" spans="2:40" x14ac:dyDescent="0.35">
      <c r="B781" t="s">
        <v>164</v>
      </c>
      <c r="C781" s="14">
        <v>0.82819395013656305</v>
      </c>
      <c r="D781" s="14">
        <v>0.85153543237849605</v>
      </c>
      <c r="E781" s="14">
        <v>0.80607920341846195</v>
      </c>
      <c r="F781" s="14"/>
      <c r="G781" s="14" t="s">
        <v>76</v>
      </c>
      <c r="H781" s="14" t="s">
        <v>76</v>
      </c>
      <c r="I781" s="14">
        <v>0.82819395013656305</v>
      </c>
      <c r="J781" s="14"/>
      <c r="K781" s="14" t="s">
        <v>76</v>
      </c>
      <c r="L781" s="14">
        <v>0.83298674242891202</v>
      </c>
      <c r="M781" s="14">
        <v>0.81921039856073097</v>
      </c>
      <c r="N781" s="14"/>
      <c r="O781" s="14">
        <v>0.81378411155653396</v>
      </c>
      <c r="P781" s="14">
        <v>0.93691222195005996</v>
      </c>
      <c r="Q781" s="14"/>
      <c r="R781" s="14">
        <v>0.88304345547463103</v>
      </c>
      <c r="S781" s="14">
        <v>0.77495563483983299</v>
      </c>
      <c r="T781" s="14">
        <v>0.83608815678071902</v>
      </c>
      <c r="U781" s="14">
        <v>0.81022654696619201</v>
      </c>
      <c r="V781" s="14">
        <v>0.80844447773172801</v>
      </c>
      <c r="W781" s="14">
        <v>0.81895758193634804</v>
      </c>
      <c r="X781" s="14">
        <v>0.85804625393080003</v>
      </c>
      <c r="Y781" s="14">
        <v>0.81182337700527596</v>
      </c>
      <c r="Z781" s="14">
        <v>0.84163231403311201</v>
      </c>
      <c r="AA781" s="14"/>
      <c r="AB781" s="14">
        <v>0.80850298067107695</v>
      </c>
      <c r="AC781" s="14">
        <v>0.97750380239337598</v>
      </c>
      <c r="AD781" s="14">
        <v>0.77998198190227497</v>
      </c>
      <c r="AE781" s="14">
        <v>0.92784805211241805</v>
      </c>
      <c r="AF781" s="14"/>
      <c r="AG781" s="14">
        <v>0.93983015805724901</v>
      </c>
      <c r="AH781" s="14">
        <v>0.667147155393916</v>
      </c>
      <c r="AI781" s="14"/>
      <c r="AJ781" s="14">
        <v>0.84273803975716799</v>
      </c>
      <c r="AK781" s="14">
        <v>0.81468860066662496</v>
      </c>
      <c r="AL781" s="14"/>
      <c r="AM781" s="14">
        <v>0.955963896184432</v>
      </c>
      <c r="AN781" s="14">
        <v>0.57179419148172195</v>
      </c>
    </row>
    <row r="782" spans="2:40" x14ac:dyDescent="0.35"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  <c r="AB782" s="14"/>
      <c r="AC782" s="14"/>
      <c r="AD782" s="14"/>
      <c r="AE782" s="14"/>
      <c r="AF782" s="14"/>
      <c r="AG782" s="14"/>
      <c r="AH782" s="14"/>
      <c r="AI782" s="14"/>
      <c r="AJ782" s="14"/>
      <c r="AK782" s="14"/>
      <c r="AL782" s="14"/>
      <c r="AM782" s="14"/>
      <c r="AN782" s="14"/>
    </row>
    <row r="783" spans="2:40" x14ac:dyDescent="0.35">
      <c r="B783" s="6" t="s">
        <v>241</v>
      </c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4"/>
      <c r="AB783" s="14"/>
      <c r="AC783" s="14"/>
      <c r="AD783" s="14"/>
      <c r="AE783" s="14"/>
      <c r="AF783" s="14"/>
      <c r="AG783" s="14"/>
      <c r="AH783" s="14"/>
      <c r="AI783" s="14"/>
      <c r="AJ783" s="14"/>
      <c r="AK783" s="14"/>
      <c r="AL783" s="14"/>
      <c r="AM783" s="14"/>
      <c r="AN783" s="14"/>
    </row>
    <row r="784" spans="2:40" x14ac:dyDescent="0.35">
      <c r="B784" s="26" t="s">
        <v>395</v>
      </c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4"/>
      <c r="AC784" s="14"/>
      <c r="AD784" s="14"/>
      <c r="AE784" s="14"/>
      <c r="AF784" s="14"/>
      <c r="AG784" s="14"/>
      <c r="AH784" s="14"/>
      <c r="AI784" s="14"/>
      <c r="AJ784" s="14"/>
      <c r="AK784" s="14"/>
      <c r="AL784" s="14"/>
      <c r="AM784" s="14"/>
      <c r="AN784" s="14"/>
    </row>
    <row r="785" spans="2:40" x14ac:dyDescent="0.35">
      <c r="B785" t="s">
        <v>166</v>
      </c>
      <c r="C785" s="14">
        <v>0.22037019451463999</v>
      </c>
      <c r="D785" s="14">
        <v>0.23781290139785199</v>
      </c>
      <c r="E785" s="14">
        <v>0.201812531968561</v>
      </c>
      <c r="F785" s="14"/>
      <c r="G785" s="14" t="s">
        <v>76</v>
      </c>
      <c r="H785" s="14" t="s">
        <v>76</v>
      </c>
      <c r="I785" s="14">
        <v>0.22037019451463999</v>
      </c>
      <c r="J785" s="14"/>
      <c r="K785" s="14" t="s">
        <v>76</v>
      </c>
      <c r="L785" s="14">
        <v>0.21743755506167001</v>
      </c>
      <c r="M785" s="14">
        <v>0.22586709823423901</v>
      </c>
      <c r="N785" s="14"/>
      <c r="O785" s="14">
        <v>0.18658750031096599</v>
      </c>
      <c r="P785" s="14">
        <v>0.41755387960203499</v>
      </c>
      <c r="Q785" s="14"/>
      <c r="R785" s="14">
        <v>0.36990058174631402</v>
      </c>
      <c r="S785" s="14">
        <v>0.167050071604018</v>
      </c>
      <c r="T785" s="14">
        <v>0.164929652734815</v>
      </c>
      <c r="U785" s="14">
        <v>0.17292513429582901</v>
      </c>
      <c r="V785" s="14">
        <v>0.15611168093438799</v>
      </c>
      <c r="W785" s="14">
        <v>0.19191050734419299</v>
      </c>
      <c r="X785" s="14">
        <v>0.21427751185348701</v>
      </c>
      <c r="Y785" s="14">
        <v>0.263640399685308</v>
      </c>
      <c r="Z785" s="14">
        <v>0.229473164348417</v>
      </c>
      <c r="AA785" s="14"/>
      <c r="AB785" s="14">
        <v>0.151503732719104</v>
      </c>
      <c r="AC785" s="14">
        <v>0.32057214933506101</v>
      </c>
      <c r="AD785" s="14">
        <v>0.143852859234155</v>
      </c>
      <c r="AE785" s="14">
        <v>0.31712995641057501</v>
      </c>
      <c r="AF785" s="14"/>
      <c r="AG785" s="14">
        <v>0.37198349977550099</v>
      </c>
      <c r="AH785" s="14">
        <v>0.16113883859718101</v>
      </c>
      <c r="AI785" s="14"/>
      <c r="AJ785" s="14">
        <v>0.29690967930954099</v>
      </c>
      <c r="AK785" s="14">
        <v>0.15871295319078399</v>
      </c>
      <c r="AL785" s="14"/>
      <c r="AM785" s="14">
        <v>0.379657785761359</v>
      </c>
      <c r="AN785" s="14">
        <v>3.5074505619553102E-2</v>
      </c>
    </row>
    <row r="786" spans="2:40" x14ac:dyDescent="0.35">
      <c r="B786" t="s">
        <v>167</v>
      </c>
      <c r="C786" s="14">
        <v>0.38454269516068601</v>
      </c>
      <c r="D786" s="14">
        <v>0.40834328008266502</v>
      </c>
      <c r="E786" s="14">
        <v>0.36606525667386303</v>
      </c>
      <c r="F786" s="14"/>
      <c r="G786" s="14" t="s">
        <v>76</v>
      </c>
      <c r="H786" s="14" t="s">
        <v>76</v>
      </c>
      <c r="I786" s="14">
        <v>0.38454269516068601</v>
      </c>
      <c r="J786" s="14"/>
      <c r="K786" s="14" t="s">
        <v>76</v>
      </c>
      <c r="L786" s="14">
        <v>0.384905569076958</v>
      </c>
      <c r="M786" s="14">
        <v>0.38386252870582999</v>
      </c>
      <c r="N786" s="14"/>
      <c r="O786" s="14">
        <v>0.39138011575739101</v>
      </c>
      <c r="P786" s="14">
        <v>0.37058663028584499</v>
      </c>
      <c r="Q786" s="14"/>
      <c r="R786" s="14">
        <v>0.31361553325397401</v>
      </c>
      <c r="S786" s="14">
        <v>0.38715639735155799</v>
      </c>
      <c r="T786" s="14">
        <v>0.41025508226819302</v>
      </c>
      <c r="U786" s="14">
        <v>0.352110277871519</v>
      </c>
      <c r="V786" s="14">
        <v>0.37052385749935801</v>
      </c>
      <c r="W786" s="14">
        <v>0.40602028903457199</v>
      </c>
      <c r="X786" s="14">
        <v>0.455820769957961</v>
      </c>
      <c r="Y786" s="14">
        <v>0.32172617026704198</v>
      </c>
      <c r="Z786" s="14">
        <v>0.443749016489146</v>
      </c>
      <c r="AA786" s="14"/>
      <c r="AB786" s="14">
        <v>0.36059876620960901</v>
      </c>
      <c r="AC786" s="14">
        <v>0.47245507059078201</v>
      </c>
      <c r="AD786" s="14">
        <v>0.32847038227035602</v>
      </c>
      <c r="AE786" s="14">
        <v>0.49330404129695898</v>
      </c>
      <c r="AF786" s="14"/>
      <c r="AG786" s="14">
        <v>0.47420788911244099</v>
      </c>
      <c r="AH786" s="14">
        <v>0.281645971683121</v>
      </c>
      <c r="AI786" s="14"/>
      <c r="AJ786" s="14">
        <v>0.40564386317562401</v>
      </c>
      <c r="AK786" s="14">
        <v>0.37520710565293802</v>
      </c>
      <c r="AL786" s="14"/>
      <c r="AM786" s="14">
        <v>0.49427467534415898</v>
      </c>
      <c r="AN786" s="14">
        <v>0.17773875306574999</v>
      </c>
    </row>
    <row r="787" spans="2:40" x14ac:dyDescent="0.35">
      <c r="B787" t="s">
        <v>168</v>
      </c>
      <c r="C787" s="14">
        <v>0.27464162880922</v>
      </c>
      <c r="D787" s="14">
        <v>0.253658078034459</v>
      </c>
      <c r="E787" s="14">
        <v>0.29539681492754999</v>
      </c>
      <c r="F787" s="14"/>
      <c r="G787" s="14" t="s">
        <v>76</v>
      </c>
      <c r="H787" s="14" t="s">
        <v>76</v>
      </c>
      <c r="I787" s="14">
        <v>0.27464162880922</v>
      </c>
      <c r="J787" s="14"/>
      <c r="K787" s="14" t="s">
        <v>76</v>
      </c>
      <c r="L787" s="14">
        <v>0.28336737549786301</v>
      </c>
      <c r="M787" s="14">
        <v>0.25828619535131497</v>
      </c>
      <c r="N787" s="14"/>
      <c r="O787" s="14">
        <v>0.28930009114331701</v>
      </c>
      <c r="P787" s="14">
        <v>0.20086849888371799</v>
      </c>
      <c r="Q787" s="14"/>
      <c r="R787" s="14">
        <v>0.22111806176445001</v>
      </c>
      <c r="S787" s="14">
        <v>0.33179230094155598</v>
      </c>
      <c r="T787" s="14">
        <v>0.29337929809028901</v>
      </c>
      <c r="U787" s="14">
        <v>0.35418780962577701</v>
      </c>
      <c r="V787" s="14">
        <v>0.31987509419767102</v>
      </c>
      <c r="W787" s="14">
        <v>0.279683544487972</v>
      </c>
      <c r="X787" s="14">
        <v>0.186668485033614</v>
      </c>
      <c r="Y787" s="14">
        <v>0.30430491911430202</v>
      </c>
      <c r="Z787" s="14">
        <v>0.210624939655812</v>
      </c>
      <c r="AA787" s="14"/>
      <c r="AB787" s="14">
        <v>0.30891716197205099</v>
      </c>
      <c r="AC787" s="14">
        <v>0.18538847757911001</v>
      </c>
      <c r="AD787" s="14">
        <v>0.34170299761550399</v>
      </c>
      <c r="AE787" s="14">
        <v>0.158461782867797</v>
      </c>
      <c r="AF787" s="14"/>
      <c r="AG787" s="14">
        <v>0.140571009871237</v>
      </c>
      <c r="AH787" s="14">
        <v>0.28514820479513098</v>
      </c>
      <c r="AI787" s="14"/>
      <c r="AJ787" s="14">
        <v>0.192049488456041</v>
      </c>
      <c r="AK787" s="14">
        <v>0.33229443747624898</v>
      </c>
      <c r="AL787" s="14"/>
      <c r="AM787" s="14">
        <v>0.119631264213187</v>
      </c>
      <c r="AN787" s="14">
        <v>0.431568414266848</v>
      </c>
    </row>
    <row r="788" spans="2:40" x14ac:dyDescent="0.35">
      <c r="B788" t="s">
        <v>169</v>
      </c>
      <c r="C788" s="14">
        <v>0.115461371071889</v>
      </c>
      <c r="D788" s="14">
        <v>9.7926123211306101E-2</v>
      </c>
      <c r="E788" s="14">
        <v>0.129269620056635</v>
      </c>
      <c r="F788" s="14"/>
      <c r="G788" s="14" t="s">
        <v>76</v>
      </c>
      <c r="H788" s="14" t="s">
        <v>76</v>
      </c>
      <c r="I788" s="14">
        <v>0.115461371071889</v>
      </c>
      <c r="J788" s="14"/>
      <c r="K788" s="14" t="s">
        <v>76</v>
      </c>
      <c r="L788" s="14">
        <v>0.10664632953425</v>
      </c>
      <c r="M788" s="14">
        <v>0.13198417770861701</v>
      </c>
      <c r="N788" s="14"/>
      <c r="O788" s="14">
        <v>0.128873890192301</v>
      </c>
      <c r="P788" s="14">
        <v>4.6502136824334303E-3</v>
      </c>
      <c r="Q788" s="14"/>
      <c r="R788" s="14">
        <v>9.0134978789580794E-2</v>
      </c>
      <c r="S788" s="14">
        <v>0.109836290943308</v>
      </c>
      <c r="T788" s="14">
        <v>0.121892181021424</v>
      </c>
      <c r="U788" s="14">
        <v>0.11265979496515401</v>
      </c>
      <c r="V788" s="14">
        <v>0.15348936736858301</v>
      </c>
      <c r="W788" s="14">
        <v>0.12238565913326301</v>
      </c>
      <c r="X788" s="14">
        <v>0.132354975046104</v>
      </c>
      <c r="Y788" s="14">
        <v>0.110328510933348</v>
      </c>
      <c r="Z788" s="14">
        <v>0.11153702628150899</v>
      </c>
      <c r="AA788" s="14"/>
      <c r="AB788" s="14">
        <v>0.178980339099236</v>
      </c>
      <c r="AC788" s="14">
        <v>7.1798203616969102E-3</v>
      </c>
      <c r="AD788" s="14">
        <v>0.18597376087998499</v>
      </c>
      <c r="AE788" s="14">
        <v>3.11042194246679E-2</v>
      </c>
      <c r="AF788" s="14"/>
      <c r="AG788" s="14">
        <v>1.32376012408209E-2</v>
      </c>
      <c r="AH788" s="14">
        <v>0.27206698492456799</v>
      </c>
      <c r="AI788" s="14"/>
      <c r="AJ788" s="14">
        <v>0.10539696905879301</v>
      </c>
      <c r="AK788" s="14">
        <v>0.13378550368002901</v>
      </c>
      <c r="AL788" s="14"/>
      <c r="AM788" s="14">
        <v>6.43627468129487E-3</v>
      </c>
      <c r="AN788" s="14">
        <v>0.35254980160564497</v>
      </c>
    </row>
    <row r="789" spans="2:40" x14ac:dyDescent="0.35">
      <c r="B789" t="s">
        <v>70</v>
      </c>
      <c r="C789" s="14">
        <v>4.9841104435645002E-3</v>
      </c>
      <c r="D789" s="14">
        <v>2.2596172737169699E-3</v>
      </c>
      <c r="E789" s="14">
        <v>7.45577637339197E-3</v>
      </c>
      <c r="F789" s="14"/>
      <c r="G789" s="14" t="s">
        <v>76</v>
      </c>
      <c r="H789" s="14" t="s">
        <v>76</v>
      </c>
      <c r="I789" s="14">
        <v>4.9841104435645002E-3</v>
      </c>
      <c r="J789" s="14"/>
      <c r="K789" s="14" t="s">
        <v>76</v>
      </c>
      <c r="L789" s="14">
        <v>7.6431708292581399E-3</v>
      </c>
      <c r="M789" s="14">
        <v>0</v>
      </c>
      <c r="N789" s="14"/>
      <c r="O789" s="14">
        <v>3.8584025960264798E-3</v>
      </c>
      <c r="P789" s="14">
        <v>6.3407775459678201E-3</v>
      </c>
      <c r="Q789" s="14"/>
      <c r="R789" s="14">
        <v>5.2308444456809601E-3</v>
      </c>
      <c r="S789" s="14">
        <v>4.1649391595602403E-3</v>
      </c>
      <c r="T789" s="14">
        <v>9.5437858852788892E-3</v>
      </c>
      <c r="U789" s="14">
        <v>8.1169832417206794E-3</v>
      </c>
      <c r="V789" s="14">
        <v>0</v>
      </c>
      <c r="W789" s="14">
        <v>0</v>
      </c>
      <c r="X789" s="14">
        <v>1.08782581088336E-2</v>
      </c>
      <c r="Y789" s="14">
        <v>0</v>
      </c>
      <c r="Z789" s="14">
        <v>4.6158532251164399E-3</v>
      </c>
      <c r="AA789" s="14"/>
      <c r="AB789" s="14">
        <v>0</v>
      </c>
      <c r="AC789" s="14">
        <v>1.4404482133349701E-2</v>
      </c>
      <c r="AD789" s="14">
        <v>0</v>
      </c>
      <c r="AE789" s="14">
        <v>0</v>
      </c>
      <c r="AF789" s="14"/>
      <c r="AG789" s="14">
        <v>0</v>
      </c>
      <c r="AH789" s="14">
        <v>0</v>
      </c>
      <c r="AI789" s="14"/>
      <c r="AJ789" s="14">
        <v>0</v>
      </c>
      <c r="AK789" s="14">
        <v>0</v>
      </c>
      <c r="AL789" s="14"/>
      <c r="AM789" s="14">
        <v>0</v>
      </c>
      <c r="AN789" s="14">
        <v>3.06852544220326E-3</v>
      </c>
    </row>
    <row r="790" spans="2:40" x14ac:dyDescent="0.35"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  <c r="AB790" s="14"/>
      <c r="AC790" s="14"/>
      <c r="AD790" s="14"/>
      <c r="AE790" s="14"/>
      <c r="AF790" s="14"/>
      <c r="AG790" s="14"/>
      <c r="AH790" s="14"/>
      <c r="AI790" s="14"/>
      <c r="AJ790" s="14"/>
      <c r="AK790" s="14"/>
      <c r="AL790" s="14"/>
      <c r="AM790" s="14"/>
      <c r="AN790" s="14"/>
    </row>
    <row r="791" spans="2:40" x14ac:dyDescent="0.35">
      <c r="B791" s="6" t="s">
        <v>246</v>
      </c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  <c r="AB791" s="14"/>
      <c r="AC791" s="14"/>
      <c r="AD791" s="14"/>
      <c r="AE791" s="14"/>
      <c r="AF791" s="14"/>
      <c r="AG791" s="14"/>
      <c r="AH791" s="14"/>
      <c r="AI791" s="14"/>
      <c r="AJ791" s="14"/>
      <c r="AK791" s="14"/>
      <c r="AL791" s="14"/>
      <c r="AM791" s="14"/>
      <c r="AN791" s="14"/>
    </row>
    <row r="792" spans="2:40" x14ac:dyDescent="0.35">
      <c r="B792" s="26" t="s">
        <v>395</v>
      </c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  <c r="AB792" s="14"/>
      <c r="AC792" s="14"/>
      <c r="AD792" s="14"/>
      <c r="AE792" s="14"/>
      <c r="AF792" s="14"/>
      <c r="AG792" s="14"/>
      <c r="AH792" s="14"/>
      <c r="AI792" s="14"/>
      <c r="AJ792" s="14"/>
      <c r="AK792" s="14"/>
      <c r="AL792" s="14"/>
      <c r="AM792" s="14"/>
      <c r="AN792" s="14"/>
    </row>
    <row r="793" spans="2:40" x14ac:dyDescent="0.35">
      <c r="B793" t="s">
        <v>242</v>
      </c>
      <c r="C793" s="14">
        <v>0.38746112672125899</v>
      </c>
      <c r="D793" s="14">
        <v>0.42209040898192401</v>
      </c>
      <c r="E793" s="14">
        <v>0.35475617664049303</v>
      </c>
      <c r="F793" s="14"/>
      <c r="G793" s="14" t="s">
        <v>76</v>
      </c>
      <c r="H793" s="14" t="s">
        <v>76</v>
      </c>
      <c r="I793" s="14">
        <v>0.38746112672125899</v>
      </c>
      <c r="J793" s="14"/>
      <c r="K793" s="14" t="s">
        <v>76</v>
      </c>
      <c r="L793" s="14">
        <v>0.38559334171934201</v>
      </c>
      <c r="M793" s="14">
        <v>0.39096208021012102</v>
      </c>
      <c r="N793" s="14"/>
      <c r="O793" s="14">
        <v>0.35869121918312902</v>
      </c>
      <c r="P793" s="14">
        <v>0.55192391896715298</v>
      </c>
      <c r="Q793" s="14"/>
      <c r="R793" s="14">
        <v>0.475482125551415</v>
      </c>
      <c r="S793" s="14">
        <v>0.324512061057045</v>
      </c>
      <c r="T793" s="14">
        <v>0.34511681814672002</v>
      </c>
      <c r="U793" s="14">
        <v>0.39170750632066498</v>
      </c>
      <c r="V793" s="14">
        <v>0.36166714797702898</v>
      </c>
      <c r="W793" s="14">
        <v>0.322501122007398</v>
      </c>
      <c r="X793" s="14">
        <v>0.39399197789155099</v>
      </c>
      <c r="Y793" s="14">
        <v>0.39491184305682098</v>
      </c>
      <c r="Z793" s="14">
        <v>0.44107118070578799</v>
      </c>
      <c r="AA793" s="14"/>
      <c r="AB793" s="14">
        <v>0.35503698359883301</v>
      </c>
      <c r="AC793" s="14">
        <v>0.56366779517906296</v>
      </c>
      <c r="AD793" s="14">
        <v>0.32777004166067802</v>
      </c>
      <c r="AE793" s="14">
        <v>0.51799629508933398</v>
      </c>
      <c r="AF793" s="14"/>
      <c r="AG793" s="14">
        <v>0.57443402447144998</v>
      </c>
      <c r="AH793" s="14">
        <v>0.28769386602667302</v>
      </c>
      <c r="AI793" s="14"/>
      <c r="AJ793" s="14">
        <v>0.47233668392148997</v>
      </c>
      <c r="AK793" s="14">
        <v>0.32684309208385598</v>
      </c>
      <c r="AL793" s="14"/>
      <c r="AM793" s="14">
        <v>0.53523420344327899</v>
      </c>
      <c r="AN793" s="14">
        <v>0.212182867631138</v>
      </c>
    </row>
    <row r="794" spans="2:40" x14ac:dyDescent="0.35">
      <c r="B794" t="s">
        <v>243</v>
      </c>
      <c r="C794" s="14">
        <v>0.48273262615081097</v>
      </c>
      <c r="D794" s="14">
        <v>0.45385957616746397</v>
      </c>
      <c r="E794" s="14">
        <v>0.50934772195530997</v>
      </c>
      <c r="F794" s="14"/>
      <c r="G794" s="14" t="s">
        <v>76</v>
      </c>
      <c r="H794" s="14" t="s">
        <v>76</v>
      </c>
      <c r="I794" s="14">
        <v>0.48273262615081097</v>
      </c>
      <c r="J794" s="14"/>
      <c r="K794" s="14" t="s">
        <v>76</v>
      </c>
      <c r="L794" s="14">
        <v>0.470689012394644</v>
      </c>
      <c r="M794" s="14">
        <v>0.50530702928333404</v>
      </c>
      <c r="N794" s="14"/>
      <c r="O794" s="14">
        <v>0.50287332449620503</v>
      </c>
      <c r="P794" s="14">
        <v>0.36870679043217902</v>
      </c>
      <c r="Q794" s="14"/>
      <c r="R794" s="14">
        <v>0.40256260042979303</v>
      </c>
      <c r="S794" s="14">
        <v>0.53376827176765396</v>
      </c>
      <c r="T794" s="14">
        <v>0.55083664048056902</v>
      </c>
      <c r="U794" s="14">
        <v>0.43936646367302401</v>
      </c>
      <c r="V794" s="14">
        <v>0.465856466821083</v>
      </c>
      <c r="W794" s="14">
        <v>0.53707415907173905</v>
      </c>
      <c r="X794" s="14">
        <v>0.498219300888116</v>
      </c>
      <c r="Y794" s="14">
        <v>0.47552013400138199</v>
      </c>
      <c r="Z794" s="14">
        <v>0.46640933675218399</v>
      </c>
      <c r="AA794" s="14"/>
      <c r="AB794" s="14">
        <v>0.49634700308952201</v>
      </c>
      <c r="AC794" s="14">
        <v>0.37942152552727298</v>
      </c>
      <c r="AD794" s="14">
        <v>0.53382323362834105</v>
      </c>
      <c r="AE794" s="14">
        <v>0.43841097201978502</v>
      </c>
      <c r="AF794" s="14"/>
      <c r="AG794" s="14">
        <v>0.39608105249596998</v>
      </c>
      <c r="AH794" s="14">
        <v>0.57912067220742303</v>
      </c>
      <c r="AI794" s="14"/>
      <c r="AJ794" s="14">
        <v>0.46125454786255798</v>
      </c>
      <c r="AK794" s="14">
        <v>0.53858521318978503</v>
      </c>
      <c r="AL794" s="14"/>
      <c r="AM794" s="14">
        <v>0.40731785792183001</v>
      </c>
      <c r="AN794" s="14">
        <v>0.52564154407195496</v>
      </c>
    </row>
    <row r="795" spans="2:40" x14ac:dyDescent="0.35">
      <c r="B795" t="s">
        <v>244</v>
      </c>
      <c r="C795" s="14">
        <v>8.8205815780809105E-2</v>
      </c>
      <c r="D795" s="14">
        <v>8.6870378769120696E-2</v>
      </c>
      <c r="E795" s="14">
        <v>9.0041291468491699E-2</v>
      </c>
      <c r="F795" s="14"/>
      <c r="G795" s="14" t="s">
        <v>76</v>
      </c>
      <c r="H795" s="14" t="s">
        <v>76</v>
      </c>
      <c r="I795" s="14">
        <v>8.8205815780809105E-2</v>
      </c>
      <c r="J795" s="14"/>
      <c r="K795" s="14" t="s">
        <v>76</v>
      </c>
      <c r="L795" s="14">
        <v>8.7827134036708998E-2</v>
      </c>
      <c r="M795" s="14">
        <v>8.8915612235869301E-2</v>
      </c>
      <c r="N795" s="14"/>
      <c r="O795" s="14">
        <v>9.2451461323012102E-2</v>
      </c>
      <c r="P795" s="14">
        <v>6.9212823941646295E-2</v>
      </c>
      <c r="Q795" s="14"/>
      <c r="R795" s="14">
        <v>9.5442511714352404E-2</v>
      </c>
      <c r="S795" s="14">
        <v>9.7765923094141394E-2</v>
      </c>
      <c r="T795" s="14">
        <v>7.9120838699588206E-2</v>
      </c>
      <c r="U795" s="14">
        <v>0.135764336563995</v>
      </c>
      <c r="V795" s="14">
        <v>0.116935711104405</v>
      </c>
      <c r="W795" s="14">
        <v>8.3073490793781804E-2</v>
      </c>
      <c r="X795" s="14">
        <v>4.56697368345143E-2</v>
      </c>
      <c r="Y795" s="14">
        <v>6.2075311062036301E-2</v>
      </c>
      <c r="Z795" s="14">
        <v>6.33385708582581E-2</v>
      </c>
      <c r="AA795" s="14"/>
      <c r="AB795" s="14">
        <v>0.102853269634457</v>
      </c>
      <c r="AC795" s="14">
        <v>4.3739037749938897E-2</v>
      </c>
      <c r="AD795" s="14">
        <v>0.12326311666395399</v>
      </c>
      <c r="AE795" s="14">
        <v>3.0798897965209501E-2</v>
      </c>
      <c r="AF795" s="14"/>
      <c r="AG795" s="14">
        <v>2.34752623507847E-2</v>
      </c>
      <c r="AH795" s="14">
        <v>0.13318546176590301</v>
      </c>
      <c r="AI795" s="14"/>
      <c r="AJ795" s="14">
        <v>6.2538920724422006E-2</v>
      </c>
      <c r="AK795" s="14">
        <v>0.10773166269724101</v>
      </c>
      <c r="AL795" s="14"/>
      <c r="AM795" s="14">
        <v>3.5292110952827201E-2</v>
      </c>
      <c r="AN795" s="14">
        <v>0.18604393750154299</v>
      </c>
    </row>
    <row r="796" spans="2:40" x14ac:dyDescent="0.35">
      <c r="B796" t="s">
        <v>245</v>
      </c>
      <c r="C796" s="14">
        <v>2.0911654535101101E-2</v>
      </c>
      <c r="D796" s="14">
        <v>1.7247896076723699E-2</v>
      </c>
      <c r="E796" s="14">
        <v>2.4338803042224199E-2</v>
      </c>
      <c r="F796" s="14"/>
      <c r="G796" s="14" t="s">
        <v>76</v>
      </c>
      <c r="H796" s="14" t="s">
        <v>76</v>
      </c>
      <c r="I796" s="14">
        <v>2.0911654535101101E-2</v>
      </c>
      <c r="J796" s="14"/>
      <c r="K796" s="14" t="s">
        <v>76</v>
      </c>
      <c r="L796" s="14">
        <v>2.4164117096789901E-2</v>
      </c>
      <c r="M796" s="14">
        <v>1.4815278270676101E-2</v>
      </c>
      <c r="N796" s="14"/>
      <c r="O796" s="14">
        <v>2.3277847160256201E-2</v>
      </c>
      <c r="P796" s="14">
        <v>4.4568023113214401E-3</v>
      </c>
      <c r="Q796" s="14"/>
      <c r="R796" s="14">
        <v>1.14561196411364E-2</v>
      </c>
      <c r="S796" s="14">
        <v>2.22550995824243E-2</v>
      </c>
      <c r="T796" s="14">
        <v>0</v>
      </c>
      <c r="U796" s="14">
        <v>8.1671748958668505E-3</v>
      </c>
      <c r="V796" s="14">
        <v>1.9032471519848399E-2</v>
      </c>
      <c r="W796" s="14">
        <v>3.7615453625009697E-2</v>
      </c>
      <c r="X796" s="14">
        <v>4.9813829727573998E-2</v>
      </c>
      <c r="Y796" s="14">
        <v>4.25915418150455E-2</v>
      </c>
      <c r="Z796" s="14">
        <v>1.44558387031059E-2</v>
      </c>
      <c r="AA796" s="14"/>
      <c r="AB796" s="14">
        <v>3.2245712267807002E-2</v>
      </c>
      <c r="AC796" s="14">
        <v>0</v>
      </c>
      <c r="AD796" s="14">
        <v>1.5143608047027E-2</v>
      </c>
      <c r="AE796" s="14">
        <v>1.2793834925672201E-2</v>
      </c>
      <c r="AF796" s="14"/>
      <c r="AG796" s="14">
        <v>6.0096606817952904E-3</v>
      </c>
      <c r="AH796" s="14">
        <v>0</v>
      </c>
      <c r="AI796" s="14"/>
      <c r="AJ796" s="14">
        <v>3.8698474915297601E-3</v>
      </c>
      <c r="AK796" s="14">
        <v>2.68400320291181E-2</v>
      </c>
      <c r="AL796" s="14"/>
      <c r="AM796" s="14">
        <v>4.7450706771916696E-3</v>
      </c>
      <c r="AN796" s="14">
        <v>5.5699685988488602E-2</v>
      </c>
    </row>
    <row r="797" spans="2:40" x14ac:dyDescent="0.35">
      <c r="B797" t="s">
        <v>70</v>
      </c>
      <c r="C797" s="14">
        <v>2.0688776812019399E-2</v>
      </c>
      <c r="D797" s="14">
        <v>1.9931740004768401E-2</v>
      </c>
      <c r="E797" s="14">
        <v>2.1516006893481199E-2</v>
      </c>
      <c r="F797" s="14"/>
      <c r="G797" s="14" t="s">
        <v>76</v>
      </c>
      <c r="H797" s="14" t="s">
        <v>76</v>
      </c>
      <c r="I797" s="14">
        <v>2.0688776812019399E-2</v>
      </c>
      <c r="J797" s="14"/>
      <c r="K797" s="14" t="s">
        <v>76</v>
      </c>
      <c r="L797" s="14">
        <v>3.1726394752514799E-2</v>
      </c>
      <c r="M797" s="14">
        <v>0</v>
      </c>
      <c r="N797" s="14"/>
      <c r="O797" s="14">
        <v>2.27061478373979E-2</v>
      </c>
      <c r="P797" s="14">
        <v>5.6996643476997103E-3</v>
      </c>
      <c r="Q797" s="14"/>
      <c r="R797" s="14">
        <v>1.5056642663303E-2</v>
      </c>
      <c r="S797" s="14">
        <v>2.16986444987355E-2</v>
      </c>
      <c r="T797" s="14">
        <v>2.49257026731231E-2</v>
      </c>
      <c r="U797" s="14">
        <v>2.4994518546449799E-2</v>
      </c>
      <c r="V797" s="14">
        <v>3.6508202577634603E-2</v>
      </c>
      <c r="W797" s="14">
        <v>1.9735774502071E-2</v>
      </c>
      <c r="X797" s="14">
        <v>1.2305154658244E-2</v>
      </c>
      <c r="Y797" s="14">
        <v>2.4901170064715102E-2</v>
      </c>
      <c r="Z797" s="14">
        <v>1.4725072980663501E-2</v>
      </c>
      <c r="AA797" s="14"/>
      <c r="AB797" s="14">
        <v>1.3517031409381101E-2</v>
      </c>
      <c r="AC797" s="14">
        <v>1.31716415437258E-2</v>
      </c>
      <c r="AD797" s="14">
        <v>0</v>
      </c>
      <c r="AE797" s="14">
        <v>0</v>
      </c>
      <c r="AF797" s="14"/>
      <c r="AG797" s="14">
        <v>0</v>
      </c>
      <c r="AH797" s="14">
        <v>0</v>
      </c>
      <c r="AI797" s="14"/>
      <c r="AJ797" s="14">
        <v>0</v>
      </c>
      <c r="AK797" s="14">
        <v>0</v>
      </c>
      <c r="AL797" s="14"/>
      <c r="AM797" s="14">
        <v>1.7410757004871401E-2</v>
      </c>
      <c r="AN797" s="14">
        <v>2.0431964806875098E-2</v>
      </c>
    </row>
    <row r="798" spans="2:40" x14ac:dyDescent="0.35"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  <c r="AB798" s="14"/>
      <c r="AC798" s="14"/>
      <c r="AD798" s="14"/>
      <c r="AE798" s="14"/>
      <c r="AF798" s="14"/>
      <c r="AG798" s="14"/>
      <c r="AH798" s="14"/>
      <c r="AI798" s="14"/>
      <c r="AJ798" s="14"/>
      <c r="AK798" s="14"/>
      <c r="AL798" s="14"/>
      <c r="AM798" s="14"/>
      <c r="AN798" s="14"/>
    </row>
    <row r="799" spans="2:40" x14ac:dyDescent="0.35">
      <c r="B799" s="6" t="s">
        <v>247</v>
      </c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  <c r="AB799" s="14"/>
      <c r="AC799" s="14"/>
      <c r="AD799" s="14"/>
      <c r="AE799" s="14"/>
      <c r="AF799" s="14"/>
      <c r="AG799" s="14"/>
      <c r="AH799" s="14"/>
      <c r="AI799" s="14"/>
      <c r="AJ799" s="14"/>
      <c r="AK799" s="14"/>
      <c r="AL799" s="14"/>
      <c r="AM799" s="14"/>
      <c r="AN799" s="14"/>
    </row>
    <row r="800" spans="2:40" x14ac:dyDescent="0.35">
      <c r="B800" s="24" t="s">
        <v>74</v>
      </c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  <c r="AC800" s="14"/>
      <c r="AD800" s="14"/>
      <c r="AE800" s="14"/>
      <c r="AF800" s="14"/>
      <c r="AG800" s="14"/>
      <c r="AH800" s="14"/>
      <c r="AI800" s="14"/>
      <c r="AJ800" s="14"/>
      <c r="AK800" s="14"/>
      <c r="AL800" s="14"/>
      <c r="AM800" s="14"/>
      <c r="AN800" s="14"/>
    </row>
    <row r="801" spans="2:40" x14ac:dyDescent="0.35">
      <c r="B801" t="s">
        <v>44</v>
      </c>
      <c r="C801" s="14">
        <v>0.80615468629743203</v>
      </c>
      <c r="D801" s="14">
        <v>0.801953930586634</v>
      </c>
      <c r="E801" s="14">
        <v>0.80838468965587795</v>
      </c>
      <c r="F801" s="14"/>
      <c r="G801" s="14" t="s">
        <v>76</v>
      </c>
      <c r="H801" s="14" t="s">
        <v>76</v>
      </c>
      <c r="I801" s="14">
        <v>0.80615468629743203</v>
      </c>
      <c r="J801" s="14"/>
      <c r="K801" s="14" t="s">
        <v>76</v>
      </c>
      <c r="L801" s="14">
        <v>0.78168968113158699</v>
      </c>
      <c r="M801" s="14">
        <v>0.85268065202149401</v>
      </c>
      <c r="N801" s="14"/>
      <c r="O801" s="14">
        <v>0.80727280868819595</v>
      </c>
      <c r="P801" s="14">
        <v>0.81361832517868204</v>
      </c>
      <c r="Q801" s="14"/>
      <c r="R801" s="14">
        <v>0.81897868504777604</v>
      </c>
      <c r="S801" s="14">
        <v>0.82371998921329903</v>
      </c>
      <c r="T801" s="14">
        <v>0.77288588997114305</v>
      </c>
      <c r="U801" s="14">
        <v>0.81314595104588105</v>
      </c>
      <c r="V801" s="14">
        <v>0.84418358545384597</v>
      </c>
      <c r="W801" s="14">
        <v>0.789680336513081</v>
      </c>
      <c r="X801" s="14">
        <v>0.78152184815222103</v>
      </c>
      <c r="Y801" s="14">
        <v>0.80494340348013604</v>
      </c>
      <c r="Z801" s="14">
        <v>0.79144664695230904</v>
      </c>
      <c r="AA801" s="14"/>
      <c r="AB801" s="14">
        <v>0.86324127900709302</v>
      </c>
      <c r="AC801" s="14">
        <v>0.82227732048438196</v>
      </c>
      <c r="AD801" s="14">
        <v>0.84815314388947305</v>
      </c>
      <c r="AE801" s="14">
        <v>0.91665845909333599</v>
      </c>
      <c r="AF801" s="14"/>
      <c r="AG801" s="14">
        <v>0.87589130628769096</v>
      </c>
      <c r="AH801" s="14">
        <v>0.80319815014043405</v>
      </c>
      <c r="AI801" s="14"/>
      <c r="AJ801" s="14">
        <v>0.850485052845808</v>
      </c>
      <c r="AK801" s="14">
        <v>0.86047431655679696</v>
      </c>
      <c r="AL801" s="14"/>
      <c r="AM801" s="14">
        <v>0.81815998887825503</v>
      </c>
      <c r="AN801" s="14">
        <v>0.767510387934069</v>
      </c>
    </row>
    <row r="802" spans="2:40" x14ac:dyDescent="0.35">
      <c r="B802" t="s">
        <v>45</v>
      </c>
      <c r="C802" s="14">
        <v>0.159522377216607</v>
      </c>
      <c r="D802" s="14">
        <v>0.169578738921594</v>
      </c>
      <c r="E802" s="14">
        <v>0.151649590143483</v>
      </c>
      <c r="F802" s="14"/>
      <c r="G802" s="14" t="s">
        <v>76</v>
      </c>
      <c r="H802" s="14" t="s">
        <v>76</v>
      </c>
      <c r="I802" s="14">
        <v>0.159522377216607</v>
      </c>
      <c r="J802" s="14"/>
      <c r="K802" s="14" t="s">
        <v>76</v>
      </c>
      <c r="L802" s="14">
        <v>0.17203008629594299</v>
      </c>
      <c r="M802" s="14">
        <v>0.135736024425473</v>
      </c>
      <c r="N802" s="14"/>
      <c r="O802" s="14">
        <v>0.15619464315631701</v>
      </c>
      <c r="P802" s="14">
        <v>0.165219301139856</v>
      </c>
      <c r="Q802" s="14"/>
      <c r="R802" s="14">
        <v>0.15329373875008301</v>
      </c>
      <c r="S802" s="14">
        <v>0.14655295886431</v>
      </c>
      <c r="T802" s="14">
        <v>0.21140431123804401</v>
      </c>
      <c r="U802" s="14">
        <v>0.14041168675308099</v>
      </c>
      <c r="V802" s="14">
        <v>0.13974011622802501</v>
      </c>
      <c r="W802" s="14">
        <v>0.15255250645181101</v>
      </c>
      <c r="X802" s="14">
        <v>0.18545341865592799</v>
      </c>
      <c r="Y802" s="14">
        <v>0.16726084181391199</v>
      </c>
      <c r="Z802" s="14">
        <v>0.15974625108426899</v>
      </c>
      <c r="AA802" s="14"/>
      <c r="AB802" s="14">
        <v>0.123519774079532</v>
      </c>
      <c r="AC802" s="14">
        <v>0.155165497767699</v>
      </c>
      <c r="AD802" s="14">
        <v>0.13877810284299799</v>
      </c>
      <c r="AE802" s="14">
        <v>8.3341540906663403E-2</v>
      </c>
      <c r="AF802" s="14"/>
      <c r="AG802" s="14">
        <v>0.108967449279467</v>
      </c>
      <c r="AH802" s="14">
        <v>0.196801849859566</v>
      </c>
      <c r="AI802" s="14"/>
      <c r="AJ802" s="14">
        <v>0.13966556668591701</v>
      </c>
      <c r="AK802" s="14">
        <v>0.124588196602991</v>
      </c>
      <c r="AL802" s="14"/>
      <c r="AM802" s="14">
        <v>0.15811913950786</v>
      </c>
      <c r="AN802" s="14">
        <v>0.181371735517388</v>
      </c>
    </row>
    <row r="803" spans="2:40" x14ac:dyDescent="0.35">
      <c r="B803" t="s">
        <v>70</v>
      </c>
      <c r="C803" s="14">
        <v>3.4322936485960701E-2</v>
      </c>
      <c r="D803" s="14">
        <v>2.84673304917725E-2</v>
      </c>
      <c r="E803" s="14">
        <v>3.9965720200638197E-2</v>
      </c>
      <c r="F803" s="14"/>
      <c r="G803" s="14" t="s">
        <v>76</v>
      </c>
      <c r="H803" s="14" t="s">
        <v>76</v>
      </c>
      <c r="I803" s="14">
        <v>3.4322936485960701E-2</v>
      </c>
      <c r="J803" s="14"/>
      <c r="K803" s="14" t="s">
        <v>76</v>
      </c>
      <c r="L803" s="14">
        <v>4.6280232572470603E-2</v>
      </c>
      <c r="M803" s="14">
        <v>1.1583323553032701E-2</v>
      </c>
      <c r="N803" s="14"/>
      <c r="O803" s="14">
        <v>3.6532548155487697E-2</v>
      </c>
      <c r="P803" s="14">
        <v>2.11623736814627E-2</v>
      </c>
      <c r="Q803" s="14"/>
      <c r="R803" s="14">
        <v>2.7727576202140999E-2</v>
      </c>
      <c r="S803" s="14">
        <v>2.9727051922391098E-2</v>
      </c>
      <c r="T803" s="14">
        <v>1.5709798790812701E-2</v>
      </c>
      <c r="U803" s="14">
        <v>4.6442362201038298E-2</v>
      </c>
      <c r="V803" s="14">
        <v>1.6076298318129099E-2</v>
      </c>
      <c r="W803" s="14">
        <v>5.7767157035107798E-2</v>
      </c>
      <c r="X803" s="14">
        <v>3.3024733191851501E-2</v>
      </c>
      <c r="Y803" s="14">
        <v>2.7795754705952101E-2</v>
      </c>
      <c r="Z803" s="14">
        <v>4.8807101963421598E-2</v>
      </c>
      <c r="AA803" s="14"/>
      <c r="AB803" s="14">
        <v>1.3238946913375399E-2</v>
      </c>
      <c r="AC803" s="14">
        <v>2.2557181747918899E-2</v>
      </c>
      <c r="AD803" s="14">
        <v>1.3068753267529E-2</v>
      </c>
      <c r="AE803" s="14">
        <v>0</v>
      </c>
      <c r="AF803" s="14"/>
      <c r="AG803" s="14">
        <v>1.51412444328415E-2</v>
      </c>
      <c r="AH803" s="14">
        <v>0</v>
      </c>
      <c r="AI803" s="14"/>
      <c r="AJ803" s="14">
        <v>9.8493804682750607E-3</v>
      </c>
      <c r="AK803" s="14">
        <v>1.4937486840211499E-2</v>
      </c>
      <c r="AL803" s="14"/>
      <c r="AM803" s="14">
        <v>2.3720871613884802E-2</v>
      </c>
      <c r="AN803" s="14">
        <v>5.1117876548542801E-2</v>
      </c>
    </row>
    <row r="804" spans="2:40" x14ac:dyDescent="0.35"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  <c r="AB804" s="14"/>
      <c r="AC804" s="14"/>
      <c r="AD804" s="14"/>
      <c r="AE804" s="14"/>
      <c r="AF804" s="14"/>
      <c r="AG804" s="14"/>
      <c r="AH804" s="14"/>
      <c r="AI804" s="14"/>
      <c r="AJ804" s="14"/>
      <c r="AK804" s="14"/>
      <c r="AL804" s="14"/>
      <c r="AM804" s="14"/>
      <c r="AN804" s="14"/>
    </row>
    <row r="805" spans="2:40" x14ac:dyDescent="0.35">
      <c r="B805" s="6" t="s">
        <v>248</v>
      </c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4"/>
      <c r="AC805" s="14"/>
      <c r="AD805" s="14"/>
      <c r="AE805" s="14"/>
      <c r="AF805" s="14"/>
      <c r="AG805" s="14"/>
      <c r="AH805" s="14"/>
      <c r="AI805" s="14"/>
      <c r="AJ805" s="14"/>
      <c r="AK805" s="14"/>
      <c r="AL805" s="14"/>
      <c r="AM805" s="14"/>
      <c r="AN805" s="14"/>
    </row>
    <row r="806" spans="2:40" x14ac:dyDescent="0.35">
      <c r="B806" s="26" t="s">
        <v>395</v>
      </c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  <c r="AB806" s="14"/>
      <c r="AC806" s="14"/>
      <c r="AD806" s="14"/>
      <c r="AE806" s="14"/>
      <c r="AF806" s="14"/>
      <c r="AG806" s="14"/>
      <c r="AH806" s="14"/>
      <c r="AI806" s="14"/>
      <c r="AJ806" s="14"/>
      <c r="AK806" s="14"/>
      <c r="AL806" s="14"/>
      <c r="AM806" s="14"/>
      <c r="AN806" s="14"/>
    </row>
    <row r="807" spans="2:40" x14ac:dyDescent="0.35">
      <c r="B807" t="s">
        <v>155</v>
      </c>
      <c r="C807" s="14">
        <v>0.16129383297354399</v>
      </c>
      <c r="D807" s="14">
        <v>0.16816418260420399</v>
      </c>
      <c r="E807" s="14">
        <v>0.155018902151006</v>
      </c>
      <c r="F807" s="14"/>
      <c r="G807" s="14" t="s">
        <v>76</v>
      </c>
      <c r="H807" s="14" t="s">
        <v>76</v>
      </c>
      <c r="I807" s="14">
        <v>0.16129383297354399</v>
      </c>
      <c r="J807" s="14"/>
      <c r="K807" s="14" t="s">
        <v>76</v>
      </c>
      <c r="L807" s="14">
        <v>0.15769259561593399</v>
      </c>
      <c r="M807" s="14">
        <v>0.16757224483205699</v>
      </c>
      <c r="N807" s="14"/>
      <c r="O807" s="14">
        <v>0.139380577737473</v>
      </c>
      <c r="P807" s="14">
        <v>0.28006473718970398</v>
      </c>
      <c r="Q807" s="14"/>
      <c r="R807" s="14">
        <v>0.18588189350318601</v>
      </c>
      <c r="S807" s="14">
        <v>0.15576231883598601</v>
      </c>
      <c r="T807" s="14">
        <v>6.8768994082323898E-2</v>
      </c>
      <c r="U807" s="14">
        <v>0.16520085801523801</v>
      </c>
      <c r="V807" s="14">
        <v>0.151734817238697</v>
      </c>
      <c r="W807" s="14">
        <v>0.177977752551367</v>
      </c>
      <c r="X807" s="14">
        <v>0.13405422569578801</v>
      </c>
      <c r="Y807" s="14">
        <v>0.158130668900483</v>
      </c>
      <c r="Z807" s="14">
        <v>0.20945700609776999</v>
      </c>
      <c r="AA807" s="14"/>
      <c r="AB807" s="14">
        <v>0.159721661699608</v>
      </c>
      <c r="AC807" s="14">
        <v>0.17357649739640299</v>
      </c>
      <c r="AD807" s="14">
        <v>0.119658682321656</v>
      </c>
      <c r="AE807" s="14">
        <v>0.21049930019805099</v>
      </c>
      <c r="AF807" s="14"/>
      <c r="AG807" s="14">
        <v>0.291250521033323</v>
      </c>
      <c r="AH807" s="14">
        <v>0.15050320913029799</v>
      </c>
      <c r="AI807" s="14"/>
      <c r="AJ807" s="14">
        <v>0.24479437007573601</v>
      </c>
      <c r="AK807" s="14">
        <v>8.7965809176996604E-2</v>
      </c>
      <c r="AL807" s="14"/>
      <c r="AM807" s="14">
        <v>0.240671732279335</v>
      </c>
      <c r="AN807" s="14">
        <v>7.7224202037169704E-2</v>
      </c>
    </row>
    <row r="808" spans="2:40" x14ac:dyDescent="0.35">
      <c r="B808" t="s">
        <v>156</v>
      </c>
      <c r="C808" s="14">
        <v>0.632808124071772</v>
      </c>
      <c r="D808" s="14">
        <v>0.66168068174163597</v>
      </c>
      <c r="E808" s="14">
        <v>0.60968059874103897</v>
      </c>
      <c r="F808" s="14"/>
      <c r="G808" s="14" t="s">
        <v>76</v>
      </c>
      <c r="H808" s="14" t="s">
        <v>76</v>
      </c>
      <c r="I808" s="14">
        <v>0.632808124071772</v>
      </c>
      <c r="J808" s="14"/>
      <c r="K808" s="14" t="s">
        <v>76</v>
      </c>
      <c r="L808" s="14">
        <v>0.61792153198687805</v>
      </c>
      <c r="M808" s="14">
        <v>0.65876146926884604</v>
      </c>
      <c r="N808" s="14"/>
      <c r="O808" s="14">
        <v>0.64239535723519003</v>
      </c>
      <c r="P808" s="14">
        <v>0.61348747950267801</v>
      </c>
      <c r="Q808" s="14"/>
      <c r="R808" s="14">
        <v>0.64916930029679598</v>
      </c>
      <c r="S808" s="14">
        <v>0.65355479696930496</v>
      </c>
      <c r="T808" s="14">
        <v>0.74094177893137203</v>
      </c>
      <c r="U808" s="14">
        <v>0.58181111370683503</v>
      </c>
      <c r="V808" s="14">
        <v>0.56895224739988204</v>
      </c>
      <c r="W808" s="14">
        <v>0.51940264876675701</v>
      </c>
      <c r="X808" s="14">
        <v>0.70231908751660099</v>
      </c>
      <c r="Y808" s="14">
        <v>0.68628097816922295</v>
      </c>
      <c r="Z808" s="14">
        <v>0.61259346181246599</v>
      </c>
      <c r="AA808" s="14"/>
      <c r="AB808" s="14">
        <v>0.59388526345677195</v>
      </c>
      <c r="AC808" s="14">
        <v>0.66519372704900304</v>
      </c>
      <c r="AD808" s="14">
        <v>0.69424769802160502</v>
      </c>
      <c r="AE808" s="14">
        <v>0.67799636238722605</v>
      </c>
      <c r="AF808" s="14"/>
      <c r="AG808" s="14">
        <v>0.60328136634813201</v>
      </c>
      <c r="AH808" s="14">
        <v>0.58342239275066698</v>
      </c>
      <c r="AI808" s="14"/>
      <c r="AJ808" s="14">
        <v>0.59672655927698703</v>
      </c>
      <c r="AK808" s="14">
        <v>0.75255119981569296</v>
      </c>
      <c r="AL808" s="14"/>
      <c r="AM808" s="14">
        <v>0.63340472668843195</v>
      </c>
      <c r="AN808" s="14">
        <v>0.58646938507056101</v>
      </c>
    </row>
    <row r="809" spans="2:40" x14ac:dyDescent="0.35">
      <c r="B809" t="s">
        <v>157</v>
      </c>
      <c r="C809" s="14">
        <v>0.15813992389906301</v>
      </c>
      <c r="D809" s="14">
        <v>0.145194575432287</v>
      </c>
      <c r="E809" s="14">
        <v>0.166359722303552</v>
      </c>
      <c r="F809" s="14"/>
      <c r="G809" s="14" t="s">
        <v>76</v>
      </c>
      <c r="H809" s="14" t="s">
        <v>76</v>
      </c>
      <c r="I809" s="14">
        <v>0.15813992389906301</v>
      </c>
      <c r="J809" s="14"/>
      <c r="K809" s="14" t="s">
        <v>76</v>
      </c>
      <c r="L809" s="14">
        <v>0.16642373582673001</v>
      </c>
      <c r="M809" s="14">
        <v>0.14369789248715101</v>
      </c>
      <c r="N809" s="14"/>
      <c r="O809" s="14">
        <v>0.16988825978737701</v>
      </c>
      <c r="P809" s="14">
        <v>7.08800269511142E-2</v>
      </c>
      <c r="Q809" s="14"/>
      <c r="R809" s="14">
        <v>0.127749686886209</v>
      </c>
      <c r="S809" s="14">
        <v>0.137708344663167</v>
      </c>
      <c r="T809" s="14">
        <v>0.12214784969644001</v>
      </c>
      <c r="U809" s="14">
        <v>0.18167373911263399</v>
      </c>
      <c r="V809" s="14">
        <v>0.24007724126799301</v>
      </c>
      <c r="W809" s="14">
        <v>0.24109744426905</v>
      </c>
      <c r="X809" s="14">
        <v>0.117935533080595</v>
      </c>
      <c r="Y809" s="14">
        <v>0.15558835293029399</v>
      </c>
      <c r="Z809" s="14">
        <v>0.139307075658816</v>
      </c>
      <c r="AA809" s="14"/>
      <c r="AB809" s="14">
        <v>0.18820732522787201</v>
      </c>
      <c r="AC809" s="14">
        <v>0.11971203497279501</v>
      </c>
      <c r="AD809" s="14">
        <v>0.14233281585802299</v>
      </c>
      <c r="AE809" s="14">
        <v>9.4740617264934199E-2</v>
      </c>
      <c r="AF809" s="14"/>
      <c r="AG809" s="14">
        <v>9.4438131650654095E-2</v>
      </c>
      <c r="AH809" s="14">
        <v>0.237142283797693</v>
      </c>
      <c r="AI809" s="14"/>
      <c r="AJ809" s="14">
        <v>0.14154017249804901</v>
      </c>
      <c r="AK809" s="14">
        <v>0.12648100071014701</v>
      </c>
      <c r="AL809" s="14"/>
      <c r="AM809" s="14">
        <v>0.10871389152366499</v>
      </c>
      <c r="AN809" s="14">
        <v>0.24203570676724301</v>
      </c>
    </row>
    <row r="810" spans="2:40" x14ac:dyDescent="0.35">
      <c r="B810" t="s">
        <v>158</v>
      </c>
      <c r="C810" s="14">
        <v>4.4441780789462697E-2</v>
      </c>
      <c r="D810" s="14">
        <v>2.2010557161527E-2</v>
      </c>
      <c r="E810" s="14">
        <v>6.5257813490080002E-2</v>
      </c>
      <c r="F810" s="14"/>
      <c r="G810" s="14" t="s">
        <v>76</v>
      </c>
      <c r="H810" s="14" t="s">
        <v>76</v>
      </c>
      <c r="I810" s="14">
        <v>4.4441780789462697E-2</v>
      </c>
      <c r="J810" s="14"/>
      <c r="K810" s="14" t="s">
        <v>76</v>
      </c>
      <c r="L810" s="14">
        <v>5.2743578200920099E-2</v>
      </c>
      <c r="M810" s="14">
        <v>2.9968393411946501E-2</v>
      </c>
      <c r="N810" s="14"/>
      <c r="O810" s="14">
        <v>4.5162606337903297E-2</v>
      </c>
      <c r="P810" s="14">
        <v>3.08909028726734E-2</v>
      </c>
      <c r="Q810" s="14"/>
      <c r="R810" s="14">
        <v>3.0423006125705698E-2</v>
      </c>
      <c r="S810" s="14">
        <v>4.8270823150263702E-2</v>
      </c>
      <c r="T810" s="14">
        <v>6.8141377289864705E-2</v>
      </c>
      <c r="U810" s="14">
        <v>7.1314289165292893E-2</v>
      </c>
      <c r="V810" s="14">
        <v>3.9235694093428301E-2</v>
      </c>
      <c r="W810" s="14">
        <v>5.4021512903797302E-2</v>
      </c>
      <c r="X810" s="14">
        <v>4.5691153707016298E-2</v>
      </c>
      <c r="Y810" s="14">
        <v>0</v>
      </c>
      <c r="Z810" s="14">
        <v>3.3699044988384497E-2</v>
      </c>
      <c r="AA810" s="14"/>
      <c r="AB810" s="14">
        <v>5.8185749615747601E-2</v>
      </c>
      <c r="AC810" s="14">
        <v>3.3761818928119101E-2</v>
      </c>
      <c r="AD810" s="14">
        <v>4.37608037987154E-2</v>
      </c>
      <c r="AE810" s="14">
        <v>1.6763720149788601E-2</v>
      </c>
      <c r="AF810" s="14"/>
      <c r="AG810" s="14">
        <v>1.10299809678916E-2</v>
      </c>
      <c r="AH810" s="14">
        <v>2.8932114321342399E-2</v>
      </c>
      <c r="AI810" s="14"/>
      <c r="AJ810" s="14">
        <v>1.6938898149228401E-2</v>
      </c>
      <c r="AK810" s="14">
        <v>3.30019902971634E-2</v>
      </c>
      <c r="AL810" s="14"/>
      <c r="AM810" s="14">
        <v>1.56057069279313E-2</v>
      </c>
      <c r="AN810" s="14">
        <v>9.1703481994272307E-2</v>
      </c>
    </row>
    <row r="811" spans="2:40" x14ac:dyDescent="0.35">
      <c r="B811" t="s">
        <v>70</v>
      </c>
      <c r="C811" s="14">
        <v>3.31633826615868E-3</v>
      </c>
      <c r="D811" s="14">
        <v>2.9500030603460299E-3</v>
      </c>
      <c r="E811" s="14">
        <v>3.6829633143230099E-3</v>
      </c>
      <c r="F811" s="14"/>
      <c r="G811" s="14" t="s">
        <v>76</v>
      </c>
      <c r="H811" s="14" t="s">
        <v>76</v>
      </c>
      <c r="I811" s="14">
        <v>3.31633826615868E-3</v>
      </c>
      <c r="J811" s="14"/>
      <c r="K811" s="14" t="s">
        <v>76</v>
      </c>
      <c r="L811" s="14">
        <v>5.2185583695383798E-3</v>
      </c>
      <c r="M811" s="14">
        <v>0</v>
      </c>
      <c r="N811" s="14"/>
      <c r="O811" s="14">
        <v>3.1731989020570401E-3</v>
      </c>
      <c r="P811" s="14">
        <v>4.6768534838311599E-3</v>
      </c>
      <c r="Q811" s="14"/>
      <c r="R811" s="14">
        <v>6.7761131881033301E-3</v>
      </c>
      <c r="S811" s="14">
        <v>4.70371638127792E-3</v>
      </c>
      <c r="T811" s="14">
        <v>0</v>
      </c>
      <c r="U811" s="14">
        <v>0</v>
      </c>
      <c r="V811" s="14">
        <v>0</v>
      </c>
      <c r="W811" s="14">
        <v>7.5006415090293401E-3</v>
      </c>
      <c r="X811" s="14">
        <v>0</v>
      </c>
      <c r="Y811" s="14">
        <v>0</v>
      </c>
      <c r="Z811" s="14">
        <v>4.9434114425634902E-3</v>
      </c>
      <c r="AA811" s="14"/>
      <c r="AB811" s="14">
        <v>0</v>
      </c>
      <c r="AC811" s="14">
        <v>7.7559216536787004E-3</v>
      </c>
      <c r="AD811" s="14">
        <v>0</v>
      </c>
      <c r="AE811" s="14">
        <v>0</v>
      </c>
      <c r="AF811" s="14"/>
      <c r="AG811" s="14">
        <v>0</v>
      </c>
      <c r="AH811" s="14">
        <v>0</v>
      </c>
      <c r="AI811" s="14"/>
      <c r="AJ811" s="14">
        <v>0</v>
      </c>
      <c r="AK811" s="14">
        <v>0</v>
      </c>
      <c r="AL811" s="14"/>
      <c r="AM811" s="14">
        <v>1.6039425806366699E-3</v>
      </c>
      <c r="AN811" s="14">
        <v>2.5672241307535398E-3</v>
      </c>
    </row>
    <row r="812" spans="2:40" x14ac:dyDescent="0.35"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  <c r="AB812" s="14"/>
      <c r="AC812" s="14"/>
      <c r="AD812" s="14"/>
      <c r="AE812" s="14"/>
      <c r="AF812" s="14"/>
      <c r="AG812" s="14"/>
      <c r="AH812" s="14"/>
      <c r="AI812" s="14"/>
      <c r="AJ812" s="14"/>
      <c r="AK812" s="14"/>
      <c r="AL812" s="14"/>
      <c r="AM812" s="14"/>
      <c r="AN812" s="14"/>
    </row>
    <row r="813" spans="2:40" x14ac:dyDescent="0.35">
      <c r="B813" s="6" t="s">
        <v>250</v>
      </c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  <c r="AB813" s="14"/>
      <c r="AC813" s="14"/>
      <c r="AD813" s="14"/>
      <c r="AE813" s="14"/>
      <c r="AF813" s="14"/>
      <c r="AG813" s="14"/>
      <c r="AH813" s="14"/>
      <c r="AI813" s="14"/>
      <c r="AJ813" s="14"/>
      <c r="AK813" s="14"/>
      <c r="AL813" s="14"/>
      <c r="AM813" s="14"/>
      <c r="AN813" s="14"/>
    </row>
    <row r="814" spans="2:40" x14ac:dyDescent="0.35">
      <c r="B814" s="26" t="s">
        <v>395</v>
      </c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  <c r="AB814" s="14"/>
      <c r="AC814" s="14"/>
      <c r="AD814" s="14"/>
      <c r="AE814" s="14"/>
      <c r="AF814" s="14"/>
      <c r="AG814" s="14"/>
      <c r="AH814" s="14"/>
      <c r="AI814" s="14"/>
      <c r="AJ814" s="14"/>
      <c r="AK814" s="14"/>
      <c r="AL814" s="14"/>
      <c r="AM814" s="14"/>
      <c r="AN814" s="14"/>
    </row>
    <row r="815" spans="2:40" x14ac:dyDescent="0.35">
      <c r="B815" t="s">
        <v>160</v>
      </c>
      <c r="C815" s="14">
        <v>0.170421060361963</v>
      </c>
      <c r="D815" s="14">
        <v>0.17118054224076201</v>
      </c>
      <c r="E815" s="14">
        <v>0.166159948516241</v>
      </c>
      <c r="F815" s="14"/>
      <c r="G815" s="14" t="s">
        <v>76</v>
      </c>
      <c r="H815" s="14" t="s">
        <v>76</v>
      </c>
      <c r="I815" s="14">
        <v>0.170421060361963</v>
      </c>
      <c r="J815" s="14"/>
      <c r="K815" s="14" t="s">
        <v>76</v>
      </c>
      <c r="L815" s="14">
        <v>0.176047616623183</v>
      </c>
      <c r="M815" s="14">
        <v>0.160611699288223</v>
      </c>
      <c r="N815" s="14"/>
      <c r="O815" s="14">
        <v>0.13066353937866501</v>
      </c>
      <c r="P815" s="14">
        <v>0.38764195693333098</v>
      </c>
      <c r="Q815" s="14"/>
      <c r="R815" s="14">
        <v>0.27562029079073502</v>
      </c>
      <c r="S815" s="14">
        <v>0.14949218333987699</v>
      </c>
      <c r="T815" s="14">
        <v>0.116942119573427</v>
      </c>
      <c r="U815" s="14">
        <v>0.17452118513657799</v>
      </c>
      <c r="V815" s="14">
        <v>9.4760199327849501E-2</v>
      </c>
      <c r="W815" s="14">
        <v>0.126024232482943</v>
      </c>
      <c r="X815" s="14">
        <v>0.114589180136918</v>
      </c>
      <c r="Y815" s="14">
        <v>0.190822612050251</v>
      </c>
      <c r="Z815" s="14">
        <v>0.21328234523178299</v>
      </c>
      <c r="AA815" s="14"/>
      <c r="AB815" s="14">
        <v>0.118109739257718</v>
      </c>
      <c r="AC815" s="14">
        <v>0.27895165015843298</v>
      </c>
      <c r="AD815" s="14">
        <v>8.6317966550786898E-2</v>
      </c>
      <c r="AE815" s="14">
        <v>0.238841668638203</v>
      </c>
      <c r="AF815" s="14"/>
      <c r="AG815" s="14">
        <v>0.32747106470328002</v>
      </c>
      <c r="AH815" s="14">
        <v>4.1385792341647999E-2</v>
      </c>
      <c r="AI815" s="14"/>
      <c r="AJ815" s="14">
        <v>0.23304353767007199</v>
      </c>
      <c r="AK815" s="14">
        <v>8.4668583016452303E-2</v>
      </c>
      <c r="AL815" s="14"/>
      <c r="AM815" s="14">
        <v>0.29648327973615102</v>
      </c>
      <c r="AN815" s="14">
        <v>2.44017188220415E-2</v>
      </c>
    </row>
    <row r="816" spans="2:40" x14ac:dyDescent="0.35">
      <c r="B816" t="s">
        <v>161</v>
      </c>
      <c r="C816" s="14">
        <v>0.53902833859760702</v>
      </c>
      <c r="D816" s="14">
        <v>0.57315695049072901</v>
      </c>
      <c r="E816" s="14">
        <v>0.51197840699463304</v>
      </c>
      <c r="F816" s="14"/>
      <c r="G816" s="14" t="s">
        <v>76</v>
      </c>
      <c r="H816" s="14" t="s">
        <v>76</v>
      </c>
      <c r="I816" s="14">
        <v>0.53902833859760702</v>
      </c>
      <c r="J816" s="14"/>
      <c r="K816" s="14" t="s">
        <v>76</v>
      </c>
      <c r="L816" s="14">
        <v>0.55157978797711504</v>
      </c>
      <c r="M816" s="14">
        <v>0.51714609069208795</v>
      </c>
      <c r="N816" s="14"/>
      <c r="O816" s="14">
        <v>0.55884493650423295</v>
      </c>
      <c r="P816" s="14">
        <v>0.47980171113067599</v>
      </c>
      <c r="Q816" s="14"/>
      <c r="R816" s="14">
        <v>0.51463274138159798</v>
      </c>
      <c r="S816" s="14">
        <v>0.56010782215266597</v>
      </c>
      <c r="T816" s="14">
        <v>0.58062095070538</v>
      </c>
      <c r="U816" s="14">
        <v>0.53047553206457598</v>
      </c>
      <c r="V816" s="14">
        <v>0.59758624782416203</v>
      </c>
      <c r="W816" s="14">
        <v>0.480533512048677</v>
      </c>
      <c r="X816" s="14">
        <v>0.52176259780840395</v>
      </c>
      <c r="Y816" s="14">
        <v>0.54095613195396797</v>
      </c>
      <c r="Z816" s="14">
        <v>0.53481062731238305</v>
      </c>
      <c r="AA816" s="14"/>
      <c r="AB816" s="14">
        <v>0.55253876038769301</v>
      </c>
      <c r="AC816" s="14">
        <v>0.56948299971881999</v>
      </c>
      <c r="AD816" s="14">
        <v>0.52803183896122197</v>
      </c>
      <c r="AE816" s="14">
        <v>0.56598203997446395</v>
      </c>
      <c r="AF816" s="14"/>
      <c r="AG816" s="14">
        <v>0.52195211950032705</v>
      </c>
      <c r="AH816" s="14">
        <v>0.38152016601390398</v>
      </c>
      <c r="AI816" s="14"/>
      <c r="AJ816" s="14">
        <v>0.47560005819112799</v>
      </c>
      <c r="AK816" s="14">
        <v>0.58993882233772899</v>
      </c>
      <c r="AL816" s="14"/>
      <c r="AM816" s="14">
        <v>0.60634328398314297</v>
      </c>
      <c r="AN816" s="14">
        <v>0.36575261840020901</v>
      </c>
    </row>
    <row r="817" spans="2:40" x14ac:dyDescent="0.35">
      <c r="B817" t="s">
        <v>162</v>
      </c>
      <c r="C817" s="14">
        <v>0.242943085973157</v>
      </c>
      <c r="D817" s="14">
        <v>0.213498070840588</v>
      </c>
      <c r="E817" s="14">
        <v>0.26882390801178402</v>
      </c>
      <c r="F817" s="14"/>
      <c r="G817" s="14" t="s">
        <v>76</v>
      </c>
      <c r="H817" s="14" t="s">
        <v>76</v>
      </c>
      <c r="I817" s="14">
        <v>0.242943085973157</v>
      </c>
      <c r="J817" s="14"/>
      <c r="K817" s="14" t="s">
        <v>76</v>
      </c>
      <c r="L817" s="14">
        <v>0.230971100016409</v>
      </c>
      <c r="M817" s="14">
        <v>0.263815094990272</v>
      </c>
      <c r="N817" s="14"/>
      <c r="O817" s="14">
        <v>0.25934184120588799</v>
      </c>
      <c r="P817" s="14">
        <v>0.11892709765033301</v>
      </c>
      <c r="Q817" s="14"/>
      <c r="R817" s="14">
        <v>0.18407180394367501</v>
      </c>
      <c r="S817" s="14">
        <v>0.23388241641771901</v>
      </c>
      <c r="T817" s="14">
        <v>0.23432389523897801</v>
      </c>
      <c r="U817" s="14">
        <v>0.24517086030166199</v>
      </c>
      <c r="V817" s="14">
        <v>0.26608555196869699</v>
      </c>
      <c r="W817" s="14">
        <v>0.32545726648904399</v>
      </c>
      <c r="X817" s="14">
        <v>0.31813703819038802</v>
      </c>
      <c r="Y817" s="14">
        <v>0.23373141287552501</v>
      </c>
      <c r="Z817" s="14">
        <v>0.207989405706208</v>
      </c>
      <c r="AA817" s="14"/>
      <c r="AB817" s="14">
        <v>0.26735381545488801</v>
      </c>
      <c r="AC817" s="14">
        <v>0.118361251289323</v>
      </c>
      <c r="AD817" s="14">
        <v>0.32518027842427499</v>
      </c>
      <c r="AE817" s="14">
        <v>0.176705811570116</v>
      </c>
      <c r="AF817" s="14"/>
      <c r="AG817" s="14">
        <v>0.144229450205102</v>
      </c>
      <c r="AH817" s="14">
        <v>0.500192376200705</v>
      </c>
      <c r="AI817" s="14"/>
      <c r="AJ817" s="14">
        <v>0.26172133833970201</v>
      </c>
      <c r="AK817" s="14">
        <v>0.255585669954355</v>
      </c>
      <c r="AL817" s="14"/>
      <c r="AM817" s="14">
        <v>9.0043443441325505E-2</v>
      </c>
      <c r="AN817" s="14">
        <v>0.47872380235558598</v>
      </c>
    </row>
    <row r="818" spans="2:40" x14ac:dyDescent="0.35">
      <c r="B818" t="s">
        <v>163</v>
      </c>
      <c r="C818" s="14">
        <v>4.1763275211723898E-2</v>
      </c>
      <c r="D818" s="14">
        <v>4.2164436427921503E-2</v>
      </c>
      <c r="E818" s="14">
        <v>4.1829114528466001E-2</v>
      </c>
      <c r="F818" s="14"/>
      <c r="G818" s="14" t="s">
        <v>76</v>
      </c>
      <c r="H818" s="14" t="s">
        <v>76</v>
      </c>
      <c r="I818" s="14">
        <v>4.1763275211723898E-2</v>
      </c>
      <c r="J818" s="14"/>
      <c r="K818" s="14" t="s">
        <v>76</v>
      </c>
      <c r="L818" s="14">
        <v>3.4744408451007798E-2</v>
      </c>
      <c r="M818" s="14">
        <v>5.3999996073981503E-2</v>
      </c>
      <c r="N818" s="14"/>
      <c r="O818" s="14">
        <v>4.5381116034121399E-2</v>
      </c>
      <c r="P818" s="14">
        <v>6.41564749078939E-3</v>
      </c>
      <c r="Q818" s="14"/>
      <c r="R818" s="14">
        <v>2.56751638839922E-2</v>
      </c>
      <c r="S818" s="14">
        <v>5.6517578089738001E-2</v>
      </c>
      <c r="T818" s="14">
        <v>4.5876946240872303E-2</v>
      </c>
      <c r="U818" s="14">
        <v>4.9832422497183698E-2</v>
      </c>
      <c r="V818" s="14">
        <v>3.1763283633743103E-2</v>
      </c>
      <c r="W818" s="14">
        <v>4.4280031572459903E-2</v>
      </c>
      <c r="X818" s="14">
        <v>4.55111838642904E-2</v>
      </c>
      <c r="Y818" s="14">
        <v>3.4489843120255201E-2</v>
      </c>
      <c r="Z818" s="14">
        <v>3.8671453955294803E-2</v>
      </c>
      <c r="AA818" s="14"/>
      <c r="AB818" s="14">
        <v>4.7775950511355102E-2</v>
      </c>
      <c r="AC818" s="14">
        <v>1.7696353172154001E-2</v>
      </c>
      <c r="AD818" s="14">
        <v>5.22248069882192E-2</v>
      </c>
      <c r="AE818" s="14">
        <v>1.8470479817216799E-2</v>
      </c>
      <c r="AF818" s="14"/>
      <c r="AG818" s="14">
        <v>6.3473655912905103E-3</v>
      </c>
      <c r="AH818" s="14">
        <v>7.6901665443743397E-2</v>
      </c>
      <c r="AI818" s="14"/>
      <c r="AJ818" s="14">
        <v>2.96350657990977E-2</v>
      </c>
      <c r="AK818" s="14">
        <v>6.0517771041819601E-2</v>
      </c>
      <c r="AL818" s="14"/>
      <c r="AM818" s="14">
        <v>7.1299928393803204E-3</v>
      </c>
      <c r="AN818" s="14">
        <v>0.12509261570691799</v>
      </c>
    </row>
    <row r="819" spans="2:40" x14ac:dyDescent="0.35">
      <c r="B819" t="s">
        <v>70</v>
      </c>
      <c r="C819" s="14">
        <v>5.8442398555490103E-3</v>
      </c>
      <c r="D819" s="14">
        <v>0</v>
      </c>
      <c r="E819" s="14">
        <v>1.1208621948874901E-2</v>
      </c>
      <c r="F819" s="14"/>
      <c r="G819" s="14" t="s">
        <v>76</v>
      </c>
      <c r="H819" s="14" t="s">
        <v>76</v>
      </c>
      <c r="I819" s="14">
        <v>5.8442398555490103E-3</v>
      </c>
      <c r="J819" s="14"/>
      <c r="K819" s="14" t="s">
        <v>76</v>
      </c>
      <c r="L819" s="14">
        <v>6.65708693228501E-3</v>
      </c>
      <c r="M819" s="14">
        <v>4.4271189554358197E-3</v>
      </c>
      <c r="N819" s="14"/>
      <c r="O819" s="14">
        <v>5.7685668770926599E-3</v>
      </c>
      <c r="P819" s="14">
        <v>7.2135867948702904E-3</v>
      </c>
      <c r="Q819" s="14"/>
      <c r="R819" s="14">
        <v>0</v>
      </c>
      <c r="S819" s="14">
        <v>0</v>
      </c>
      <c r="T819" s="14">
        <v>2.2236088241341798E-2</v>
      </c>
      <c r="U819" s="14">
        <v>0</v>
      </c>
      <c r="V819" s="14">
        <v>9.8047172455484298E-3</v>
      </c>
      <c r="W819" s="14">
        <v>2.37049574068771E-2</v>
      </c>
      <c r="X819" s="14">
        <v>0</v>
      </c>
      <c r="Y819" s="14">
        <v>0</v>
      </c>
      <c r="Z819" s="14">
        <v>5.2461677943309096E-3</v>
      </c>
      <c r="AA819" s="14"/>
      <c r="AB819" s="14">
        <v>1.42217343883462E-2</v>
      </c>
      <c r="AC819" s="14">
        <v>1.55077456612696E-2</v>
      </c>
      <c r="AD819" s="14">
        <v>8.2451090754969494E-3</v>
      </c>
      <c r="AE819" s="14">
        <v>0</v>
      </c>
      <c r="AF819" s="14"/>
      <c r="AG819" s="14">
        <v>0</v>
      </c>
      <c r="AH819" s="14">
        <v>0</v>
      </c>
      <c r="AI819" s="14"/>
      <c r="AJ819" s="14">
        <v>0</v>
      </c>
      <c r="AK819" s="14">
        <v>9.2891536496436094E-3</v>
      </c>
      <c r="AL819" s="14"/>
      <c r="AM819" s="14">
        <v>0</v>
      </c>
      <c r="AN819" s="14">
        <v>6.0292447152455403E-3</v>
      </c>
    </row>
    <row r="820" spans="2:40" x14ac:dyDescent="0.35">
      <c r="B820" t="s">
        <v>164</v>
      </c>
      <c r="C820" s="14">
        <v>0.70944939895956904</v>
      </c>
      <c r="D820" s="14">
        <v>0.74433749273149097</v>
      </c>
      <c r="E820" s="14">
        <v>0.67813835551087498</v>
      </c>
      <c r="F820" s="14"/>
      <c r="G820" s="14" t="s">
        <v>76</v>
      </c>
      <c r="H820" s="14" t="s">
        <v>76</v>
      </c>
      <c r="I820" s="14">
        <v>0.70944939895956904</v>
      </c>
      <c r="J820" s="14"/>
      <c r="K820" s="14" t="s">
        <v>76</v>
      </c>
      <c r="L820" s="14">
        <v>0.72762740460029796</v>
      </c>
      <c r="M820" s="14">
        <v>0.677757789980311</v>
      </c>
      <c r="N820" s="14"/>
      <c r="O820" s="14">
        <v>0.68950847588289799</v>
      </c>
      <c r="P820" s="14">
        <v>0.86744366806400697</v>
      </c>
      <c r="Q820" s="14"/>
      <c r="R820" s="14">
        <v>0.790253032172333</v>
      </c>
      <c r="S820" s="14">
        <v>0.70960000549254298</v>
      </c>
      <c r="T820" s="14">
        <v>0.69756307027880704</v>
      </c>
      <c r="U820" s="14">
        <v>0.70499671720115398</v>
      </c>
      <c r="V820" s="14">
        <v>0.69234644715201099</v>
      </c>
      <c r="W820" s="14">
        <v>0.60655774453161904</v>
      </c>
      <c r="X820" s="14">
        <v>0.63635177794532205</v>
      </c>
      <c r="Y820" s="14">
        <v>0.73177874400421905</v>
      </c>
      <c r="Z820" s="14">
        <v>0.74809297254416596</v>
      </c>
      <c r="AA820" s="14"/>
      <c r="AB820" s="14">
        <v>0.67064849964541096</v>
      </c>
      <c r="AC820" s="14">
        <v>0.84843464987725303</v>
      </c>
      <c r="AD820" s="14">
        <v>0.61434980551200802</v>
      </c>
      <c r="AE820" s="14">
        <v>0.80482370861266705</v>
      </c>
      <c r="AF820" s="14"/>
      <c r="AG820" s="14">
        <v>0.84942318420360796</v>
      </c>
      <c r="AH820" s="14">
        <v>0.422905958355552</v>
      </c>
      <c r="AI820" s="14"/>
      <c r="AJ820" s="14">
        <v>0.70864359586119996</v>
      </c>
      <c r="AK820" s="14">
        <v>0.67460740535418096</v>
      </c>
      <c r="AL820" s="14"/>
      <c r="AM820" s="14">
        <v>0.90282656371929404</v>
      </c>
      <c r="AN820" s="14">
        <v>0.39015433722225101</v>
      </c>
    </row>
    <row r="821" spans="2:40" x14ac:dyDescent="0.35"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  <c r="AB821" s="14"/>
      <c r="AC821" s="14"/>
      <c r="AD821" s="14"/>
      <c r="AE821" s="14"/>
      <c r="AF821" s="14"/>
      <c r="AG821" s="14"/>
      <c r="AH821" s="14"/>
      <c r="AI821" s="14"/>
      <c r="AJ821" s="14"/>
      <c r="AK821" s="14"/>
      <c r="AL821" s="14"/>
      <c r="AM821" s="14"/>
      <c r="AN821" s="14"/>
    </row>
    <row r="822" spans="2:40" x14ac:dyDescent="0.35">
      <c r="B822" s="6" t="s">
        <v>251</v>
      </c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  <c r="AB822" s="14"/>
      <c r="AC822" s="14"/>
      <c r="AD822" s="14"/>
      <c r="AE822" s="14"/>
      <c r="AF822" s="14"/>
      <c r="AG822" s="14"/>
      <c r="AH822" s="14"/>
      <c r="AI822" s="14"/>
      <c r="AJ822" s="14"/>
      <c r="AK822" s="14"/>
      <c r="AL822" s="14"/>
      <c r="AM822" s="14"/>
      <c r="AN822" s="14"/>
    </row>
    <row r="823" spans="2:40" x14ac:dyDescent="0.35">
      <c r="B823" s="26" t="s">
        <v>395</v>
      </c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  <c r="AB823" s="14"/>
      <c r="AC823" s="14"/>
      <c r="AD823" s="14"/>
      <c r="AE823" s="14"/>
      <c r="AF823" s="14"/>
      <c r="AG823" s="14"/>
      <c r="AH823" s="14"/>
      <c r="AI823" s="14"/>
      <c r="AJ823" s="14"/>
      <c r="AK823" s="14"/>
      <c r="AL823" s="14"/>
      <c r="AM823" s="14"/>
      <c r="AN823" s="14"/>
    </row>
    <row r="824" spans="2:40" x14ac:dyDescent="0.35">
      <c r="B824" t="s">
        <v>166</v>
      </c>
      <c r="C824" s="14">
        <v>0.146244723838309</v>
      </c>
      <c r="D824" s="14">
        <v>0.15400782013262801</v>
      </c>
      <c r="E824" s="14">
        <v>0.13900461506502801</v>
      </c>
      <c r="F824" s="14"/>
      <c r="G824" s="14" t="s">
        <v>76</v>
      </c>
      <c r="H824" s="14" t="s">
        <v>76</v>
      </c>
      <c r="I824" s="14">
        <v>0.146244723838309</v>
      </c>
      <c r="J824" s="14"/>
      <c r="K824" s="14" t="s">
        <v>76</v>
      </c>
      <c r="L824" s="14">
        <v>0.16532592356052001</v>
      </c>
      <c r="M824" s="14">
        <v>0.11297848262334199</v>
      </c>
      <c r="N824" s="14"/>
      <c r="O824" s="14">
        <v>0.117619891020584</v>
      </c>
      <c r="P824" s="14">
        <v>0.31199254692773198</v>
      </c>
      <c r="Q824" s="14"/>
      <c r="R824" s="14">
        <v>0.212134999955193</v>
      </c>
      <c r="S824" s="14">
        <v>0.120937027498892</v>
      </c>
      <c r="T824" s="14">
        <v>0.13821787420484399</v>
      </c>
      <c r="U824" s="14">
        <v>0.102540687652297</v>
      </c>
      <c r="V824" s="14">
        <v>9.9398852549946307E-2</v>
      </c>
      <c r="W824" s="14">
        <v>0.14090992828277299</v>
      </c>
      <c r="X824" s="14">
        <v>9.9353469780299505E-2</v>
      </c>
      <c r="Y824" s="14">
        <v>0.18998407700730599</v>
      </c>
      <c r="Z824" s="14">
        <v>0.187837314472655</v>
      </c>
      <c r="AA824" s="14"/>
      <c r="AB824" s="14">
        <v>0.14836119006375401</v>
      </c>
      <c r="AC824" s="14">
        <v>0.19393238944916699</v>
      </c>
      <c r="AD824" s="14">
        <v>7.0179436095223605E-2</v>
      </c>
      <c r="AE824" s="14">
        <v>0.132268546818959</v>
      </c>
      <c r="AF824" s="14"/>
      <c r="AG824" s="14">
        <v>0.24263349687042701</v>
      </c>
      <c r="AH824" s="14">
        <v>9.5543136557335595E-2</v>
      </c>
      <c r="AI824" s="14"/>
      <c r="AJ824" s="14">
        <v>0.19408371008786299</v>
      </c>
      <c r="AK824" s="14">
        <v>2.5931476664110699E-2</v>
      </c>
      <c r="AL824" s="14"/>
      <c r="AM824" s="14">
        <v>0.253156663558537</v>
      </c>
      <c r="AN824" s="14">
        <v>2.3981106573496599E-2</v>
      </c>
    </row>
    <row r="825" spans="2:40" x14ac:dyDescent="0.35">
      <c r="B825" t="s">
        <v>167</v>
      </c>
      <c r="C825" s="14">
        <v>0.382074550149262</v>
      </c>
      <c r="D825" s="14">
        <v>0.447435734026841</v>
      </c>
      <c r="E825" s="14">
        <v>0.32305980956721603</v>
      </c>
      <c r="F825" s="14"/>
      <c r="G825" s="14" t="s">
        <v>76</v>
      </c>
      <c r="H825" s="14" t="s">
        <v>76</v>
      </c>
      <c r="I825" s="14">
        <v>0.382074550149262</v>
      </c>
      <c r="J825" s="14"/>
      <c r="K825" s="14" t="s">
        <v>76</v>
      </c>
      <c r="L825" s="14">
        <v>0.37946291638597701</v>
      </c>
      <c r="M825" s="14">
        <v>0.38662768307588202</v>
      </c>
      <c r="N825" s="14"/>
      <c r="O825" s="14">
        <v>0.375450662321752</v>
      </c>
      <c r="P825" s="14">
        <v>0.44006169197623102</v>
      </c>
      <c r="Q825" s="14"/>
      <c r="R825" s="14">
        <v>0.43137940384251999</v>
      </c>
      <c r="S825" s="14">
        <v>0.36804049847142001</v>
      </c>
      <c r="T825" s="14">
        <v>0.38652754587468802</v>
      </c>
      <c r="U825" s="14">
        <v>0.38289184273802601</v>
      </c>
      <c r="V825" s="14">
        <v>0.342486579591193</v>
      </c>
      <c r="W825" s="14">
        <v>0.35267963257803397</v>
      </c>
      <c r="X825" s="14">
        <v>0.36256519845037899</v>
      </c>
      <c r="Y825" s="14">
        <v>0.36711956728901801</v>
      </c>
      <c r="Z825" s="14">
        <v>0.40368415488889298</v>
      </c>
      <c r="AA825" s="14"/>
      <c r="AB825" s="14">
        <v>0.272188743517361</v>
      </c>
      <c r="AC825" s="14">
        <v>0.43194500614806303</v>
      </c>
      <c r="AD825" s="14">
        <v>0.32356908508558502</v>
      </c>
      <c r="AE825" s="14">
        <v>0.524241344967454</v>
      </c>
      <c r="AF825" s="14"/>
      <c r="AG825" s="14">
        <v>0.47702198736798201</v>
      </c>
      <c r="AH825" s="14">
        <v>0.228425689716793</v>
      </c>
      <c r="AI825" s="14"/>
      <c r="AJ825" s="14">
        <v>0.39496836250630102</v>
      </c>
      <c r="AK825" s="14">
        <v>0.40109663067252199</v>
      </c>
      <c r="AL825" s="14"/>
      <c r="AM825" s="14">
        <v>0.52751863649974096</v>
      </c>
      <c r="AN825" s="14">
        <v>0.181951586207062</v>
      </c>
    </row>
    <row r="826" spans="2:40" x14ac:dyDescent="0.35">
      <c r="B826" t="s">
        <v>168</v>
      </c>
      <c r="C826" s="14">
        <v>0.31866579623281699</v>
      </c>
      <c r="D826" s="14">
        <v>0.29072633458158598</v>
      </c>
      <c r="E826" s="14">
        <v>0.34730409387086503</v>
      </c>
      <c r="F826" s="14"/>
      <c r="G826" s="14" t="s">
        <v>76</v>
      </c>
      <c r="H826" s="14" t="s">
        <v>76</v>
      </c>
      <c r="I826" s="14">
        <v>0.31866579623281699</v>
      </c>
      <c r="J826" s="14"/>
      <c r="K826" s="14" t="s">
        <v>76</v>
      </c>
      <c r="L826" s="14">
        <v>0.31816516878708301</v>
      </c>
      <c r="M826" s="14">
        <v>0.31953859215818198</v>
      </c>
      <c r="N826" s="14"/>
      <c r="O826" s="14">
        <v>0.33503012892765699</v>
      </c>
      <c r="P826" s="14">
        <v>0.22916591635146899</v>
      </c>
      <c r="Q826" s="14"/>
      <c r="R826" s="14">
        <v>0.26418175033925601</v>
      </c>
      <c r="S826" s="14">
        <v>0.34161581870244301</v>
      </c>
      <c r="T826" s="14">
        <v>0.32783537565038001</v>
      </c>
      <c r="U826" s="14">
        <v>0.31058183599300698</v>
      </c>
      <c r="V826" s="14">
        <v>0.38965801561394697</v>
      </c>
      <c r="W826" s="14">
        <v>0.31002793054295302</v>
      </c>
      <c r="X826" s="14">
        <v>0.38710368386739002</v>
      </c>
      <c r="Y826" s="14">
        <v>0.247202651713684</v>
      </c>
      <c r="Z826" s="14">
        <v>0.29698039194265402</v>
      </c>
      <c r="AA826" s="14"/>
      <c r="AB826" s="14">
        <v>0.39792965708831401</v>
      </c>
      <c r="AC826" s="14">
        <v>0.291886410995843</v>
      </c>
      <c r="AD826" s="14">
        <v>0.364815665115855</v>
      </c>
      <c r="AE826" s="14">
        <v>0.26587829023014797</v>
      </c>
      <c r="AF826" s="14"/>
      <c r="AG826" s="14">
        <v>0.25356814151216001</v>
      </c>
      <c r="AH826" s="14">
        <v>0.40185116001709198</v>
      </c>
      <c r="AI826" s="14"/>
      <c r="AJ826" s="14">
        <v>0.30251158632095398</v>
      </c>
      <c r="AK826" s="14">
        <v>0.36571547678452099</v>
      </c>
      <c r="AL826" s="14"/>
      <c r="AM826" s="14">
        <v>0.19840445058876599</v>
      </c>
      <c r="AN826" s="14">
        <v>0.41143699641145698</v>
      </c>
    </row>
    <row r="827" spans="2:40" x14ac:dyDescent="0.35">
      <c r="B827" t="s">
        <v>169</v>
      </c>
      <c r="C827" s="14">
        <v>0.143413447184293</v>
      </c>
      <c r="D827" s="14">
        <v>0.107830111258945</v>
      </c>
      <c r="E827" s="14">
        <v>0.17221687305855801</v>
      </c>
      <c r="F827" s="14"/>
      <c r="G827" s="14" t="s">
        <v>76</v>
      </c>
      <c r="H827" s="14" t="s">
        <v>76</v>
      </c>
      <c r="I827" s="14">
        <v>0.143413447184293</v>
      </c>
      <c r="J827" s="14"/>
      <c r="K827" s="14" t="s">
        <v>76</v>
      </c>
      <c r="L827" s="14">
        <v>0.12936119448390501</v>
      </c>
      <c r="M827" s="14">
        <v>0.16791220170446</v>
      </c>
      <c r="N827" s="14"/>
      <c r="O827" s="14">
        <v>0.16038698570553001</v>
      </c>
      <c r="P827" s="14">
        <v>1.87798447445678E-2</v>
      </c>
      <c r="Q827" s="14"/>
      <c r="R827" s="14">
        <v>9.2303845863031406E-2</v>
      </c>
      <c r="S827" s="14">
        <v>0.1546494338046</v>
      </c>
      <c r="T827" s="14">
        <v>0.136985457816379</v>
      </c>
      <c r="U827" s="14">
        <v>0.15992369477804799</v>
      </c>
      <c r="V827" s="14">
        <v>0.16845655224491399</v>
      </c>
      <c r="W827" s="14">
        <v>0.19638250859623901</v>
      </c>
      <c r="X827" s="14">
        <v>0.15097764790193099</v>
      </c>
      <c r="Y827" s="14">
        <v>0.195693703989992</v>
      </c>
      <c r="Z827" s="14">
        <v>0.101005803107136</v>
      </c>
      <c r="AA827" s="14"/>
      <c r="AB827" s="14">
        <v>0.18152040933057101</v>
      </c>
      <c r="AC827" s="14">
        <v>6.6728447745657199E-2</v>
      </c>
      <c r="AD827" s="14">
        <v>0.22938319162075901</v>
      </c>
      <c r="AE827" s="14">
        <v>6.08480978336512E-2</v>
      </c>
      <c r="AF827" s="14"/>
      <c r="AG827" s="14">
        <v>2.6776374249430999E-2</v>
      </c>
      <c r="AH827" s="14">
        <v>0.27418001370877998</v>
      </c>
      <c r="AI827" s="14"/>
      <c r="AJ827" s="14">
        <v>0.108436341084882</v>
      </c>
      <c r="AK827" s="14">
        <v>0.19367762017197901</v>
      </c>
      <c r="AL827" s="14"/>
      <c r="AM827" s="14">
        <v>1.60884503821568E-2</v>
      </c>
      <c r="AN827" s="14">
        <v>0.37047609357640798</v>
      </c>
    </row>
    <row r="828" spans="2:40" x14ac:dyDescent="0.35">
      <c r="B828" t="s">
        <v>70</v>
      </c>
      <c r="C828" s="14">
        <v>9.6014825953194792E-3</v>
      </c>
      <c r="D828" s="14">
        <v>0</v>
      </c>
      <c r="E828" s="14">
        <v>1.84146084383335E-2</v>
      </c>
      <c r="F828" s="14"/>
      <c r="G828" s="14" t="s">
        <v>76</v>
      </c>
      <c r="H828" s="14" t="s">
        <v>76</v>
      </c>
      <c r="I828" s="14">
        <v>9.6014825953194792E-3</v>
      </c>
      <c r="J828" s="14"/>
      <c r="K828" s="14" t="s">
        <v>76</v>
      </c>
      <c r="L828" s="14">
        <v>7.6847967825146198E-3</v>
      </c>
      <c r="M828" s="14">
        <v>1.29430404381342E-2</v>
      </c>
      <c r="N828" s="14"/>
      <c r="O828" s="14">
        <v>1.1512332024477601E-2</v>
      </c>
      <c r="P828" s="14">
        <v>0</v>
      </c>
      <c r="Q828" s="14"/>
      <c r="R828" s="14">
        <v>0</v>
      </c>
      <c r="S828" s="14">
        <v>1.47572215226456E-2</v>
      </c>
      <c r="T828" s="14">
        <v>1.04337464537096E-2</v>
      </c>
      <c r="U828" s="14">
        <v>4.4061938838622597E-2</v>
      </c>
      <c r="V828" s="14">
        <v>0</v>
      </c>
      <c r="W828" s="14">
        <v>0</v>
      </c>
      <c r="X828" s="14">
        <v>0</v>
      </c>
      <c r="Y828" s="14">
        <v>0</v>
      </c>
      <c r="Z828" s="14">
        <v>1.04923355886618E-2</v>
      </c>
      <c r="AA828" s="14"/>
      <c r="AB828" s="14">
        <v>0</v>
      </c>
      <c r="AC828" s="14">
        <v>1.55077456612696E-2</v>
      </c>
      <c r="AD828" s="14">
        <v>1.20526220825771E-2</v>
      </c>
      <c r="AE828" s="14">
        <v>1.6763720149788601E-2</v>
      </c>
      <c r="AF828" s="14"/>
      <c r="AG828" s="14">
        <v>0</v>
      </c>
      <c r="AH828" s="14">
        <v>0</v>
      </c>
      <c r="AI828" s="14"/>
      <c r="AJ828" s="14">
        <v>0</v>
      </c>
      <c r="AK828" s="14">
        <v>1.3578795706866599E-2</v>
      </c>
      <c r="AL828" s="14"/>
      <c r="AM828" s="14">
        <v>4.8317989707989699E-3</v>
      </c>
      <c r="AN828" s="14">
        <v>1.2154217231575601E-2</v>
      </c>
    </row>
    <row r="829" spans="2:40" x14ac:dyDescent="0.35"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4"/>
      <c r="AB829" s="14"/>
      <c r="AC829" s="14"/>
      <c r="AD829" s="14"/>
      <c r="AE829" s="14"/>
      <c r="AF829" s="14"/>
      <c r="AG829" s="14"/>
      <c r="AH829" s="14"/>
      <c r="AI829" s="14"/>
      <c r="AJ829" s="14"/>
      <c r="AK829" s="14"/>
      <c r="AL829" s="14"/>
      <c r="AM829" s="14"/>
      <c r="AN829" s="14"/>
    </row>
    <row r="830" spans="2:40" x14ac:dyDescent="0.35">
      <c r="B830" s="6" t="s">
        <v>252</v>
      </c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4"/>
      <c r="AC830" s="14"/>
      <c r="AD830" s="14"/>
      <c r="AE830" s="14"/>
      <c r="AF830" s="14"/>
      <c r="AG830" s="14"/>
      <c r="AH830" s="14"/>
      <c r="AI830" s="14"/>
      <c r="AJ830" s="14"/>
      <c r="AK830" s="14"/>
      <c r="AL830" s="14"/>
      <c r="AM830" s="14"/>
      <c r="AN830" s="14"/>
    </row>
    <row r="831" spans="2:40" x14ac:dyDescent="0.35">
      <c r="B831" s="26" t="s">
        <v>395</v>
      </c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  <c r="AB831" s="14"/>
      <c r="AC831" s="14"/>
      <c r="AD831" s="14"/>
      <c r="AE831" s="14"/>
      <c r="AF831" s="14"/>
      <c r="AG831" s="14"/>
      <c r="AH831" s="14"/>
      <c r="AI831" s="14"/>
      <c r="AJ831" s="14"/>
      <c r="AK831" s="14"/>
      <c r="AL831" s="14"/>
      <c r="AM831" s="14"/>
      <c r="AN831" s="14"/>
    </row>
    <row r="832" spans="2:40" x14ac:dyDescent="0.35">
      <c r="B832" t="s">
        <v>242</v>
      </c>
      <c r="C832" s="14">
        <v>0.24984372173286601</v>
      </c>
      <c r="D832" s="14">
        <v>0.24883911820751101</v>
      </c>
      <c r="E832" s="14">
        <v>0.248001306804226</v>
      </c>
      <c r="F832" s="14"/>
      <c r="G832" s="14" t="s">
        <v>76</v>
      </c>
      <c r="H832" s="14" t="s">
        <v>76</v>
      </c>
      <c r="I832" s="14">
        <v>0.24984372173286601</v>
      </c>
      <c r="J832" s="14"/>
      <c r="K832" s="14" t="s">
        <v>76</v>
      </c>
      <c r="L832" s="14">
        <v>0.260441984997209</v>
      </c>
      <c r="M832" s="14">
        <v>0.231366666445774</v>
      </c>
      <c r="N832" s="14"/>
      <c r="O832" s="14">
        <v>0.225249545223076</v>
      </c>
      <c r="P832" s="14">
        <v>0.407239594676293</v>
      </c>
      <c r="Q832" s="14"/>
      <c r="R832" s="14">
        <v>0.33985191215393101</v>
      </c>
      <c r="S832" s="14">
        <v>0.27361243476590003</v>
      </c>
      <c r="T832" s="14">
        <v>0.22570908035194301</v>
      </c>
      <c r="U832" s="14">
        <v>0.24397470469914301</v>
      </c>
      <c r="V832" s="14">
        <v>0.194098797418713</v>
      </c>
      <c r="W832" s="14">
        <v>0.21331394525123801</v>
      </c>
      <c r="X832" s="14">
        <v>0.21926988713581799</v>
      </c>
      <c r="Y832" s="14">
        <v>0.20815067541430499</v>
      </c>
      <c r="Z832" s="14">
        <v>0.232096895621796</v>
      </c>
      <c r="AA832" s="14"/>
      <c r="AB832" s="14">
        <v>0.18774985069855399</v>
      </c>
      <c r="AC832" s="14">
        <v>0.39454638551460902</v>
      </c>
      <c r="AD832" s="14">
        <v>0.19711012837223199</v>
      </c>
      <c r="AE832" s="14">
        <v>0.27812331379164801</v>
      </c>
      <c r="AF832" s="14"/>
      <c r="AG832" s="14">
        <v>0.42031902895012602</v>
      </c>
      <c r="AH832" s="14">
        <v>0.105177072301243</v>
      </c>
      <c r="AI832" s="14"/>
      <c r="AJ832" s="14">
        <v>0.31630082701645901</v>
      </c>
      <c r="AK832" s="14">
        <v>0.14558622104715299</v>
      </c>
      <c r="AL832" s="14"/>
      <c r="AM832" s="14">
        <v>0.34794070643235098</v>
      </c>
      <c r="AN832" s="14">
        <v>0.14713875105635901</v>
      </c>
    </row>
    <row r="833" spans="2:40" x14ac:dyDescent="0.35">
      <c r="B833" t="s">
        <v>243</v>
      </c>
      <c r="C833" s="14">
        <v>0.55021816290612102</v>
      </c>
      <c r="D833" s="14">
        <v>0.58299326897477</v>
      </c>
      <c r="E833" s="14">
        <v>0.52269847081959198</v>
      </c>
      <c r="F833" s="14"/>
      <c r="G833" s="14" t="s">
        <v>76</v>
      </c>
      <c r="H833" s="14" t="s">
        <v>76</v>
      </c>
      <c r="I833" s="14">
        <v>0.55021816290612102</v>
      </c>
      <c r="J833" s="14"/>
      <c r="K833" s="14" t="s">
        <v>76</v>
      </c>
      <c r="L833" s="14">
        <v>0.54646095752191104</v>
      </c>
      <c r="M833" s="14">
        <v>0.55676849005666196</v>
      </c>
      <c r="N833" s="14"/>
      <c r="O833" s="14">
        <v>0.56685868416088003</v>
      </c>
      <c r="P833" s="14">
        <v>0.46999696716501699</v>
      </c>
      <c r="Q833" s="14"/>
      <c r="R833" s="14">
        <v>0.48890429550008802</v>
      </c>
      <c r="S833" s="14">
        <v>0.52117519620248798</v>
      </c>
      <c r="T833" s="14">
        <v>0.72123041108533903</v>
      </c>
      <c r="U833" s="14">
        <v>0.55746178194279405</v>
      </c>
      <c r="V833" s="14">
        <v>0.58882558114043404</v>
      </c>
      <c r="W833" s="14">
        <v>0.47916163358646102</v>
      </c>
      <c r="X833" s="14">
        <v>0.49721055038602102</v>
      </c>
      <c r="Y833" s="14">
        <v>0.582894210289024</v>
      </c>
      <c r="Z833" s="14">
        <v>0.59232871003755405</v>
      </c>
      <c r="AA833" s="14"/>
      <c r="AB833" s="14">
        <v>0.54020850685301902</v>
      </c>
      <c r="AC833" s="14">
        <v>0.50975105966357204</v>
      </c>
      <c r="AD833" s="14">
        <v>0.52389521065342604</v>
      </c>
      <c r="AE833" s="14">
        <v>0.61140650282982001</v>
      </c>
      <c r="AF833" s="14"/>
      <c r="AG833" s="14">
        <v>0.48234546217055901</v>
      </c>
      <c r="AH833" s="14">
        <v>0.51446505230804096</v>
      </c>
      <c r="AI833" s="14"/>
      <c r="AJ833" s="14">
        <v>0.492947103565677</v>
      </c>
      <c r="AK833" s="14">
        <v>0.62991848445755005</v>
      </c>
      <c r="AL833" s="14"/>
      <c r="AM833" s="14">
        <v>0.56803046217613296</v>
      </c>
      <c r="AN833" s="14">
        <v>0.48862703782583899</v>
      </c>
    </row>
    <row r="834" spans="2:40" x14ac:dyDescent="0.35">
      <c r="B834" t="s">
        <v>244</v>
      </c>
      <c r="C834" s="14">
        <v>0.14170075725329601</v>
      </c>
      <c r="D834" s="14">
        <v>0.118304990025736</v>
      </c>
      <c r="E834" s="14">
        <v>0.16286244907563799</v>
      </c>
      <c r="F834" s="14"/>
      <c r="G834" s="14" t="s">
        <v>76</v>
      </c>
      <c r="H834" s="14" t="s">
        <v>76</v>
      </c>
      <c r="I834" s="14">
        <v>0.14170075725329601</v>
      </c>
      <c r="J834" s="14"/>
      <c r="K834" s="14" t="s">
        <v>76</v>
      </c>
      <c r="L834" s="14">
        <v>0.13279307338090099</v>
      </c>
      <c r="M834" s="14">
        <v>0.15723044955146101</v>
      </c>
      <c r="N834" s="14"/>
      <c r="O834" s="14">
        <v>0.14410875638496101</v>
      </c>
      <c r="P834" s="14">
        <v>9.3753818630134503E-2</v>
      </c>
      <c r="Q834" s="14"/>
      <c r="R834" s="14">
        <v>0.13744082178176201</v>
      </c>
      <c r="S834" s="14">
        <v>0.14808622492808801</v>
      </c>
      <c r="T834" s="14">
        <v>4.2626762109007697E-2</v>
      </c>
      <c r="U834" s="14">
        <v>0.15420782221048401</v>
      </c>
      <c r="V834" s="14">
        <v>0.14649549758795999</v>
      </c>
      <c r="W834" s="14">
        <v>0.15337295477577001</v>
      </c>
      <c r="X834" s="14">
        <v>0.23903804802826101</v>
      </c>
      <c r="Y834" s="14">
        <v>0.14272799875831399</v>
      </c>
      <c r="Z834" s="14">
        <v>0.115374242323988</v>
      </c>
      <c r="AA834" s="14"/>
      <c r="AB834" s="14">
        <v>0.200034940244883</v>
      </c>
      <c r="AC834" s="14">
        <v>7.1801421313044803E-2</v>
      </c>
      <c r="AD834" s="14">
        <v>0.23417524102137999</v>
      </c>
      <c r="AE834" s="14">
        <v>6.92311820597169E-2</v>
      </c>
      <c r="AF834" s="14"/>
      <c r="AG834" s="14">
        <v>8.3136538782768096E-2</v>
      </c>
      <c r="AH834" s="14">
        <v>0.25232156130231298</v>
      </c>
      <c r="AI834" s="14"/>
      <c r="AJ834" s="14">
        <v>0.138979061383456</v>
      </c>
      <c r="AK834" s="14">
        <v>0.18160977813134299</v>
      </c>
      <c r="AL834" s="14"/>
      <c r="AM834" s="14">
        <v>6.1780615170600101E-2</v>
      </c>
      <c r="AN834" s="14">
        <v>0.25115322910342103</v>
      </c>
    </row>
    <row r="835" spans="2:40" x14ac:dyDescent="0.35">
      <c r="B835" t="s">
        <v>245</v>
      </c>
      <c r="C835" s="14">
        <v>3.4597974089484403E-2</v>
      </c>
      <c r="D835" s="14">
        <v>2.5652270327802901E-2</v>
      </c>
      <c r="E835" s="14">
        <v>4.3073243127715502E-2</v>
      </c>
      <c r="F835" s="14"/>
      <c r="G835" s="14" t="s">
        <v>76</v>
      </c>
      <c r="H835" s="14" t="s">
        <v>76</v>
      </c>
      <c r="I835" s="14">
        <v>3.4597974089484403E-2</v>
      </c>
      <c r="J835" s="14"/>
      <c r="K835" s="14" t="s">
        <v>76</v>
      </c>
      <c r="L835" s="14">
        <v>3.4271307006400901E-2</v>
      </c>
      <c r="M835" s="14">
        <v>3.5167486810961601E-2</v>
      </c>
      <c r="N835" s="14"/>
      <c r="O835" s="14">
        <v>3.5439012669835998E-2</v>
      </c>
      <c r="P835" s="14">
        <v>2.9009619528555599E-2</v>
      </c>
      <c r="Q835" s="14"/>
      <c r="R835" s="14">
        <v>1.42766695772952E-2</v>
      </c>
      <c r="S835" s="14">
        <v>2.8777873675008898E-2</v>
      </c>
      <c r="T835" s="14">
        <v>0</v>
      </c>
      <c r="U835" s="14">
        <v>9.2439862969681194E-3</v>
      </c>
      <c r="V835" s="14">
        <v>5.0318592491987099E-2</v>
      </c>
      <c r="W835" s="14">
        <v>9.8777242668172796E-2</v>
      </c>
      <c r="X835" s="14">
        <v>4.4481514449899902E-2</v>
      </c>
      <c r="Y835" s="14">
        <v>5.1755500432823801E-2</v>
      </c>
      <c r="Z835" s="14">
        <v>3.8934290580743401E-2</v>
      </c>
      <c r="AA835" s="14"/>
      <c r="AB835" s="14">
        <v>5.94606500060001E-2</v>
      </c>
      <c r="AC835" s="14">
        <v>1.58773147179565E-2</v>
      </c>
      <c r="AD835" s="14">
        <v>2.8329201801968001E-2</v>
      </c>
      <c r="AE835" s="14">
        <v>2.9477104969939699E-2</v>
      </c>
      <c r="AF835" s="14"/>
      <c r="AG835" s="14">
        <v>5.7677407752431799E-3</v>
      </c>
      <c r="AH835" s="14">
        <v>8.5907027467642394E-2</v>
      </c>
      <c r="AI835" s="14"/>
      <c r="AJ835" s="14">
        <v>3.2219136186478703E-2</v>
      </c>
      <c r="AK835" s="14">
        <v>3.3596362714309998E-2</v>
      </c>
      <c r="AL835" s="14"/>
      <c r="AM835" s="14">
        <v>1.22708710171967E-2</v>
      </c>
      <c r="AN835" s="14">
        <v>8.0546723606474802E-2</v>
      </c>
    </row>
    <row r="836" spans="2:40" x14ac:dyDescent="0.35">
      <c r="B836" t="s">
        <v>70</v>
      </c>
      <c r="C836" s="14">
        <v>2.3639384018232599E-2</v>
      </c>
      <c r="D836" s="14">
        <v>2.4210352464180199E-2</v>
      </c>
      <c r="E836" s="14">
        <v>2.33645301728281E-2</v>
      </c>
      <c r="F836" s="14"/>
      <c r="G836" s="14" t="s">
        <v>76</v>
      </c>
      <c r="H836" s="14" t="s">
        <v>76</v>
      </c>
      <c r="I836" s="14">
        <v>2.3639384018232599E-2</v>
      </c>
      <c r="J836" s="14"/>
      <c r="K836" s="14" t="s">
        <v>76</v>
      </c>
      <c r="L836" s="14">
        <v>2.6032677093578701E-2</v>
      </c>
      <c r="M836" s="14">
        <v>1.9466907135141698E-2</v>
      </c>
      <c r="N836" s="14"/>
      <c r="O836" s="14">
        <v>2.8344001561247199E-2</v>
      </c>
      <c r="P836" s="14">
        <v>0</v>
      </c>
      <c r="Q836" s="14"/>
      <c r="R836" s="14">
        <v>1.9526300986923598E-2</v>
      </c>
      <c r="S836" s="14">
        <v>2.8348270428515801E-2</v>
      </c>
      <c r="T836" s="14">
        <v>1.04337464537096E-2</v>
      </c>
      <c r="U836" s="14">
        <v>3.5111704850609902E-2</v>
      </c>
      <c r="V836" s="14">
        <v>2.02615313609062E-2</v>
      </c>
      <c r="W836" s="14">
        <v>5.5374223718358297E-2</v>
      </c>
      <c r="X836" s="14">
        <v>0</v>
      </c>
      <c r="Y836" s="14">
        <v>1.4471615105534E-2</v>
      </c>
      <c r="Z836" s="14">
        <v>2.1265861435918E-2</v>
      </c>
      <c r="AA836" s="14"/>
      <c r="AB836" s="14">
        <v>1.25460521975436E-2</v>
      </c>
      <c r="AC836" s="14">
        <v>8.0238187908183104E-3</v>
      </c>
      <c r="AD836" s="14">
        <v>1.6490218150993899E-2</v>
      </c>
      <c r="AE836" s="14">
        <v>1.1761896348875299E-2</v>
      </c>
      <c r="AF836" s="14"/>
      <c r="AG836" s="14">
        <v>8.4312293213037806E-3</v>
      </c>
      <c r="AH836" s="14">
        <v>4.2129286620760098E-2</v>
      </c>
      <c r="AI836" s="14"/>
      <c r="AJ836" s="14">
        <v>1.9553871847930299E-2</v>
      </c>
      <c r="AK836" s="14">
        <v>9.2891536496436094E-3</v>
      </c>
      <c r="AL836" s="14"/>
      <c r="AM836" s="14">
        <v>9.9773452037185805E-3</v>
      </c>
      <c r="AN836" s="14">
        <v>3.25342584079064E-2</v>
      </c>
    </row>
    <row r="837" spans="2:40" x14ac:dyDescent="0.35"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  <c r="AC837" s="14"/>
      <c r="AD837" s="14"/>
      <c r="AE837" s="14"/>
      <c r="AF837" s="14"/>
      <c r="AG837" s="14"/>
      <c r="AH837" s="14"/>
      <c r="AI837" s="14"/>
      <c r="AJ837" s="14"/>
      <c r="AK837" s="14"/>
      <c r="AL837" s="14"/>
      <c r="AM837" s="14"/>
      <c r="AN837" s="14"/>
    </row>
    <row r="838" spans="2:40" x14ac:dyDescent="0.35">
      <c r="B838" s="6" t="s">
        <v>253</v>
      </c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  <c r="AB838" s="14"/>
      <c r="AC838" s="14"/>
      <c r="AD838" s="14"/>
      <c r="AE838" s="14"/>
      <c r="AF838" s="14"/>
      <c r="AG838" s="14"/>
      <c r="AH838" s="14"/>
      <c r="AI838" s="14"/>
      <c r="AJ838" s="14"/>
      <c r="AK838" s="14"/>
      <c r="AL838" s="14"/>
      <c r="AM838" s="14"/>
      <c r="AN838" s="14"/>
    </row>
    <row r="839" spans="2:40" x14ac:dyDescent="0.35">
      <c r="B839" s="24" t="s">
        <v>74</v>
      </c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  <c r="AB839" s="14"/>
      <c r="AC839" s="14"/>
      <c r="AD839" s="14"/>
      <c r="AE839" s="14"/>
      <c r="AF839" s="14"/>
      <c r="AG839" s="14"/>
      <c r="AH839" s="14"/>
      <c r="AI839" s="14"/>
      <c r="AJ839" s="14"/>
      <c r="AK839" s="14"/>
      <c r="AL839" s="14"/>
      <c r="AM839" s="14"/>
      <c r="AN839" s="14"/>
    </row>
    <row r="840" spans="2:40" x14ac:dyDescent="0.35">
      <c r="B840" t="s">
        <v>44</v>
      </c>
      <c r="C840" s="14">
        <v>0.73687692674272698</v>
      </c>
      <c r="D840" s="14">
        <v>0.76673938800719399</v>
      </c>
      <c r="E840" s="14">
        <v>0.71029828701055597</v>
      </c>
      <c r="F840" s="14"/>
      <c r="G840" s="14" t="s">
        <v>76</v>
      </c>
      <c r="H840" s="14" t="s">
        <v>76</v>
      </c>
      <c r="I840" s="14">
        <v>0.73687692674272698</v>
      </c>
      <c r="J840" s="14"/>
      <c r="K840" s="14" t="s">
        <v>76</v>
      </c>
      <c r="L840" s="14">
        <v>0.720029026812673</v>
      </c>
      <c r="M840" s="14">
        <v>0.76891717400016102</v>
      </c>
      <c r="N840" s="14"/>
      <c r="O840" s="14">
        <v>0.72949448086743096</v>
      </c>
      <c r="P840" s="14">
        <v>0.78551209849822701</v>
      </c>
      <c r="Q840" s="14"/>
      <c r="R840" s="14">
        <v>0.81646114544715798</v>
      </c>
      <c r="S840" s="14">
        <v>0.73245352906178496</v>
      </c>
      <c r="T840" s="14">
        <v>0.81307484495929805</v>
      </c>
      <c r="U840" s="14">
        <v>0.71051395071983403</v>
      </c>
      <c r="V840" s="14">
        <v>0.81228226527788305</v>
      </c>
      <c r="W840" s="14">
        <v>0.69607801555402105</v>
      </c>
      <c r="X840" s="14">
        <v>0.56760100969206895</v>
      </c>
      <c r="Y840" s="14">
        <v>0.70525824997028697</v>
      </c>
      <c r="Z840" s="14">
        <v>0.72898752755705898</v>
      </c>
      <c r="AA840" s="14"/>
      <c r="AB840" s="14">
        <v>0.76164701210260499</v>
      </c>
      <c r="AC840" s="14">
        <v>0.78116930653264505</v>
      </c>
      <c r="AD840" s="14">
        <v>0.761756540677198</v>
      </c>
      <c r="AE840" s="14">
        <v>0.80724272551613596</v>
      </c>
      <c r="AF840" s="14"/>
      <c r="AG840" s="14">
        <v>0.83015090113422596</v>
      </c>
      <c r="AH840" s="14">
        <v>0.70602930864785796</v>
      </c>
      <c r="AI840" s="14"/>
      <c r="AJ840" s="14">
        <v>0.78677041246854296</v>
      </c>
      <c r="AK840" s="14">
        <v>0.76150869754689499</v>
      </c>
      <c r="AL840" s="14"/>
      <c r="AM840" s="14">
        <v>0.777613673607642</v>
      </c>
      <c r="AN840" s="14">
        <v>0.68436794372062904</v>
      </c>
    </row>
    <row r="841" spans="2:40" x14ac:dyDescent="0.35">
      <c r="B841" t="s">
        <v>45</v>
      </c>
      <c r="C841" s="14">
        <v>0.195977854681713</v>
      </c>
      <c r="D841" s="14">
        <v>0.18102470263412801</v>
      </c>
      <c r="E841" s="14">
        <v>0.20835755425281</v>
      </c>
      <c r="F841" s="14"/>
      <c r="G841" s="14" t="s">
        <v>76</v>
      </c>
      <c r="H841" s="14" t="s">
        <v>76</v>
      </c>
      <c r="I841" s="14">
        <v>0.195977854681713</v>
      </c>
      <c r="J841" s="14"/>
      <c r="K841" s="14" t="s">
        <v>76</v>
      </c>
      <c r="L841" s="14">
        <v>0.203314921413245</v>
      </c>
      <c r="M841" s="14">
        <v>0.18202469534443499</v>
      </c>
      <c r="N841" s="14"/>
      <c r="O841" s="14">
        <v>0.19766508486753101</v>
      </c>
      <c r="P841" s="14">
        <v>0.18145580985867599</v>
      </c>
      <c r="Q841" s="14"/>
      <c r="R841" s="14">
        <v>0.16314005614445701</v>
      </c>
      <c r="S841" s="14">
        <v>0.21838432681089501</v>
      </c>
      <c r="T841" s="14">
        <v>0.126494237956667</v>
      </c>
      <c r="U841" s="14">
        <v>0.17764639926754</v>
      </c>
      <c r="V841" s="14">
        <v>0.15448875701374901</v>
      </c>
      <c r="W841" s="14">
        <v>0.234008625477302</v>
      </c>
      <c r="X841" s="14">
        <v>0.24041097624715499</v>
      </c>
      <c r="Y841" s="14">
        <v>0.245259925371729</v>
      </c>
      <c r="Z841" s="14">
        <v>0.21593041323030701</v>
      </c>
      <c r="AA841" s="14"/>
      <c r="AB841" s="14">
        <v>0.192209537717978</v>
      </c>
      <c r="AC841" s="14">
        <v>0.175681342859386</v>
      </c>
      <c r="AD841" s="14">
        <v>0.17899641452329201</v>
      </c>
      <c r="AE841" s="14">
        <v>0.16513598395777401</v>
      </c>
      <c r="AF841" s="14"/>
      <c r="AG841" s="14">
        <v>0.155136120252791</v>
      </c>
      <c r="AH841" s="14">
        <v>0.25598318287143701</v>
      </c>
      <c r="AI841" s="14"/>
      <c r="AJ841" s="14">
        <v>0.190382162212622</v>
      </c>
      <c r="AK841" s="14">
        <v>0.18382858281432701</v>
      </c>
      <c r="AL841" s="14"/>
      <c r="AM841" s="14">
        <v>0.16867480258054501</v>
      </c>
      <c r="AN841" s="14">
        <v>0.23478249230536699</v>
      </c>
    </row>
    <row r="842" spans="2:40" x14ac:dyDescent="0.35">
      <c r="B842" t="s">
        <v>70</v>
      </c>
      <c r="C842" s="14">
        <v>6.7145218575559898E-2</v>
      </c>
      <c r="D842" s="14">
        <v>5.2235909358678299E-2</v>
      </c>
      <c r="E842" s="14">
        <v>8.1344158736634198E-2</v>
      </c>
      <c r="F842" s="14"/>
      <c r="G842" s="14" t="s">
        <v>76</v>
      </c>
      <c r="H842" s="14" t="s">
        <v>76</v>
      </c>
      <c r="I842" s="14">
        <v>6.7145218575559898E-2</v>
      </c>
      <c r="J842" s="14"/>
      <c r="K842" s="14" t="s">
        <v>76</v>
      </c>
      <c r="L842" s="14">
        <v>7.6656051774082204E-2</v>
      </c>
      <c r="M842" s="14">
        <v>4.9058130655404E-2</v>
      </c>
      <c r="N842" s="14"/>
      <c r="O842" s="14">
        <v>7.2840434265037904E-2</v>
      </c>
      <c r="P842" s="14">
        <v>3.3032091643096999E-2</v>
      </c>
      <c r="Q842" s="14"/>
      <c r="R842" s="14">
        <v>2.03987984083847E-2</v>
      </c>
      <c r="S842" s="14">
        <v>4.9162144127320798E-2</v>
      </c>
      <c r="T842" s="14">
        <v>6.0430917084035599E-2</v>
      </c>
      <c r="U842" s="14">
        <v>0.111839650012626</v>
      </c>
      <c r="V842" s="14">
        <v>3.3228977708368003E-2</v>
      </c>
      <c r="W842" s="14">
        <v>6.9913358968676606E-2</v>
      </c>
      <c r="X842" s="14">
        <v>0.19198801406077601</v>
      </c>
      <c r="Y842" s="14">
        <v>4.9481824657983398E-2</v>
      </c>
      <c r="Z842" s="14">
        <v>5.50820592126346E-2</v>
      </c>
      <c r="AA842" s="14"/>
      <c r="AB842" s="14">
        <v>4.6143450179416103E-2</v>
      </c>
      <c r="AC842" s="14">
        <v>4.31493506079689E-2</v>
      </c>
      <c r="AD842" s="14">
        <v>5.92470447995102E-2</v>
      </c>
      <c r="AE842" s="14">
        <v>2.7621290526090001E-2</v>
      </c>
      <c r="AF842" s="14"/>
      <c r="AG842" s="14">
        <v>1.4712978612983599E-2</v>
      </c>
      <c r="AH842" s="14">
        <v>3.7987508480705097E-2</v>
      </c>
      <c r="AI842" s="14"/>
      <c r="AJ842" s="14">
        <v>2.2847425318835098E-2</v>
      </c>
      <c r="AK842" s="14">
        <v>5.4662719638778598E-2</v>
      </c>
      <c r="AL842" s="14"/>
      <c r="AM842" s="14">
        <v>5.37115238118126E-2</v>
      </c>
      <c r="AN842" s="14">
        <v>8.0849563974003502E-2</v>
      </c>
    </row>
    <row r="843" spans="2:40" x14ac:dyDescent="0.35"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4"/>
      <c r="AC843" s="14"/>
      <c r="AD843" s="14"/>
      <c r="AE843" s="14"/>
      <c r="AF843" s="14"/>
      <c r="AG843" s="14"/>
      <c r="AH843" s="14"/>
      <c r="AI843" s="14"/>
      <c r="AJ843" s="14"/>
      <c r="AK843" s="14"/>
      <c r="AL843" s="14"/>
      <c r="AM843" s="14"/>
      <c r="AN843" s="14"/>
    </row>
    <row r="844" spans="2:40" x14ac:dyDescent="0.35">
      <c r="B844" s="6" t="s">
        <v>254</v>
      </c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  <c r="AB844" s="14"/>
      <c r="AC844" s="14"/>
      <c r="AD844" s="14"/>
      <c r="AE844" s="14"/>
      <c r="AF844" s="14"/>
      <c r="AG844" s="14"/>
      <c r="AH844" s="14"/>
      <c r="AI844" s="14"/>
      <c r="AJ844" s="14"/>
      <c r="AK844" s="14"/>
      <c r="AL844" s="14"/>
      <c r="AM844" s="14"/>
      <c r="AN844" s="14"/>
    </row>
    <row r="845" spans="2:40" x14ac:dyDescent="0.35">
      <c r="B845" s="26" t="s">
        <v>395</v>
      </c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  <c r="AC845" s="14"/>
      <c r="AD845" s="14"/>
      <c r="AE845" s="14"/>
      <c r="AF845" s="14"/>
      <c r="AG845" s="14"/>
      <c r="AH845" s="14"/>
      <c r="AI845" s="14"/>
      <c r="AJ845" s="14"/>
      <c r="AK845" s="14"/>
      <c r="AL845" s="14"/>
      <c r="AM845" s="14"/>
      <c r="AN845" s="14"/>
    </row>
    <row r="846" spans="2:40" x14ac:dyDescent="0.35">
      <c r="B846" t="s">
        <v>155</v>
      </c>
      <c r="C846" s="14">
        <v>0.140954543758155</v>
      </c>
      <c r="D846" s="14">
        <v>0.15017298574314999</v>
      </c>
      <c r="E846" s="14">
        <v>0.13098576878479401</v>
      </c>
      <c r="F846" s="14"/>
      <c r="G846" s="14" t="s">
        <v>76</v>
      </c>
      <c r="H846" s="14" t="s">
        <v>76</v>
      </c>
      <c r="I846" s="14">
        <v>0.140954543758155</v>
      </c>
      <c r="J846" s="14"/>
      <c r="K846" s="14" t="s">
        <v>76</v>
      </c>
      <c r="L846" s="14">
        <v>0.14191419342773701</v>
      </c>
      <c r="M846" s="14">
        <v>0.139245578451588</v>
      </c>
      <c r="N846" s="14"/>
      <c r="O846" s="14">
        <v>0.122042067023831</v>
      </c>
      <c r="P846" s="14">
        <v>0.24725500377468901</v>
      </c>
      <c r="Q846" s="14"/>
      <c r="R846" s="14">
        <v>0.22244831317956101</v>
      </c>
      <c r="S846" s="14">
        <v>9.2257639843999595E-2</v>
      </c>
      <c r="T846" s="14">
        <v>9.4790149996289097E-2</v>
      </c>
      <c r="U846" s="14">
        <v>0.16769143449971299</v>
      </c>
      <c r="V846" s="14">
        <v>0.10600799896334</v>
      </c>
      <c r="W846" s="14">
        <v>0.16193057256655999</v>
      </c>
      <c r="X846" s="14">
        <v>0.10448271897295699</v>
      </c>
      <c r="Y846" s="14">
        <v>0.16842872897418401</v>
      </c>
      <c r="Z846" s="14">
        <v>0.127400950005366</v>
      </c>
      <c r="AA846" s="14"/>
      <c r="AB846" s="14">
        <v>0.11328888600897701</v>
      </c>
      <c r="AC846" s="14">
        <v>0.14710210293020101</v>
      </c>
      <c r="AD846" s="14">
        <v>9.8294672995519999E-2</v>
      </c>
      <c r="AE846" s="14">
        <v>0.191844944642073</v>
      </c>
      <c r="AF846" s="14"/>
      <c r="AG846" s="14">
        <v>0.24013970335031601</v>
      </c>
      <c r="AH846" s="14">
        <v>8.8663360559252197E-2</v>
      </c>
      <c r="AI846" s="14"/>
      <c r="AJ846" s="14">
        <v>0.19263171705992799</v>
      </c>
      <c r="AK846" s="14">
        <v>7.82942119989566E-2</v>
      </c>
      <c r="AL846" s="14"/>
      <c r="AM846" s="14">
        <v>0.20118535730024201</v>
      </c>
      <c r="AN846" s="14">
        <v>7.0775914643738794E-2</v>
      </c>
    </row>
    <row r="847" spans="2:40" x14ac:dyDescent="0.35">
      <c r="B847" t="s">
        <v>156</v>
      </c>
      <c r="C847" s="14">
        <v>0.57629314854240699</v>
      </c>
      <c r="D847" s="14">
        <v>0.59345632133994097</v>
      </c>
      <c r="E847" s="14">
        <v>0.56186857992036898</v>
      </c>
      <c r="F847" s="14"/>
      <c r="G847" s="14" t="s">
        <v>76</v>
      </c>
      <c r="H847" s="14" t="s">
        <v>76</v>
      </c>
      <c r="I847" s="14">
        <v>0.57629314854240699</v>
      </c>
      <c r="J847" s="14"/>
      <c r="K847" s="14" t="s">
        <v>76</v>
      </c>
      <c r="L847" s="14">
        <v>0.56949186988788703</v>
      </c>
      <c r="M847" s="14">
        <v>0.58840501564276604</v>
      </c>
      <c r="N847" s="14"/>
      <c r="O847" s="14">
        <v>0.58393660582206297</v>
      </c>
      <c r="P847" s="14">
        <v>0.55891507497625603</v>
      </c>
      <c r="Q847" s="14"/>
      <c r="R847" s="14">
        <v>0.55005396306670495</v>
      </c>
      <c r="S847" s="14">
        <v>0.61889946918893302</v>
      </c>
      <c r="T847" s="14">
        <v>0.61594333571694404</v>
      </c>
      <c r="U847" s="14">
        <v>0.52649843311358102</v>
      </c>
      <c r="V847" s="14">
        <v>0.55149359739724801</v>
      </c>
      <c r="W847" s="14">
        <v>0.547335917052586</v>
      </c>
      <c r="X847" s="14">
        <v>0.70746171778586397</v>
      </c>
      <c r="Y847" s="14">
        <v>0.46301683123666298</v>
      </c>
      <c r="Z847" s="14">
        <v>0.57736702268671003</v>
      </c>
      <c r="AA847" s="14"/>
      <c r="AB847" s="14">
        <v>0.56540037927319398</v>
      </c>
      <c r="AC847" s="14">
        <v>0.67499806590815103</v>
      </c>
      <c r="AD847" s="14">
        <v>0.568202415868998</v>
      </c>
      <c r="AE847" s="14">
        <v>0.59045271413969203</v>
      </c>
      <c r="AF847" s="14"/>
      <c r="AG847" s="14">
        <v>0.58147011573192098</v>
      </c>
      <c r="AH847" s="14">
        <v>0.73392199401997904</v>
      </c>
      <c r="AI847" s="14"/>
      <c r="AJ847" s="14">
        <v>0.62928406218851696</v>
      </c>
      <c r="AK847" s="14">
        <v>0.55649120878958003</v>
      </c>
      <c r="AL847" s="14"/>
      <c r="AM847" s="14">
        <v>0.61872650947888597</v>
      </c>
      <c r="AN847" s="14">
        <v>0.48323397850808902</v>
      </c>
    </row>
    <row r="848" spans="2:40" x14ac:dyDescent="0.35">
      <c r="B848" t="s">
        <v>157</v>
      </c>
      <c r="C848" s="14">
        <v>0.20437353529646801</v>
      </c>
      <c r="D848" s="14">
        <v>0.20953557949475399</v>
      </c>
      <c r="E848" s="14">
        <v>0.19908421811681401</v>
      </c>
      <c r="F848" s="14"/>
      <c r="G848" s="14" t="s">
        <v>76</v>
      </c>
      <c r="H848" s="14" t="s">
        <v>76</v>
      </c>
      <c r="I848" s="14">
        <v>0.20437353529646801</v>
      </c>
      <c r="J848" s="14"/>
      <c r="K848" s="14" t="s">
        <v>76</v>
      </c>
      <c r="L848" s="14">
        <v>0.20459484358833799</v>
      </c>
      <c r="M848" s="14">
        <v>0.203979424607068</v>
      </c>
      <c r="N848" s="14"/>
      <c r="O848" s="14">
        <v>0.21023936891835299</v>
      </c>
      <c r="P848" s="14">
        <v>0.168026214258443</v>
      </c>
      <c r="Q848" s="14"/>
      <c r="R848" s="14">
        <v>0.159190570450574</v>
      </c>
      <c r="S848" s="14">
        <v>0.21731733615141099</v>
      </c>
      <c r="T848" s="14">
        <v>0.20517178602529099</v>
      </c>
      <c r="U848" s="14">
        <v>0.161218808372383</v>
      </c>
      <c r="V848" s="14">
        <v>0.24607417307849699</v>
      </c>
      <c r="W848" s="14">
        <v>0.174093367405144</v>
      </c>
      <c r="X848" s="14">
        <v>0.13027545347547301</v>
      </c>
      <c r="Y848" s="14">
        <v>0.35113346679997298</v>
      </c>
      <c r="Z848" s="14">
        <v>0.253581773176906</v>
      </c>
      <c r="AA848" s="14"/>
      <c r="AB848" s="14">
        <v>0.26222237151661698</v>
      </c>
      <c r="AC848" s="14">
        <v>0.124320623009005</v>
      </c>
      <c r="AD848" s="14">
        <v>0.23719266037926101</v>
      </c>
      <c r="AE848" s="14">
        <v>0.19886400536079499</v>
      </c>
      <c r="AF848" s="14"/>
      <c r="AG848" s="14">
        <v>0.15639699752677499</v>
      </c>
      <c r="AH848" s="14">
        <v>0.13386096099299799</v>
      </c>
      <c r="AI848" s="14"/>
      <c r="AJ848" s="14">
        <v>0.14932895181772901</v>
      </c>
      <c r="AK848" s="14">
        <v>0.28590364406677699</v>
      </c>
      <c r="AL848" s="14"/>
      <c r="AM848" s="14">
        <v>0.14313677457283799</v>
      </c>
      <c r="AN848" s="14">
        <v>0.293594881851024</v>
      </c>
    </row>
    <row r="849" spans="2:40" x14ac:dyDescent="0.35">
      <c r="B849" t="s">
        <v>158</v>
      </c>
      <c r="C849" s="14">
        <v>6.7311078648674597E-2</v>
      </c>
      <c r="D849" s="14">
        <v>3.98404876663217E-2</v>
      </c>
      <c r="E849" s="14">
        <v>9.28872965371033E-2</v>
      </c>
      <c r="F849" s="14"/>
      <c r="G849" s="14" t="s">
        <v>76</v>
      </c>
      <c r="H849" s="14" t="s">
        <v>76</v>
      </c>
      <c r="I849" s="14">
        <v>6.7311078648674597E-2</v>
      </c>
      <c r="J849" s="14"/>
      <c r="K849" s="14" t="s">
        <v>76</v>
      </c>
      <c r="L849" s="14">
        <v>7.2230091865749899E-2</v>
      </c>
      <c r="M849" s="14">
        <v>5.8551191372105703E-2</v>
      </c>
      <c r="N849" s="14"/>
      <c r="O849" s="14">
        <v>7.2331998606945697E-2</v>
      </c>
      <c r="P849" s="14">
        <v>1.50485573932916E-2</v>
      </c>
      <c r="Q849" s="14"/>
      <c r="R849" s="14">
        <v>6.1510146122262903E-2</v>
      </c>
      <c r="S849" s="14">
        <v>6.0529799185674797E-2</v>
      </c>
      <c r="T849" s="14">
        <v>6.34723130804319E-2</v>
      </c>
      <c r="U849" s="14">
        <v>0.14459132401432301</v>
      </c>
      <c r="V849" s="14">
        <v>9.6424230560915106E-2</v>
      </c>
      <c r="W849" s="14">
        <v>6.9846551831148698E-2</v>
      </c>
      <c r="X849" s="14">
        <v>5.77801097657063E-2</v>
      </c>
      <c r="Y849" s="14">
        <v>1.74209729891792E-2</v>
      </c>
      <c r="Z849" s="14">
        <v>3.0212351265882401E-2</v>
      </c>
      <c r="AA849" s="14"/>
      <c r="AB849" s="14">
        <v>5.9088363201212003E-2</v>
      </c>
      <c r="AC849" s="14">
        <v>4.5364658812791801E-2</v>
      </c>
      <c r="AD849" s="14">
        <v>7.7949754342915803E-2</v>
      </c>
      <c r="AE849" s="14">
        <v>1.8838335857440401E-2</v>
      </c>
      <c r="AF849" s="14"/>
      <c r="AG849" s="14">
        <v>2.19931833909889E-2</v>
      </c>
      <c r="AH849" s="14">
        <v>4.3553684427770398E-2</v>
      </c>
      <c r="AI849" s="14"/>
      <c r="AJ849" s="14">
        <v>2.87552689338261E-2</v>
      </c>
      <c r="AK849" s="14">
        <v>5.8318195485858301E-2</v>
      </c>
      <c r="AL849" s="14"/>
      <c r="AM849" s="14">
        <v>3.5253348219316298E-2</v>
      </c>
      <c r="AN849" s="14">
        <v>0.12856431358342099</v>
      </c>
    </row>
    <row r="850" spans="2:40" x14ac:dyDescent="0.35">
      <c r="B850" t="s">
        <v>70</v>
      </c>
      <c r="C850" s="14">
        <v>1.10676937542956E-2</v>
      </c>
      <c r="D850" s="14">
        <v>6.9946257558332198E-3</v>
      </c>
      <c r="E850" s="14">
        <v>1.51741366409204E-2</v>
      </c>
      <c r="F850" s="14"/>
      <c r="G850" s="14" t="s">
        <v>76</v>
      </c>
      <c r="H850" s="14" t="s">
        <v>76</v>
      </c>
      <c r="I850" s="14">
        <v>1.10676937542956E-2</v>
      </c>
      <c r="J850" s="14"/>
      <c r="K850" s="14" t="s">
        <v>76</v>
      </c>
      <c r="L850" s="14">
        <v>1.1769001230289299E-2</v>
      </c>
      <c r="M850" s="14">
        <v>9.8187899264720307E-3</v>
      </c>
      <c r="N850" s="14"/>
      <c r="O850" s="14">
        <v>1.1449959628807301E-2</v>
      </c>
      <c r="P850" s="14">
        <v>1.0755149597320501E-2</v>
      </c>
      <c r="Q850" s="14"/>
      <c r="R850" s="14">
        <v>6.7970071808970403E-3</v>
      </c>
      <c r="S850" s="14">
        <v>1.09957556299814E-2</v>
      </c>
      <c r="T850" s="14">
        <v>2.06224151810438E-2</v>
      </c>
      <c r="U850" s="14">
        <v>0</v>
      </c>
      <c r="V850" s="14">
        <v>0</v>
      </c>
      <c r="W850" s="14">
        <v>4.6793591144561802E-2</v>
      </c>
      <c r="X850" s="14">
        <v>0</v>
      </c>
      <c r="Y850" s="14">
        <v>0</v>
      </c>
      <c r="Z850" s="14">
        <v>1.1437902865134899E-2</v>
      </c>
      <c r="AA850" s="14"/>
      <c r="AB850" s="14">
        <v>0</v>
      </c>
      <c r="AC850" s="14">
        <v>8.2145493398508799E-3</v>
      </c>
      <c r="AD850" s="14">
        <v>1.8360496413304901E-2</v>
      </c>
      <c r="AE850" s="14">
        <v>0</v>
      </c>
      <c r="AF850" s="14"/>
      <c r="AG850" s="14">
        <v>0</v>
      </c>
      <c r="AH850" s="14">
        <v>0</v>
      </c>
      <c r="AI850" s="14"/>
      <c r="AJ850" s="14">
        <v>0</v>
      </c>
      <c r="AK850" s="14">
        <v>2.0992739658827499E-2</v>
      </c>
      <c r="AL850" s="14"/>
      <c r="AM850" s="14">
        <v>1.6980104287184E-3</v>
      </c>
      <c r="AN850" s="14">
        <v>2.38309114137275E-2</v>
      </c>
    </row>
    <row r="851" spans="2:40" x14ac:dyDescent="0.35"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  <c r="AB851" s="14"/>
      <c r="AC851" s="14"/>
      <c r="AD851" s="14"/>
      <c r="AE851" s="14"/>
      <c r="AF851" s="14"/>
      <c r="AG851" s="14"/>
      <c r="AH851" s="14"/>
      <c r="AI851" s="14"/>
      <c r="AJ851" s="14"/>
      <c r="AK851" s="14"/>
      <c r="AL851" s="14"/>
      <c r="AM851" s="14"/>
      <c r="AN851" s="14"/>
    </row>
    <row r="852" spans="2:40" x14ac:dyDescent="0.35">
      <c r="B852" s="6" t="s">
        <v>256</v>
      </c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  <c r="AB852" s="14"/>
      <c r="AC852" s="14"/>
      <c r="AD852" s="14"/>
      <c r="AE852" s="14"/>
      <c r="AF852" s="14"/>
      <c r="AG852" s="14"/>
      <c r="AH852" s="14"/>
      <c r="AI852" s="14"/>
      <c r="AJ852" s="14"/>
      <c r="AK852" s="14"/>
      <c r="AL852" s="14"/>
      <c r="AM852" s="14"/>
      <c r="AN852" s="14"/>
    </row>
    <row r="853" spans="2:40" x14ac:dyDescent="0.35">
      <c r="B853" s="26" t="s">
        <v>395</v>
      </c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4"/>
      <c r="AB853" s="14"/>
      <c r="AC853" s="14"/>
      <c r="AD853" s="14"/>
      <c r="AE853" s="14"/>
      <c r="AF853" s="14"/>
      <c r="AG853" s="14"/>
      <c r="AH853" s="14"/>
      <c r="AI853" s="14"/>
      <c r="AJ853" s="14"/>
      <c r="AK853" s="14"/>
      <c r="AL853" s="14"/>
      <c r="AM853" s="14"/>
      <c r="AN853" s="14"/>
    </row>
    <row r="854" spans="2:40" x14ac:dyDescent="0.35">
      <c r="B854" t="s">
        <v>160</v>
      </c>
      <c r="C854" s="14">
        <v>0.174049554612282</v>
      </c>
      <c r="D854" s="14">
        <v>0.17647068480941899</v>
      </c>
      <c r="E854" s="14">
        <v>0.171044775841934</v>
      </c>
      <c r="F854" s="14"/>
      <c r="G854" s="14" t="s">
        <v>76</v>
      </c>
      <c r="H854" s="14" t="s">
        <v>76</v>
      </c>
      <c r="I854" s="14">
        <v>0.174049554612282</v>
      </c>
      <c r="J854" s="14"/>
      <c r="K854" s="14" t="s">
        <v>76</v>
      </c>
      <c r="L854" s="14">
        <v>0.173843695035379</v>
      </c>
      <c r="M854" s="14">
        <v>0.17441615388918899</v>
      </c>
      <c r="N854" s="14"/>
      <c r="O854" s="14">
        <v>0.134714259665078</v>
      </c>
      <c r="P854" s="14">
        <v>0.39091978924823201</v>
      </c>
      <c r="Q854" s="14"/>
      <c r="R854" s="14">
        <v>0.26537508632512402</v>
      </c>
      <c r="S854" s="14">
        <v>0.13088859197932001</v>
      </c>
      <c r="T854" s="14">
        <v>0.114312720155353</v>
      </c>
      <c r="U854" s="14">
        <v>0.18784293696718499</v>
      </c>
      <c r="V854" s="14">
        <v>0.14182107048787801</v>
      </c>
      <c r="W854" s="14">
        <v>0.124903750218102</v>
      </c>
      <c r="X854" s="14">
        <v>0.14417436341253501</v>
      </c>
      <c r="Y854" s="14">
        <v>0.19506699225031701</v>
      </c>
      <c r="Z854" s="14">
        <v>0.20558475750284999</v>
      </c>
      <c r="AA854" s="14"/>
      <c r="AB854" s="14">
        <v>0.13322056426929299</v>
      </c>
      <c r="AC854" s="14">
        <v>0.27782054266090001</v>
      </c>
      <c r="AD854" s="14">
        <v>0.10897240293592</v>
      </c>
      <c r="AE854" s="14">
        <v>0.26373599381705898</v>
      </c>
      <c r="AF854" s="14"/>
      <c r="AG854" s="14">
        <v>0.31221313324283201</v>
      </c>
      <c r="AH854" s="14">
        <v>8.8663351101760102E-2</v>
      </c>
      <c r="AI854" s="14"/>
      <c r="AJ854" s="14">
        <v>0.24210053486945901</v>
      </c>
      <c r="AK854" s="14">
        <v>0.103729532200973</v>
      </c>
      <c r="AL854" s="14"/>
      <c r="AM854" s="14">
        <v>0.30005177666676802</v>
      </c>
      <c r="AN854" s="14">
        <v>2.0571810260364101E-2</v>
      </c>
    </row>
    <row r="855" spans="2:40" x14ac:dyDescent="0.35">
      <c r="B855" t="s">
        <v>161</v>
      </c>
      <c r="C855" s="14">
        <v>0.50853217775353099</v>
      </c>
      <c r="D855" s="14">
        <v>0.53864336442899097</v>
      </c>
      <c r="E855" s="14">
        <v>0.48080626887008698</v>
      </c>
      <c r="F855" s="14"/>
      <c r="G855" s="14" t="s">
        <v>76</v>
      </c>
      <c r="H855" s="14" t="s">
        <v>76</v>
      </c>
      <c r="I855" s="14">
        <v>0.50853217775353099</v>
      </c>
      <c r="J855" s="14"/>
      <c r="K855" s="14" t="s">
        <v>76</v>
      </c>
      <c r="L855" s="14">
        <v>0.53794991183169705</v>
      </c>
      <c r="M855" s="14">
        <v>0.45614442779541398</v>
      </c>
      <c r="N855" s="14"/>
      <c r="O855" s="14">
        <v>0.52118185731420996</v>
      </c>
      <c r="P855" s="14">
        <v>0.46614478162076101</v>
      </c>
      <c r="Q855" s="14"/>
      <c r="R855" s="14">
        <v>0.55719538428455295</v>
      </c>
      <c r="S855" s="14">
        <v>0.50511572803649996</v>
      </c>
      <c r="T855" s="14">
        <v>0.53135386296587905</v>
      </c>
      <c r="U855" s="14">
        <v>0.40180826703515099</v>
      </c>
      <c r="V855" s="14">
        <v>0.51037712120148004</v>
      </c>
      <c r="W855" s="14">
        <v>0.52910383914138504</v>
      </c>
      <c r="X855" s="14">
        <v>0.57456827054331205</v>
      </c>
      <c r="Y855" s="14">
        <v>0.49172233837865298</v>
      </c>
      <c r="Z855" s="14">
        <v>0.46841424646228502</v>
      </c>
      <c r="AA855" s="14"/>
      <c r="AB855" s="14">
        <v>0.48300234052312302</v>
      </c>
      <c r="AC855" s="14">
        <v>0.62109188693972495</v>
      </c>
      <c r="AD855" s="14">
        <v>0.41085587804620299</v>
      </c>
      <c r="AE855" s="14">
        <v>0.53857059913795402</v>
      </c>
      <c r="AF855" s="14"/>
      <c r="AG855" s="14">
        <v>0.501132181395467</v>
      </c>
      <c r="AH855" s="14">
        <v>0.43919735908531199</v>
      </c>
      <c r="AI855" s="14"/>
      <c r="AJ855" s="14">
        <v>0.48170737462371299</v>
      </c>
      <c r="AK855" s="14">
        <v>0.45183779287232201</v>
      </c>
      <c r="AL855" s="14"/>
      <c r="AM855" s="14">
        <v>0.58388375320998698</v>
      </c>
      <c r="AN855" s="14">
        <v>0.29128537878931599</v>
      </c>
    </row>
    <row r="856" spans="2:40" x14ac:dyDescent="0.35">
      <c r="B856" t="s">
        <v>162</v>
      </c>
      <c r="C856" s="14">
        <v>0.26011149206173001</v>
      </c>
      <c r="D856" s="14">
        <v>0.238488135057286</v>
      </c>
      <c r="E856" s="14">
        <v>0.28169769771362502</v>
      </c>
      <c r="F856" s="14"/>
      <c r="G856" s="14" t="s">
        <v>76</v>
      </c>
      <c r="H856" s="14" t="s">
        <v>76</v>
      </c>
      <c r="I856" s="14">
        <v>0.26011149206173001</v>
      </c>
      <c r="J856" s="14"/>
      <c r="K856" s="14" t="s">
        <v>76</v>
      </c>
      <c r="L856" s="14">
        <v>0.22772359316058099</v>
      </c>
      <c r="M856" s="14">
        <v>0.31778857707425301</v>
      </c>
      <c r="N856" s="14"/>
      <c r="O856" s="14">
        <v>0.284238216771529</v>
      </c>
      <c r="P856" s="14">
        <v>0.125976824369121</v>
      </c>
      <c r="Q856" s="14"/>
      <c r="R856" s="14">
        <v>0.13808118515168</v>
      </c>
      <c r="S856" s="14">
        <v>0.32700501037261998</v>
      </c>
      <c r="T856" s="14">
        <v>0.26935271528684601</v>
      </c>
      <c r="U856" s="14">
        <v>0.32100448759997702</v>
      </c>
      <c r="V856" s="14">
        <v>0.312210440076502</v>
      </c>
      <c r="W856" s="14">
        <v>0.235265187796633</v>
      </c>
      <c r="X856" s="14">
        <v>0.22335629920455199</v>
      </c>
      <c r="Y856" s="14">
        <v>0.23990775125710001</v>
      </c>
      <c r="Z856" s="14">
        <v>0.29243967924251801</v>
      </c>
      <c r="AA856" s="14"/>
      <c r="AB856" s="14">
        <v>0.29353854257127998</v>
      </c>
      <c r="AC856" s="14">
        <v>0.10108757039937501</v>
      </c>
      <c r="AD856" s="14">
        <v>0.42011518647651303</v>
      </c>
      <c r="AE856" s="14">
        <v>0.16373997134705101</v>
      </c>
      <c r="AF856" s="14"/>
      <c r="AG856" s="14">
        <v>0.17150160775864301</v>
      </c>
      <c r="AH856" s="14">
        <v>0.41260341420911001</v>
      </c>
      <c r="AI856" s="14"/>
      <c r="AJ856" s="14">
        <v>0.247119100922151</v>
      </c>
      <c r="AK856" s="14">
        <v>0.37764282506180802</v>
      </c>
      <c r="AL856" s="14"/>
      <c r="AM856" s="14">
        <v>0.107425073627041</v>
      </c>
      <c r="AN856" s="14">
        <v>0.53336642734627704</v>
      </c>
    </row>
    <row r="857" spans="2:40" x14ac:dyDescent="0.35">
      <c r="B857" t="s">
        <v>163</v>
      </c>
      <c r="C857" s="14">
        <v>5.11394867412579E-2</v>
      </c>
      <c r="D857" s="14">
        <v>4.10802722089171E-2</v>
      </c>
      <c r="E857" s="14">
        <v>5.9397980119768802E-2</v>
      </c>
      <c r="F857" s="14"/>
      <c r="G857" s="14" t="s">
        <v>76</v>
      </c>
      <c r="H857" s="14" t="s">
        <v>76</v>
      </c>
      <c r="I857" s="14">
        <v>5.11394867412579E-2</v>
      </c>
      <c r="J857" s="14"/>
      <c r="K857" s="14" t="s">
        <v>76</v>
      </c>
      <c r="L857" s="14">
        <v>5.3167615431406197E-2</v>
      </c>
      <c r="M857" s="14">
        <v>4.7527750418533E-2</v>
      </c>
      <c r="N857" s="14"/>
      <c r="O857" s="14">
        <v>5.3756641710944901E-2</v>
      </c>
      <c r="P857" s="14">
        <v>9.4869102866579607E-3</v>
      </c>
      <c r="Q857" s="14"/>
      <c r="R857" s="14">
        <v>3.9348344238644001E-2</v>
      </c>
      <c r="S857" s="14">
        <v>3.6990669611560001E-2</v>
      </c>
      <c r="T857" s="14">
        <v>5.4954843158301597E-2</v>
      </c>
      <c r="U857" s="14">
        <v>8.9344308397686395E-2</v>
      </c>
      <c r="V857" s="14">
        <v>3.5591368234140101E-2</v>
      </c>
      <c r="W857" s="14">
        <v>9.4760736769603907E-2</v>
      </c>
      <c r="X857" s="14">
        <v>5.7901066839600897E-2</v>
      </c>
      <c r="Y857" s="14">
        <v>5.5881945124750698E-2</v>
      </c>
      <c r="Z857" s="14">
        <v>2.8161170787257401E-2</v>
      </c>
      <c r="AA857" s="14"/>
      <c r="AB857" s="14">
        <v>9.0238552636304703E-2</v>
      </c>
      <c r="AC857" s="14">
        <v>0</v>
      </c>
      <c r="AD857" s="14">
        <v>5.6180768146980503E-2</v>
      </c>
      <c r="AE857" s="14">
        <v>2.8514638005636899E-2</v>
      </c>
      <c r="AF857" s="14"/>
      <c r="AG857" s="14">
        <v>8.8034469361878594E-3</v>
      </c>
      <c r="AH857" s="14">
        <v>5.9535875603818303E-2</v>
      </c>
      <c r="AI857" s="14"/>
      <c r="AJ857" s="14">
        <v>2.4714812904036099E-2</v>
      </c>
      <c r="AK857" s="14">
        <v>6.2358438476081197E-2</v>
      </c>
      <c r="AL857" s="14"/>
      <c r="AM857" s="14">
        <v>6.8403776788746604E-3</v>
      </c>
      <c r="AN857" s="14">
        <v>0.14746246109737901</v>
      </c>
    </row>
    <row r="858" spans="2:40" x14ac:dyDescent="0.35">
      <c r="B858" t="s">
        <v>70</v>
      </c>
      <c r="C858" s="14">
        <v>6.1672888311990401E-3</v>
      </c>
      <c r="D858" s="14">
        <v>5.3175434953869503E-3</v>
      </c>
      <c r="E858" s="14">
        <v>7.0532774545854502E-3</v>
      </c>
      <c r="F858" s="14"/>
      <c r="G858" s="14" t="s">
        <v>76</v>
      </c>
      <c r="H858" s="14" t="s">
        <v>76</v>
      </c>
      <c r="I858" s="14">
        <v>6.1672888311990401E-3</v>
      </c>
      <c r="J858" s="14"/>
      <c r="K858" s="14" t="s">
        <v>76</v>
      </c>
      <c r="L858" s="14">
        <v>7.3151845409365097E-3</v>
      </c>
      <c r="M858" s="14">
        <v>4.1230908226123101E-3</v>
      </c>
      <c r="N858" s="14"/>
      <c r="O858" s="14">
        <v>6.1090245382383604E-3</v>
      </c>
      <c r="P858" s="14">
        <v>7.4716944752273202E-3</v>
      </c>
      <c r="Q858" s="14"/>
      <c r="R858" s="14">
        <v>0</v>
      </c>
      <c r="S858" s="14">
        <v>0</v>
      </c>
      <c r="T858" s="14">
        <v>3.00258584336206E-2</v>
      </c>
      <c r="U858" s="14">
        <v>0</v>
      </c>
      <c r="V858" s="14">
        <v>0</v>
      </c>
      <c r="W858" s="14">
        <v>1.5966486074275699E-2</v>
      </c>
      <c r="X858" s="14">
        <v>0</v>
      </c>
      <c r="Y858" s="14">
        <v>1.74209729891792E-2</v>
      </c>
      <c r="Z858" s="14">
        <v>5.4001460050890999E-3</v>
      </c>
      <c r="AA858" s="14"/>
      <c r="AB858" s="14">
        <v>0</v>
      </c>
      <c r="AC858" s="14">
        <v>0</v>
      </c>
      <c r="AD858" s="14">
        <v>3.8757643943832798E-3</v>
      </c>
      <c r="AE858" s="14">
        <v>5.4387976922984499E-3</v>
      </c>
      <c r="AF858" s="14"/>
      <c r="AG858" s="14">
        <v>6.3496306668703803E-3</v>
      </c>
      <c r="AH858" s="14">
        <v>0</v>
      </c>
      <c r="AI858" s="14"/>
      <c r="AJ858" s="14">
        <v>4.3581766806410696E-3</v>
      </c>
      <c r="AK858" s="14">
        <v>4.4314113888163599E-3</v>
      </c>
      <c r="AL858" s="14"/>
      <c r="AM858" s="14">
        <v>1.7990188173295199E-3</v>
      </c>
      <c r="AN858" s="14">
        <v>7.3139225066639699E-3</v>
      </c>
    </row>
    <row r="859" spans="2:40" x14ac:dyDescent="0.35">
      <c r="B859" t="s">
        <v>164</v>
      </c>
      <c r="C859" s="14">
        <v>0.68258173236581299</v>
      </c>
      <c r="D859" s="14">
        <v>0.71511404923841004</v>
      </c>
      <c r="E859" s="14">
        <v>0.65185104471202104</v>
      </c>
      <c r="F859" s="14"/>
      <c r="G859" s="14" t="s">
        <v>76</v>
      </c>
      <c r="H859" s="14" t="s">
        <v>76</v>
      </c>
      <c r="I859" s="14">
        <v>0.68258173236581299</v>
      </c>
      <c r="J859" s="14"/>
      <c r="K859" s="14" t="s">
        <v>76</v>
      </c>
      <c r="L859" s="14">
        <v>0.71179360686707605</v>
      </c>
      <c r="M859" s="14">
        <v>0.63056058168460205</v>
      </c>
      <c r="N859" s="14"/>
      <c r="O859" s="14">
        <v>0.65589611697928796</v>
      </c>
      <c r="P859" s="14">
        <v>0.85706457086899301</v>
      </c>
      <c r="Q859" s="14"/>
      <c r="R859" s="14">
        <v>0.82257047060967603</v>
      </c>
      <c r="S859" s="14">
        <v>0.63600432001581997</v>
      </c>
      <c r="T859" s="14">
        <v>0.64566658312123104</v>
      </c>
      <c r="U859" s="14">
        <v>0.58965120400233695</v>
      </c>
      <c r="V859" s="14">
        <v>0.652198191689358</v>
      </c>
      <c r="W859" s="14">
        <v>0.654007589359487</v>
      </c>
      <c r="X859" s="14">
        <v>0.71874263395584703</v>
      </c>
      <c r="Y859" s="14">
        <v>0.68678933062896996</v>
      </c>
      <c r="Z859" s="14">
        <v>0.67399900396513501</v>
      </c>
      <c r="AA859" s="14"/>
      <c r="AB859" s="14">
        <v>0.61622290479241504</v>
      </c>
      <c r="AC859" s="14">
        <v>0.89891242960062501</v>
      </c>
      <c r="AD859" s="14">
        <v>0.51982828098212297</v>
      </c>
      <c r="AE859" s="14">
        <v>0.80230659295501305</v>
      </c>
      <c r="AF859" s="14"/>
      <c r="AG859" s="14">
        <v>0.81334531463829896</v>
      </c>
      <c r="AH859" s="14">
        <v>0.52786071018707204</v>
      </c>
      <c r="AI859" s="14"/>
      <c r="AJ859" s="14">
        <v>0.72380790949317197</v>
      </c>
      <c r="AK859" s="14">
        <v>0.55556732507329498</v>
      </c>
      <c r="AL859" s="14"/>
      <c r="AM859" s="14">
        <v>0.88393552987675506</v>
      </c>
      <c r="AN859" s="14">
        <v>0.31185718904968002</v>
      </c>
    </row>
    <row r="860" spans="2:40" x14ac:dyDescent="0.35"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  <c r="AB860" s="14"/>
      <c r="AC860" s="14"/>
      <c r="AD860" s="14"/>
      <c r="AE860" s="14"/>
      <c r="AF860" s="14"/>
      <c r="AG860" s="14"/>
      <c r="AH860" s="14"/>
      <c r="AI860" s="14"/>
      <c r="AJ860" s="14"/>
      <c r="AK860" s="14"/>
      <c r="AL860" s="14"/>
      <c r="AM860" s="14"/>
      <c r="AN860" s="14"/>
    </row>
    <row r="861" spans="2:40" x14ac:dyDescent="0.35">
      <c r="B861" s="6" t="s">
        <v>257</v>
      </c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  <c r="AA861" s="14"/>
      <c r="AB861" s="14"/>
      <c r="AC861" s="14"/>
      <c r="AD861" s="14"/>
      <c r="AE861" s="14"/>
      <c r="AF861" s="14"/>
      <c r="AG861" s="14"/>
      <c r="AH861" s="14"/>
      <c r="AI861" s="14"/>
      <c r="AJ861" s="14"/>
      <c r="AK861" s="14"/>
      <c r="AL861" s="14"/>
      <c r="AM861" s="14"/>
      <c r="AN861" s="14"/>
    </row>
    <row r="862" spans="2:40" x14ac:dyDescent="0.35">
      <c r="B862" s="26" t="s">
        <v>395</v>
      </c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  <c r="AA862" s="14"/>
      <c r="AB862" s="14"/>
      <c r="AC862" s="14"/>
      <c r="AD862" s="14"/>
      <c r="AE862" s="14"/>
      <c r="AF862" s="14"/>
      <c r="AG862" s="14"/>
      <c r="AH862" s="14"/>
      <c r="AI862" s="14"/>
      <c r="AJ862" s="14"/>
      <c r="AK862" s="14"/>
      <c r="AL862" s="14"/>
      <c r="AM862" s="14"/>
      <c r="AN862" s="14"/>
    </row>
    <row r="863" spans="2:40" x14ac:dyDescent="0.35">
      <c r="B863" t="s">
        <v>166</v>
      </c>
      <c r="C863" s="14">
        <v>0.13390723053676801</v>
      </c>
      <c r="D863" s="14">
        <v>0.140875422684519</v>
      </c>
      <c r="E863" s="14">
        <v>0.12610725882493301</v>
      </c>
      <c r="F863" s="14"/>
      <c r="G863" s="14" t="s">
        <v>76</v>
      </c>
      <c r="H863" s="14" t="s">
        <v>76</v>
      </c>
      <c r="I863" s="14">
        <v>0.13390723053676801</v>
      </c>
      <c r="J863" s="14"/>
      <c r="K863" s="14" t="s">
        <v>76</v>
      </c>
      <c r="L863" s="14">
        <v>0.14291094167514801</v>
      </c>
      <c r="M863" s="14">
        <v>0.117873223071772</v>
      </c>
      <c r="N863" s="14"/>
      <c r="O863" s="14">
        <v>0.102382687398724</v>
      </c>
      <c r="P863" s="14">
        <v>0.30680110762902402</v>
      </c>
      <c r="Q863" s="14"/>
      <c r="R863" s="14">
        <v>0.22738440729039899</v>
      </c>
      <c r="S863" s="14">
        <v>0.101599738586439</v>
      </c>
      <c r="T863" s="14">
        <v>6.3060520599960604E-2</v>
      </c>
      <c r="U863" s="14">
        <v>0.130132620352606</v>
      </c>
      <c r="V863" s="14">
        <v>8.9286735378667603E-2</v>
      </c>
      <c r="W863" s="14">
        <v>0.10333037241758999</v>
      </c>
      <c r="X863" s="14">
        <v>9.9868886296127196E-2</v>
      </c>
      <c r="Y863" s="14">
        <v>0.19713140909539201</v>
      </c>
      <c r="Z863" s="14">
        <v>0.15262478708727301</v>
      </c>
      <c r="AA863" s="14"/>
      <c r="AB863" s="14">
        <v>9.4534260283546098E-2</v>
      </c>
      <c r="AC863" s="14">
        <v>0.14727909419945401</v>
      </c>
      <c r="AD863" s="14">
        <v>9.3100665039851802E-2</v>
      </c>
      <c r="AE863" s="14">
        <v>0.12987351764309399</v>
      </c>
      <c r="AF863" s="14"/>
      <c r="AG863" s="14">
        <v>0.20454689043072</v>
      </c>
      <c r="AH863" s="14">
        <v>0.140795476390182</v>
      </c>
      <c r="AI863" s="14"/>
      <c r="AJ863" s="14">
        <v>0.184552340467177</v>
      </c>
      <c r="AK863" s="14">
        <v>4.4928176035394903E-2</v>
      </c>
      <c r="AL863" s="14"/>
      <c r="AM863" s="14">
        <v>0.21111849695815399</v>
      </c>
      <c r="AN863" s="14">
        <v>3.0752271385002101E-2</v>
      </c>
    </row>
    <row r="864" spans="2:40" x14ac:dyDescent="0.35">
      <c r="B864" t="s">
        <v>167</v>
      </c>
      <c r="C864" s="14">
        <v>0.37974296909070099</v>
      </c>
      <c r="D864" s="14">
        <v>0.41283507381907902</v>
      </c>
      <c r="E864" s="14">
        <v>0.34994397178928199</v>
      </c>
      <c r="F864" s="14"/>
      <c r="G864" s="14" t="s">
        <v>76</v>
      </c>
      <c r="H864" s="14" t="s">
        <v>76</v>
      </c>
      <c r="I864" s="14">
        <v>0.37974296909070099</v>
      </c>
      <c r="J864" s="14"/>
      <c r="K864" s="14" t="s">
        <v>76</v>
      </c>
      <c r="L864" s="14">
        <v>0.393010153044692</v>
      </c>
      <c r="M864" s="14">
        <v>0.35611647516077299</v>
      </c>
      <c r="N864" s="14"/>
      <c r="O864" s="14">
        <v>0.37661569016183299</v>
      </c>
      <c r="P864" s="14">
        <v>0.42758402986426303</v>
      </c>
      <c r="Q864" s="14"/>
      <c r="R864" s="14">
        <v>0.47638068473053002</v>
      </c>
      <c r="S864" s="14">
        <v>0.36228943151666299</v>
      </c>
      <c r="T864" s="14">
        <v>0.37068970707105497</v>
      </c>
      <c r="U864" s="14">
        <v>0.34632533292586298</v>
      </c>
      <c r="V864" s="14">
        <v>0.25301413406635498</v>
      </c>
      <c r="W864" s="14">
        <v>0.39654806485309502</v>
      </c>
      <c r="X864" s="14">
        <v>0.37866689620625099</v>
      </c>
      <c r="Y864" s="14">
        <v>0.33004617602493402</v>
      </c>
      <c r="Z864" s="14">
        <v>0.40377998806301901</v>
      </c>
      <c r="AA864" s="14"/>
      <c r="AB864" s="14">
        <v>0.32451208579596302</v>
      </c>
      <c r="AC864" s="14">
        <v>0.52611810066374498</v>
      </c>
      <c r="AD864" s="14">
        <v>0.301369800802748</v>
      </c>
      <c r="AE864" s="14">
        <v>0.44589483089461301</v>
      </c>
      <c r="AF864" s="14"/>
      <c r="AG864" s="14">
        <v>0.41268952559977001</v>
      </c>
      <c r="AH864" s="14">
        <v>0.27765008957611897</v>
      </c>
      <c r="AI864" s="14"/>
      <c r="AJ864" s="14">
        <v>0.37033669639182998</v>
      </c>
      <c r="AK864" s="14">
        <v>0.36259491117124198</v>
      </c>
      <c r="AL864" s="14"/>
      <c r="AM864" s="14">
        <v>0.52903684498164405</v>
      </c>
      <c r="AN864" s="14">
        <v>0.12267335967795</v>
      </c>
    </row>
    <row r="865" spans="2:40" x14ac:dyDescent="0.35">
      <c r="B865" t="s">
        <v>168</v>
      </c>
      <c r="C865" s="14">
        <v>0.31926079547906</v>
      </c>
      <c r="D865" s="14">
        <v>0.322031451383265</v>
      </c>
      <c r="E865" s="14">
        <v>0.31688362559887201</v>
      </c>
      <c r="F865" s="14"/>
      <c r="G865" s="14" t="s">
        <v>76</v>
      </c>
      <c r="H865" s="14" t="s">
        <v>76</v>
      </c>
      <c r="I865" s="14">
        <v>0.31926079547906</v>
      </c>
      <c r="J865" s="14"/>
      <c r="K865" s="14" t="s">
        <v>76</v>
      </c>
      <c r="L865" s="14">
        <v>0.32463340182683598</v>
      </c>
      <c r="M865" s="14">
        <v>0.309693139546662</v>
      </c>
      <c r="N865" s="14"/>
      <c r="O865" s="14">
        <v>0.34416548502590499</v>
      </c>
      <c r="P865" s="14">
        <v>0.18528037618903401</v>
      </c>
      <c r="Q865" s="14"/>
      <c r="R865" s="14">
        <v>0.20486224344072601</v>
      </c>
      <c r="S865" s="14">
        <v>0.35229021716949399</v>
      </c>
      <c r="T865" s="14">
        <v>0.31753269974088899</v>
      </c>
      <c r="U865" s="14">
        <v>0.3230415168802</v>
      </c>
      <c r="V865" s="14">
        <v>0.45723535316511499</v>
      </c>
      <c r="W865" s="14">
        <v>0.29471048660910498</v>
      </c>
      <c r="X865" s="14">
        <v>0.38813796085919999</v>
      </c>
      <c r="Y865" s="14">
        <v>0.24392136858998201</v>
      </c>
      <c r="Z865" s="14">
        <v>0.338931632674075</v>
      </c>
      <c r="AA865" s="14"/>
      <c r="AB865" s="14">
        <v>0.37099847281325699</v>
      </c>
      <c r="AC865" s="14">
        <v>0.28279179777209401</v>
      </c>
      <c r="AD865" s="14">
        <v>0.33605985768339403</v>
      </c>
      <c r="AE865" s="14">
        <v>0.325261994430113</v>
      </c>
      <c r="AF865" s="14"/>
      <c r="AG865" s="14">
        <v>0.26549279437298601</v>
      </c>
      <c r="AH865" s="14">
        <v>0.31648167882428502</v>
      </c>
      <c r="AI865" s="14"/>
      <c r="AJ865" s="14">
        <v>0.28148459334859099</v>
      </c>
      <c r="AK865" s="14">
        <v>0.35345087796277902</v>
      </c>
      <c r="AL865" s="14"/>
      <c r="AM865" s="14">
        <v>0.22349829393668799</v>
      </c>
      <c r="AN865" s="14">
        <v>0.41409649855137398</v>
      </c>
    </row>
    <row r="866" spans="2:40" x14ac:dyDescent="0.35">
      <c r="B866" t="s">
        <v>169</v>
      </c>
      <c r="C866" s="14">
        <v>0.15696568589181101</v>
      </c>
      <c r="D866" s="14">
        <v>0.113968365478492</v>
      </c>
      <c r="E866" s="14">
        <v>0.198877461861696</v>
      </c>
      <c r="F866" s="14"/>
      <c r="G866" s="14" t="s">
        <v>76</v>
      </c>
      <c r="H866" s="14" t="s">
        <v>76</v>
      </c>
      <c r="I866" s="14">
        <v>0.15696568589181101</v>
      </c>
      <c r="J866" s="14"/>
      <c r="K866" s="14" t="s">
        <v>76</v>
      </c>
      <c r="L866" s="14">
        <v>0.12784851298587399</v>
      </c>
      <c r="M866" s="14">
        <v>0.20881818988244299</v>
      </c>
      <c r="N866" s="14"/>
      <c r="O866" s="14">
        <v>0.16592912118432199</v>
      </c>
      <c r="P866" s="14">
        <v>7.2862791842451605E-2</v>
      </c>
      <c r="Q866" s="14"/>
      <c r="R866" s="14">
        <v>9.1372664538345194E-2</v>
      </c>
      <c r="S866" s="14">
        <v>0.17216370142979601</v>
      </c>
      <c r="T866" s="14">
        <v>0.22627912977673101</v>
      </c>
      <c r="U866" s="14">
        <v>0.180377765572168</v>
      </c>
      <c r="V866" s="14">
        <v>0.190789616286694</v>
      </c>
      <c r="W866" s="14">
        <v>0.19643616773939501</v>
      </c>
      <c r="X866" s="14">
        <v>0.114781001569377</v>
      </c>
      <c r="Y866" s="14">
        <v>0.22890104628969199</v>
      </c>
      <c r="Z866" s="14">
        <v>9.9263446170543904E-2</v>
      </c>
      <c r="AA866" s="14"/>
      <c r="AB866" s="14">
        <v>0.20995518110723399</v>
      </c>
      <c r="AC866" s="14">
        <v>4.3811007364707798E-2</v>
      </c>
      <c r="AD866" s="14">
        <v>0.26465284178183401</v>
      </c>
      <c r="AE866" s="14">
        <v>8.5911148094887299E-2</v>
      </c>
      <c r="AF866" s="14"/>
      <c r="AG866" s="14">
        <v>0.102025378109856</v>
      </c>
      <c r="AH866" s="14">
        <v>0.26507275520941298</v>
      </c>
      <c r="AI866" s="14"/>
      <c r="AJ866" s="14">
        <v>0.15316242309788899</v>
      </c>
      <c r="AK866" s="14">
        <v>0.23351863707857601</v>
      </c>
      <c r="AL866" s="14"/>
      <c r="AM866" s="14">
        <v>3.08846135121063E-2</v>
      </c>
      <c r="AN866" s="14">
        <v>0.42509386773757601</v>
      </c>
    </row>
    <row r="867" spans="2:40" x14ac:dyDescent="0.35">
      <c r="B867" t="s">
        <v>70</v>
      </c>
      <c r="C867" s="14">
        <v>1.01233190016608E-2</v>
      </c>
      <c r="D867" s="14">
        <v>1.0289686634644401E-2</v>
      </c>
      <c r="E867" s="14">
        <v>8.1876819252164005E-3</v>
      </c>
      <c r="F867" s="14"/>
      <c r="G867" s="14" t="s">
        <v>76</v>
      </c>
      <c r="H867" s="14" t="s">
        <v>76</v>
      </c>
      <c r="I867" s="14">
        <v>1.01233190016608E-2</v>
      </c>
      <c r="J867" s="14"/>
      <c r="K867" s="14" t="s">
        <v>76</v>
      </c>
      <c r="L867" s="14">
        <v>1.1596990467450699E-2</v>
      </c>
      <c r="M867" s="14">
        <v>7.4989723383494999E-3</v>
      </c>
      <c r="N867" s="14"/>
      <c r="O867" s="14">
        <v>1.0907016229215799E-2</v>
      </c>
      <c r="P867" s="14">
        <v>7.4716944752273202E-3</v>
      </c>
      <c r="Q867" s="14"/>
      <c r="R867" s="14">
        <v>0</v>
      </c>
      <c r="S867" s="14">
        <v>1.16569112976081E-2</v>
      </c>
      <c r="T867" s="14">
        <v>2.24379428113641E-2</v>
      </c>
      <c r="U867" s="14">
        <v>2.0122764269163301E-2</v>
      </c>
      <c r="V867" s="14">
        <v>9.6741611031689496E-3</v>
      </c>
      <c r="W867" s="14">
        <v>8.9749083808140905E-3</v>
      </c>
      <c r="X867" s="14">
        <v>1.85452550690446E-2</v>
      </c>
      <c r="Y867" s="14">
        <v>0</v>
      </c>
      <c r="Z867" s="14">
        <v>5.4001460050890999E-3</v>
      </c>
      <c r="AA867" s="14"/>
      <c r="AB867" s="14">
        <v>0</v>
      </c>
      <c r="AC867" s="14">
        <v>0</v>
      </c>
      <c r="AD867" s="14">
        <v>4.8168346921726897E-3</v>
      </c>
      <c r="AE867" s="14">
        <v>1.3058508937292299E-2</v>
      </c>
      <c r="AF867" s="14"/>
      <c r="AG867" s="14">
        <v>1.52454114866684E-2</v>
      </c>
      <c r="AH867" s="14">
        <v>0</v>
      </c>
      <c r="AI867" s="14"/>
      <c r="AJ867" s="14">
        <v>1.04639466945128E-2</v>
      </c>
      <c r="AK867" s="14">
        <v>5.5073977520081804E-3</v>
      </c>
      <c r="AL867" s="14"/>
      <c r="AM867" s="14">
        <v>5.4617506114066298E-3</v>
      </c>
      <c r="AN867" s="14">
        <v>7.3840026480981097E-3</v>
      </c>
    </row>
    <row r="868" spans="2:40" x14ac:dyDescent="0.35"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  <c r="AB868" s="14"/>
      <c r="AC868" s="14"/>
      <c r="AD868" s="14"/>
      <c r="AE868" s="14"/>
      <c r="AF868" s="14"/>
      <c r="AG868" s="14"/>
      <c r="AH868" s="14"/>
      <c r="AI868" s="14"/>
      <c r="AJ868" s="14"/>
      <c r="AK868" s="14"/>
      <c r="AL868" s="14"/>
      <c r="AM868" s="14"/>
      <c r="AN868" s="14"/>
    </row>
    <row r="869" spans="2:40" x14ac:dyDescent="0.35">
      <c r="B869" s="6" t="s">
        <v>258</v>
      </c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14"/>
      <c r="AB869" s="14"/>
      <c r="AC869" s="14"/>
      <c r="AD869" s="14"/>
      <c r="AE869" s="14"/>
      <c r="AF869" s="14"/>
      <c r="AG869" s="14"/>
      <c r="AH869" s="14"/>
      <c r="AI869" s="14"/>
      <c r="AJ869" s="14"/>
      <c r="AK869" s="14"/>
      <c r="AL869" s="14"/>
      <c r="AM869" s="14"/>
      <c r="AN869" s="14"/>
    </row>
    <row r="870" spans="2:40" x14ac:dyDescent="0.35">
      <c r="B870" s="26" t="s">
        <v>395</v>
      </c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  <c r="AB870" s="14"/>
      <c r="AC870" s="14"/>
      <c r="AD870" s="14"/>
      <c r="AE870" s="14"/>
      <c r="AF870" s="14"/>
      <c r="AG870" s="14"/>
      <c r="AH870" s="14"/>
      <c r="AI870" s="14"/>
      <c r="AJ870" s="14"/>
      <c r="AK870" s="14"/>
      <c r="AL870" s="14"/>
      <c r="AM870" s="14"/>
      <c r="AN870" s="14"/>
    </row>
    <row r="871" spans="2:40" x14ac:dyDescent="0.35">
      <c r="B871" t="s">
        <v>242</v>
      </c>
      <c r="C871" s="14">
        <v>0.229248410007799</v>
      </c>
      <c r="D871" s="14">
        <v>0.259210533088715</v>
      </c>
      <c r="E871" s="14">
        <v>0.19739999556424201</v>
      </c>
      <c r="F871" s="14"/>
      <c r="G871" s="14" t="s">
        <v>76</v>
      </c>
      <c r="H871" s="14" t="s">
        <v>76</v>
      </c>
      <c r="I871" s="14">
        <v>0.229248410007799</v>
      </c>
      <c r="J871" s="14"/>
      <c r="K871" s="14" t="s">
        <v>76</v>
      </c>
      <c r="L871" s="14">
        <v>0.23465909056512199</v>
      </c>
      <c r="M871" s="14">
        <v>0.21961295068292</v>
      </c>
      <c r="N871" s="14"/>
      <c r="O871" s="14">
        <v>0.198484923986055</v>
      </c>
      <c r="P871" s="14">
        <v>0.395613843950542</v>
      </c>
      <c r="Q871" s="14"/>
      <c r="R871" s="14">
        <v>0.36745658151211302</v>
      </c>
      <c r="S871" s="14">
        <v>0.22247013344695199</v>
      </c>
      <c r="T871" s="14">
        <v>0.137269332286237</v>
      </c>
      <c r="U871" s="14">
        <v>0.247928380933743</v>
      </c>
      <c r="V871" s="14">
        <v>0.223124072424562</v>
      </c>
      <c r="W871" s="14">
        <v>0.16129725784573601</v>
      </c>
      <c r="X871" s="14">
        <v>0.14175571273573601</v>
      </c>
      <c r="Y871" s="14">
        <v>0.204830874719345</v>
      </c>
      <c r="Z871" s="14">
        <v>0.21748736000202101</v>
      </c>
      <c r="AA871" s="14"/>
      <c r="AB871" s="14">
        <v>0.19341707182061799</v>
      </c>
      <c r="AC871" s="14">
        <v>0.33115831498451398</v>
      </c>
      <c r="AD871" s="14">
        <v>0.171236623077998</v>
      </c>
      <c r="AE871" s="14">
        <v>0.30676525775435798</v>
      </c>
      <c r="AF871" s="14"/>
      <c r="AG871" s="14">
        <v>0.38514027451169902</v>
      </c>
      <c r="AH871" s="14">
        <v>0.139266441826328</v>
      </c>
      <c r="AI871" s="14"/>
      <c r="AJ871" s="14">
        <v>0.30802611624017601</v>
      </c>
      <c r="AK871" s="14">
        <v>0.125656531112283</v>
      </c>
      <c r="AL871" s="14"/>
      <c r="AM871" s="14">
        <v>0.33429877348547699</v>
      </c>
      <c r="AN871" s="14">
        <v>7.8503851347923606E-2</v>
      </c>
    </row>
    <row r="872" spans="2:40" x14ac:dyDescent="0.35">
      <c r="B872" t="s">
        <v>243</v>
      </c>
      <c r="C872" s="14">
        <v>0.54692096686767699</v>
      </c>
      <c r="D872" s="14">
        <v>0.51962816782903498</v>
      </c>
      <c r="E872" s="14">
        <v>0.57617699428242597</v>
      </c>
      <c r="F872" s="14"/>
      <c r="G872" s="14" t="s">
        <v>76</v>
      </c>
      <c r="H872" s="14" t="s">
        <v>76</v>
      </c>
      <c r="I872" s="14">
        <v>0.54692096686767699</v>
      </c>
      <c r="J872" s="14"/>
      <c r="K872" s="14" t="s">
        <v>76</v>
      </c>
      <c r="L872" s="14">
        <v>0.53732834507391303</v>
      </c>
      <c r="M872" s="14">
        <v>0.564003719422281</v>
      </c>
      <c r="N872" s="14"/>
      <c r="O872" s="14">
        <v>0.558417945250826</v>
      </c>
      <c r="P872" s="14">
        <v>0.51136836106456196</v>
      </c>
      <c r="Q872" s="14"/>
      <c r="R872" s="14">
        <v>0.48373691291055299</v>
      </c>
      <c r="S872" s="14">
        <v>0.57327997830288002</v>
      </c>
      <c r="T872" s="14">
        <v>0.57515931217526906</v>
      </c>
      <c r="U872" s="14">
        <v>0.496404102044329</v>
      </c>
      <c r="V872" s="14">
        <v>0.51285948789513702</v>
      </c>
      <c r="W872" s="14">
        <v>0.56631959887987304</v>
      </c>
      <c r="X872" s="14">
        <v>0.65745799758483603</v>
      </c>
      <c r="Y872" s="14">
        <v>0.488025551307807</v>
      </c>
      <c r="Z872" s="14">
        <v>0.58867462106733703</v>
      </c>
      <c r="AA872" s="14"/>
      <c r="AB872" s="14">
        <v>0.455221142856019</v>
      </c>
      <c r="AC872" s="14">
        <v>0.60589443668671805</v>
      </c>
      <c r="AD872" s="14">
        <v>0.56556695664872203</v>
      </c>
      <c r="AE872" s="14">
        <v>0.54620869110331205</v>
      </c>
      <c r="AF872" s="14"/>
      <c r="AG872" s="14">
        <v>0.48295923004269897</v>
      </c>
      <c r="AH872" s="14">
        <v>0.51487316441779896</v>
      </c>
      <c r="AI872" s="14"/>
      <c r="AJ872" s="14">
        <v>0.49296849438608198</v>
      </c>
      <c r="AK872" s="14">
        <v>0.64514340178327001</v>
      </c>
      <c r="AL872" s="14"/>
      <c r="AM872" s="14">
        <v>0.56409417653826799</v>
      </c>
      <c r="AN872" s="14">
        <v>0.466816013458491</v>
      </c>
    </row>
    <row r="873" spans="2:40" x14ac:dyDescent="0.35">
      <c r="B873" t="s">
        <v>244</v>
      </c>
      <c r="C873" s="14">
        <v>0.15260679734127</v>
      </c>
      <c r="D873" s="14">
        <v>0.15464972659609399</v>
      </c>
      <c r="E873" s="14">
        <v>0.150004976279146</v>
      </c>
      <c r="F873" s="14"/>
      <c r="G873" s="14" t="s">
        <v>76</v>
      </c>
      <c r="H873" s="14" t="s">
        <v>76</v>
      </c>
      <c r="I873" s="14">
        <v>0.15260679734127</v>
      </c>
      <c r="J873" s="14"/>
      <c r="K873" s="14" t="s">
        <v>76</v>
      </c>
      <c r="L873" s="14">
        <v>0.15746947669816699</v>
      </c>
      <c r="M873" s="14">
        <v>0.14394723064593201</v>
      </c>
      <c r="N873" s="14"/>
      <c r="O873" s="14">
        <v>0.15955574439116099</v>
      </c>
      <c r="P873" s="14">
        <v>8.5546100509668294E-2</v>
      </c>
      <c r="Q873" s="14"/>
      <c r="R873" s="14">
        <v>9.1426016530628096E-2</v>
      </c>
      <c r="S873" s="14">
        <v>0.13929340729711501</v>
      </c>
      <c r="T873" s="14">
        <v>0.170919176013962</v>
      </c>
      <c r="U873" s="14">
        <v>0.18642632452260599</v>
      </c>
      <c r="V873" s="14">
        <v>0.18579138724400701</v>
      </c>
      <c r="W873" s="14">
        <v>0.191428595579509</v>
      </c>
      <c r="X873" s="14">
        <v>0.18212636335433899</v>
      </c>
      <c r="Y873" s="14">
        <v>0.17791137813368499</v>
      </c>
      <c r="Z873" s="14">
        <v>0.134832742969863</v>
      </c>
      <c r="AA873" s="14"/>
      <c r="AB873" s="14">
        <v>0.27266629503621298</v>
      </c>
      <c r="AC873" s="14">
        <v>5.6455295245318698E-2</v>
      </c>
      <c r="AD873" s="14">
        <v>0.174225818166831</v>
      </c>
      <c r="AE873" s="14">
        <v>0.10554983007240799</v>
      </c>
      <c r="AF873" s="14"/>
      <c r="AG873" s="14">
        <v>0.12300471462580299</v>
      </c>
      <c r="AH873" s="14">
        <v>0.269472890418885</v>
      </c>
      <c r="AI873" s="14"/>
      <c r="AJ873" s="14">
        <v>0.16894197426214</v>
      </c>
      <c r="AK873" s="14">
        <v>0.11896723723022801</v>
      </c>
      <c r="AL873" s="14"/>
      <c r="AM873" s="14">
        <v>6.7995585683928397E-2</v>
      </c>
      <c r="AN873" s="14">
        <v>0.327387895323485</v>
      </c>
    </row>
    <row r="874" spans="2:40" x14ac:dyDescent="0.35">
      <c r="B874" t="s">
        <v>245</v>
      </c>
      <c r="C874" s="14">
        <v>2.7029726247958699E-2</v>
      </c>
      <c r="D874" s="14">
        <v>2.3684439949652001E-2</v>
      </c>
      <c r="E874" s="14">
        <v>3.0538567295659499E-2</v>
      </c>
      <c r="F874" s="14"/>
      <c r="G874" s="14" t="s">
        <v>76</v>
      </c>
      <c r="H874" s="14" t="s">
        <v>76</v>
      </c>
      <c r="I874" s="14">
        <v>2.7029726247958699E-2</v>
      </c>
      <c r="J874" s="14"/>
      <c r="K874" s="14" t="s">
        <v>76</v>
      </c>
      <c r="L874" s="14">
        <v>2.39903911468171E-2</v>
      </c>
      <c r="M874" s="14">
        <v>3.2442241259973602E-2</v>
      </c>
      <c r="N874" s="14"/>
      <c r="O874" s="14">
        <v>3.1312308666549903E-2</v>
      </c>
      <c r="P874" s="14">
        <v>0</v>
      </c>
      <c r="Q874" s="14"/>
      <c r="R874" s="14">
        <v>1.9602835271903402E-2</v>
      </c>
      <c r="S874" s="14">
        <v>2.5996610301586402E-2</v>
      </c>
      <c r="T874" s="14">
        <v>1.88650342240409E-2</v>
      </c>
      <c r="U874" s="14">
        <v>4.9118428230158398E-2</v>
      </c>
      <c r="V874" s="14">
        <v>4.4452772809038803E-2</v>
      </c>
      <c r="W874" s="14">
        <v>1.55032270500624E-2</v>
      </c>
      <c r="X874" s="14">
        <v>1.86599263250894E-2</v>
      </c>
      <c r="Y874" s="14">
        <v>3.9364830837333498E-2</v>
      </c>
      <c r="Z874" s="14">
        <v>2.2829214153300401E-2</v>
      </c>
      <c r="AA874" s="14"/>
      <c r="AB874" s="14">
        <v>6.2298543612696398E-2</v>
      </c>
      <c r="AC874" s="14">
        <v>0</v>
      </c>
      <c r="AD874" s="14">
        <v>4.5878987396192603E-2</v>
      </c>
      <c r="AE874" s="14">
        <v>2.0974015661942399E-2</v>
      </c>
      <c r="AF874" s="14"/>
      <c r="AG874" s="14">
        <v>0</v>
      </c>
      <c r="AH874" s="14">
        <v>1.4656195348057E-2</v>
      </c>
      <c r="AI874" s="14"/>
      <c r="AJ874" s="14">
        <v>4.5966671417803102E-3</v>
      </c>
      <c r="AK874" s="14">
        <v>6.4738341991264894E-2</v>
      </c>
      <c r="AL874" s="14"/>
      <c r="AM874" s="14">
        <v>1.6980104683779701E-3</v>
      </c>
      <c r="AN874" s="14">
        <v>7.4106974280558097E-2</v>
      </c>
    </row>
    <row r="875" spans="2:40" x14ac:dyDescent="0.35">
      <c r="B875" t="s">
        <v>70</v>
      </c>
      <c r="C875" s="14">
        <v>4.41940995352951E-2</v>
      </c>
      <c r="D875" s="14">
        <v>4.2827132536503998E-2</v>
      </c>
      <c r="E875" s="14">
        <v>4.5879466578526498E-2</v>
      </c>
      <c r="F875" s="14"/>
      <c r="G875" s="14" t="s">
        <v>76</v>
      </c>
      <c r="H875" s="14" t="s">
        <v>76</v>
      </c>
      <c r="I875" s="14">
        <v>4.41940995352951E-2</v>
      </c>
      <c r="J875" s="14"/>
      <c r="K875" s="14" t="s">
        <v>76</v>
      </c>
      <c r="L875" s="14">
        <v>4.6552696515980201E-2</v>
      </c>
      <c r="M875" s="14">
        <v>3.9993857988893801E-2</v>
      </c>
      <c r="N875" s="14"/>
      <c r="O875" s="14">
        <v>5.2229077705408002E-2</v>
      </c>
      <c r="P875" s="14">
        <v>7.4716944752273202E-3</v>
      </c>
      <c r="Q875" s="14"/>
      <c r="R875" s="14">
        <v>3.77776537748018E-2</v>
      </c>
      <c r="S875" s="14">
        <v>3.8959870651466597E-2</v>
      </c>
      <c r="T875" s="14">
        <v>9.7787145300490805E-2</v>
      </c>
      <c r="U875" s="14">
        <v>2.0122764269163301E-2</v>
      </c>
      <c r="V875" s="14">
        <v>3.3772279627255299E-2</v>
      </c>
      <c r="W875" s="14">
        <v>6.5451320644819094E-2</v>
      </c>
      <c r="X875" s="14">
        <v>0</v>
      </c>
      <c r="Y875" s="14">
        <v>8.9867365001829902E-2</v>
      </c>
      <c r="Z875" s="14">
        <v>3.6176061807479003E-2</v>
      </c>
      <c r="AA875" s="14"/>
      <c r="AB875" s="14">
        <v>1.6396946674453801E-2</v>
      </c>
      <c r="AC875" s="14">
        <v>6.4919530834488303E-3</v>
      </c>
      <c r="AD875" s="14">
        <v>4.3091614710256097E-2</v>
      </c>
      <c r="AE875" s="14">
        <v>2.0502205407979601E-2</v>
      </c>
      <c r="AF875" s="14"/>
      <c r="AG875" s="14">
        <v>8.8957808197979698E-3</v>
      </c>
      <c r="AH875" s="14">
        <v>6.1731307988930097E-2</v>
      </c>
      <c r="AI875" s="14"/>
      <c r="AJ875" s="14">
        <v>2.54667479698222E-2</v>
      </c>
      <c r="AK875" s="14">
        <v>4.5494487882954598E-2</v>
      </c>
      <c r="AL875" s="14"/>
      <c r="AM875" s="14">
        <v>3.19134538239478E-2</v>
      </c>
      <c r="AN875" s="14">
        <v>5.31852655895418E-2</v>
      </c>
    </row>
    <row r="876" spans="2:40" x14ac:dyDescent="0.35"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4"/>
      <c r="AB876" s="14"/>
      <c r="AC876" s="14"/>
      <c r="AD876" s="14"/>
      <c r="AE876" s="14"/>
      <c r="AF876" s="14"/>
      <c r="AG876" s="14"/>
      <c r="AH876" s="14"/>
      <c r="AI876" s="14"/>
      <c r="AJ876" s="14"/>
      <c r="AK876" s="14"/>
      <c r="AL876" s="14"/>
      <c r="AM876" s="14"/>
      <c r="AN876" s="14"/>
    </row>
    <row r="877" spans="2:40" x14ac:dyDescent="0.35">
      <c r="B877" s="6" t="s">
        <v>259</v>
      </c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14"/>
      <c r="AB877" s="14"/>
      <c r="AC877" s="14"/>
      <c r="AD877" s="14"/>
      <c r="AE877" s="14"/>
      <c r="AF877" s="14"/>
      <c r="AG877" s="14"/>
      <c r="AH877" s="14"/>
      <c r="AI877" s="14"/>
      <c r="AJ877" s="14"/>
      <c r="AK877" s="14"/>
      <c r="AL877" s="14"/>
      <c r="AM877" s="14"/>
      <c r="AN877" s="14"/>
    </row>
    <row r="878" spans="2:40" x14ac:dyDescent="0.35">
      <c r="B878" s="24" t="s">
        <v>74</v>
      </c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  <c r="AA878" s="14"/>
      <c r="AB878" s="14"/>
      <c r="AC878" s="14"/>
      <c r="AD878" s="14"/>
      <c r="AE878" s="14"/>
      <c r="AF878" s="14"/>
      <c r="AG878" s="14"/>
      <c r="AH878" s="14"/>
      <c r="AI878" s="14"/>
      <c r="AJ878" s="14"/>
      <c r="AK878" s="14"/>
      <c r="AL878" s="14"/>
      <c r="AM878" s="14"/>
      <c r="AN878" s="14"/>
    </row>
    <row r="879" spans="2:40" x14ac:dyDescent="0.35">
      <c r="B879" t="s">
        <v>44</v>
      </c>
      <c r="C879" s="14">
        <v>0.79077608427644297</v>
      </c>
      <c r="D879" s="14">
        <v>0.80239999416051699</v>
      </c>
      <c r="E879" s="14">
        <v>0.77986642708390597</v>
      </c>
      <c r="F879" s="14"/>
      <c r="G879" s="14" t="s">
        <v>76</v>
      </c>
      <c r="H879" s="14" t="s">
        <v>76</v>
      </c>
      <c r="I879" s="14">
        <v>0.79077608427644297</v>
      </c>
      <c r="J879" s="14"/>
      <c r="K879" s="14" t="s">
        <v>76</v>
      </c>
      <c r="L879" s="14">
        <v>0.77383514881229798</v>
      </c>
      <c r="M879" s="14">
        <v>0.82299326050000299</v>
      </c>
      <c r="N879" s="14"/>
      <c r="O879" s="14">
        <v>0.783958194916762</v>
      </c>
      <c r="P879" s="14">
        <v>0.85152874794571398</v>
      </c>
      <c r="Q879" s="14"/>
      <c r="R879" s="14">
        <v>0.84440827819014996</v>
      </c>
      <c r="S879" s="14">
        <v>0.76047212564672195</v>
      </c>
      <c r="T879" s="14">
        <v>0.82338334735310803</v>
      </c>
      <c r="U879" s="14">
        <v>0.79498250711449403</v>
      </c>
      <c r="V879" s="14">
        <v>0.76746516958292998</v>
      </c>
      <c r="W879" s="14">
        <v>0.84100474146596105</v>
      </c>
      <c r="X879" s="14">
        <v>0.69057001440745203</v>
      </c>
      <c r="Y879" s="14">
        <v>0.78245635559663196</v>
      </c>
      <c r="Z879" s="14">
        <v>0.79080445443424097</v>
      </c>
      <c r="AA879" s="14"/>
      <c r="AB879" s="14">
        <v>0.73593091025353796</v>
      </c>
      <c r="AC879" s="14">
        <v>0.84768128851552504</v>
      </c>
      <c r="AD879" s="14">
        <v>0.76121736393203698</v>
      </c>
      <c r="AE879" s="14">
        <v>0.93096637455722298</v>
      </c>
      <c r="AF879" s="14"/>
      <c r="AG879" s="14">
        <v>0.83744050828744998</v>
      </c>
      <c r="AH879" s="14">
        <v>0.80568442435557996</v>
      </c>
      <c r="AI879" s="14"/>
      <c r="AJ879" s="14">
        <v>0.82634175897657403</v>
      </c>
      <c r="AK879" s="14">
        <v>0.82843049567148996</v>
      </c>
      <c r="AL879" s="14"/>
      <c r="AM879" s="14">
        <v>0.81926228774232301</v>
      </c>
      <c r="AN879" s="14">
        <v>0.76087820804099904</v>
      </c>
    </row>
    <row r="880" spans="2:40" x14ac:dyDescent="0.35">
      <c r="B880" t="s">
        <v>45</v>
      </c>
      <c r="C880" s="14">
        <v>0.155365770584354</v>
      </c>
      <c r="D880" s="14">
        <v>0.136352435398747</v>
      </c>
      <c r="E880" s="14">
        <v>0.17258762929190199</v>
      </c>
      <c r="F880" s="14"/>
      <c r="G880" s="14" t="s">
        <v>76</v>
      </c>
      <c r="H880" s="14" t="s">
        <v>76</v>
      </c>
      <c r="I880" s="14">
        <v>0.155365770584354</v>
      </c>
      <c r="J880" s="14"/>
      <c r="K880" s="14" t="s">
        <v>76</v>
      </c>
      <c r="L880" s="14">
        <v>0.16718087042601401</v>
      </c>
      <c r="M880" s="14">
        <v>0.13289657728016199</v>
      </c>
      <c r="N880" s="14"/>
      <c r="O880" s="14">
        <v>0.16212720557843199</v>
      </c>
      <c r="P880" s="14">
        <v>0.107709179795068</v>
      </c>
      <c r="Q880" s="14"/>
      <c r="R880" s="14">
        <v>0.10635906829906699</v>
      </c>
      <c r="S880" s="14">
        <v>0.15657613338092699</v>
      </c>
      <c r="T880" s="14">
        <v>0.14975198387399</v>
      </c>
      <c r="U880" s="14">
        <v>0.144481198253233</v>
      </c>
      <c r="V880" s="14">
        <v>0.161064599154043</v>
      </c>
      <c r="W880" s="14">
        <v>0.10780290098376499</v>
      </c>
      <c r="X880" s="14">
        <v>0.25325524546558498</v>
      </c>
      <c r="Y880" s="14">
        <v>0.166450227722756</v>
      </c>
      <c r="Z880" s="14">
        <v>0.18250453630847299</v>
      </c>
      <c r="AA880" s="14"/>
      <c r="AB880" s="14">
        <v>0.224152714226348</v>
      </c>
      <c r="AC880" s="14">
        <v>0.111079206758394</v>
      </c>
      <c r="AD880" s="14">
        <v>0.177249031970346</v>
      </c>
      <c r="AE880" s="14">
        <v>4.37446844743982E-2</v>
      </c>
      <c r="AF880" s="14"/>
      <c r="AG880" s="14">
        <v>0.124255513793765</v>
      </c>
      <c r="AH880" s="14">
        <v>0.18396787217542401</v>
      </c>
      <c r="AI880" s="14"/>
      <c r="AJ880" s="14">
        <v>0.14512497924363199</v>
      </c>
      <c r="AK880" s="14">
        <v>0.1142894916607</v>
      </c>
      <c r="AL880" s="14"/>
      <c r="AM880" s="14">
        <v>0.14631579664364799</v>
      </c>
      <c r="AN880" s="14">
        <v>0.16319617639718501</v>
      </c>
    </row>
    <row r="881" spans="2:40" x14ac:dyDescent="0.35">
      <c r="B881" t="s">
        <v>70</v>
      </c>
      <c r="C881" s="14">
        <v>5.3858145139202999E-2</v>
      </c>
      <c r="D881" s="14">
        <v>6.12475704407369E-2</v>
      </c>
      <c r="E881" s="14">
        <v>4.7545943624192302E-2</v>
      </c>
      <c r="F881" s="14"/>
      <c r="G881" s="14" t="s">
        <v>76</v>
      </c>
      <c r="H881" s="14" t="s">
        <v>76</v>
      </c>
      <c r="I881" s="14">
        <v>5.3858145139202999E-2</v>
      </c>
      <c r="J881" s="14"/>
      <c r="K881" s="14" t="s">
        <v>76</v>
      </c>
      <c r="L881" s="14">
        <v>5.8983980761687801E-2</v>
      </c>
      <c r="M881" s="14">
        <v>4.4110162219835498E-2</v>
      </c>
      <c r="N881" s="14"/>
      <c r="O881" s="14">
        <v>5.3914599504805601E-2</v>
      </c>
      <c r="P881" s="14">
        <v>4.07620722592184E-2</v>
      </c>
      <c r="Q881" s="14"/>
      <c r="R881" s="14">
        <v>4.9232653510782501E-2</v>
      </c>
      <c r="S881" s="14">
        <v>8.2951740972351404E-2</v>
      </c>
      <c r="T881" s="14">
        <v>2.6864668772901199E-2</v>
      </c>
      <c r="U881" s="14">
        <v>6.0536294632273099E-2</v>
      </c>
      <c r="V881" s="14">
        <v>7.1470231263027401E-2</v>
      </c>
      <c r="W881" s="14">
        <v>5.1192357550273897E-2</v>
      </c>
      <c r="X881" s="14">
        <v>5.6174740126962497E-2</v>
      </c>
      <c r="Y881" s="14">
        <v>5.1093416680611403E-2</v>
      </c>
      <c r="Z881" s="14">
        <v>2.6691009257286E-2</v>
      </c>
      <c r="AA881" s="14"/>
      <c r="AB881" s="14">
        <v>3.9916375520114102E-2</v>
      </c>
      <c r="AC881" s="14">
        <v>4.1239504726081302E-2</v>
      </c>
      <c r="AD881" s="14">
        <v>6.1533604097616899E-2</v>
      </c>
      <c r="AE881" s="14">
        <v>2.5288940968379199E-2</v>
      </c>
      <c r="AF881" s="14"/>
      <c r="AG881" s="14">
        <v>3.83039779187841E-2</v>
      </c>
      <c r="AH881" s="14">
        <v>1.03477034689966E-2</v>
      </c>
      <c r="AI881" s="14"/>
      <c r="AJ881" s="14">
        <v>2.85332617797939E-2</v>
      </c>
      <c r="AK881" s="14">
        <v>5.7280012667809702E-2</v>
      </c>
      <c r="AL881" s="14"/>
      <c r="AM881" s="14">
        <v>3.4421915614027902E-2</v>
      </c>
      <c r="AN881" s="14">
        <v>7.5925615561815901E-2</v>
      </c>
    </row>
    <row r="882" spans="2:40" x14ac:dyDescent="0.35"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  <c r="AA882" s="14"/>
      <c r="AB882" s="14"/>
      <c r="AC882" s="14"/>
      <c r="AD882" s="14"/>
      <c r="AE882" s="14"/>
      <c r="AF882" s="14"/>
      <c r="AG882" s="14"/>
      <c r="AH882" s="14"/>
      <c r="AI882" s="14"/>
      <c r="AJ882" s="14"/>
      <c r="AK882" s="14"/>
      <c r="AL882" s="14"/>
      <c r="AM882" s="14"/>
      <c r="AN882" s="14"/>
    </row>
    <row r="883" spans="2:40" x14ac:dyDescent="0.35">
      <c r="B883" s="6" t="s">
        <v>260</v>
      </c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  <c r="AA883" s="14"/>
      <c r="AB883" s="14"/>
      <c r="AC883" s="14"/>
      <c r="AD883" s="14"/>
      <c r="AE883" s="14"/>
      <c r="AF883" s="14"/>
      <c r="AG883" s="14"/>
      <c r="AH883" s="14"/>
      <c r="AI883" s="14"/>
      <c r="AJ883" s="14"/>
      <c r="AK883" s="14"/>
      <c r="AL883" s="14"/>
      <c r="AM883" s="14"/>
      <c r="AN883" s="14"/>
    </row>
    <row r="884" spans="2:40" x14ac:dyDescent="0.35">
      <c r="B884" s="26" t="s">
        <v>395</v>
      </c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14"/>
      <c r="AB884" s="14"/>
      <c r="AC884" s="14"/>
      <c r="AD884" s="14"/>
      <c r="AE884" s="14"/>
      <c r="AF884" s="14"/>
      <c r="AG884" s="14"/>
      <c r="AH884" s="14"/>
      <c r="AI884" s="14"/>
      <c r="AJ884" s="14"/>
      <c r="AK884" s="14"/>
      <c r="AL884" s="14"/>
      <c r="AM884" s="14"/>
      <c r="AN884" s="14"/>
    </row>
    <row r="885" spans="2:40" x14ac:dyDescent="0.35">
      <c r="B885" t="s">
        <v>155</v>
      </c>
      <c r="C885" s="14">
        <v>0.14373580514161599</v>
      </c>
      <c r="D885" s="14">
        <v>0.153792031464526</v>
      </c>
      <c r="E885" s="14">
        <v>0.130012417128227</v>
      </c>
      <c r="F885" s="14"/>
      <c r="G885" s="14" t="s">
        <v>76</v>
      </c>
      <c r="H885" s="14" t="s">
        <v>76</v>
      </c>
      <c r="I885" s="14">
        <v>0.14373580514161599</v>
      </c>
      <c r="J885" s="14"/>
      <c r="K885" s="14" t="s">
        <v>76</v>
      </c>
      <c r="L885" s="14">
        <v>0.134729483171286</v>
      </c>
      <c r="M885" s="14">
        <v>0.15984039713945</v>
      </c>
      <c r="N885" s="14"/>
      <c r="O885" s="14">
        <v>0.124265127089671</v>
      </c>
      <c r="P885" s="14">
        <v>0.24641444498547099</v>
      </c>
      <c r="Q885" s="14"/>
      <c r="R885" s="14">
        <v>0.18347068264132901</v>
      </c>
      <c r="S885" s="14">
        <v>0.10001467420610299</v>
      </c>
      <c r="T885" s="14">
        <v>0.16111118449386999</v>
      </c>
      <c r="U885" s="14">
        <v>0.128648022341045</v>
      </c>
      <c r="V885" s="14">
        <v>0.15598879569094601</v>
      </c>
      <c r="W885" s="14">
        <v>0.15338470717393399</v>
      </c>
      <c r="X885" s="14">
        <v>0.145918239809984</v>
      </c>
      <c r="Y885" s="14">
        <v>0.11427447918677699</v>
      </c>
      <c r="Z885" s="14">
        <v>0.14089053559240999</v>
      </c>
      <c r="AA885" s="14"/>
      <c r="AB885" s="14">
        <v>0.105808438983441</v>
      </c>
      <c r="AC885" s="14">
        <v>0.19715625125313199</v>
      </c>
      <c r="AD885" s="14">
        <v>0.14206036911914599</v>
      </c>
      <c r="AE885" s="14">
        <v>0.18586440241480501</v>
      </c>
      <c r="AF885" s="14"/>
      <c r="AG885" s="14">
        <v>0.26770086893274497</v>
      </c>
      <c r="AH885" s="14">
        <v>0.173717233337359</v>
      </c>
      <c r="AI885" s="14"/>
      <c r="AJ885" s="14">
        <v>0.235674728074482</v>
      </c>
      <c r="AK885" s="14">
        <v>8.3778088634924502E-2</v>
      </c>
      <c r="AL885" s="14"/>
      <c r="AM885" s="14">
        <v>0.20937557087582001</v>
      </c>
      <c r="AN885" s="14">
        <v>8.5394665459276403E-2</v>
      </c>
    </row>
    <row r="886" spans="2:40" x14ac:dyDescent="0.35">
      <c r="B886" t="s">
        <v>156</v>
      </c>
      <c r="C886" s="14">
        <v>0.57654459311383799</v>
      </c>
      <c r="D886" s="14">
        <v>0.57235154814966005</v>
      </c>
      <c r="E886" s="14">
        <v>0.58556009759027405</v>
      </c>
      <c r="F886" s="14"/>
      <c r="G886" s="14" t="s">
        <v>76</v>
      </c>
      <c r="H886" s="14" t="s">
        <v>76</v>
      </c>
      <c r="I886" s="14">
        <v>0.57654459311383799</v>
      </c>
      <c r="J886" s="14"/>
      <c r="K886" s="14" t="s">
        <v>76</v>
      </c>
      <c r="L886" s="14">
        <v>0.59427657111999299</v>
      </c>
      <c r="M886" s="14">
        <v>0.54483727995709896</v>
      </c>
      <c r="N886" s="14"/>
      <c r="O886" s="14">
        <v>0.58482093645530597</v>
      </c>
      <c r="P886" s="14">
        <v>0.56402494956724103</v>
      </c>
      <c r="Q886" s="14"/>
      <c r="R886" s="14">
        <v>0.58083311677551996</v>
      </c>
      <c r="S886" s="14">
        <v>0.61068335712797295</v>
      </c>
      <c r="T886" s="14">
        <v>0.60542092453375895</v>
      </c>
      <c r="U886" s="14">
        <v>0.57327158383975496</v>
      </c>
      <c r="V886" s="14">
        <v>0.55760397908118198</v>
      </c>
      <c r="W886" s="14">
        <v>0.57907779805714599</v>
      </c>
      <c r="X886" s="14">
        <v>0.50823181332246004</v>
      </c>
      <c r="Y886" s="14">
        <v>0.51742105023076301</v>
      </c>
      <c r="Z886" s="14">
        <v>0.58716019332394997</v>
      </c>
      <c r="AA886" s="14"/>
      <c r="AB886" s="14">
        <v>0.63730659335295503</v>
      </c>
      <c r="AC886" s="14">
        <v>0.63886275105443802</v>
      </c>
      <c r="AD886" s="14">
        <v>0.56136775370996705</v>
      </c>
      <c r="AE886" s="14">
        <v>0.55155840810281798</v>
      </c>
      <c r="AF886" s="14"/>
      <c r="AG886" s="14">
        <v>0.56047475243386602</v>
      </c>
      <c r="AH886" s="14">
        <v>0.51507584482795099</v>
      </c>
      <c r="AI886" s="14"/>
      <c r="AJ886" s="14">
        <v>0.54500448677977098</v>
      </c>
      <c r="AK886" s="14">
        <v>0.56190830869963804</v>
      </c>
      <c r="AL886" s="14"/>
      <c r="AM886" s="14">
        <v>0.57661794478060102</v>
      </c>
      <c r="AN886" s="14">
        <v>0.51366237416451099</v>
      </c>
    </row>
    <row r="887" spans="2:40" x14ac:dyDescent="0.35">
      <c r="B887" t="s">
        <v>157</v>
      </c>
      <c r="C887" s="14">
        <v>0.22248060061963401</v>
      </c>
      <c r="D887" s="14">
        <v>0.225045398317201</v>
      </c>
      <c r="E887" s="14">
        <v>0.21875193968843601</v>
      </c>
      <c r="F887" s="14"/>
      <c r="G887" s="14" t="s">
        <v>76</v>
      </c>
      <c r="H887" s="14" t="s">
        <v>76</v>
      </c>
      <c r="I887" s="14">
        <v>0.22248060061963401</v>
      </c>
      <c r="J887" s="14"/>
      <c r="K887" s="14" t="s">
        <v>76</v>
      </c>
      <c r="L887" s="14">
        <v>0.21239168312463799</v>
      </c>
      <c r="M887" s="14">
        <v>0.24052102827611399</v>
      </c>
      <c r="N887" s="14"/>
      <c r="O887" s="14">
        <v>0.22872438936550701</v>
      </c>
      <c r="P887" s="14">
        <v>0.17102075023555599</v>
      </c>
      <c r="Q887" s="14"/>
      <c r="R887" s="14">
        <v>0.19770414306914799</v>
      </c>
      <c r="S887" s="14">
        <v>0.232328707993812</v>
      </c>
      <c r="T887" s="14">
        <v>0.17989473144551199</v>
      </c>
      <c r="U887" s="14">
        <v>0.23864798065731899</v>
      </c>
      <c r="V887" s="14">
        <v>0.22842268417791001</v>
      </c>
      <c r="W887" s="14">
        <v>0.18315467674511901</v>
      </c>
      <c r="X887" s="14">
        <v>0.31158702392008603</v>
      </c>
      <c r="Y887" s="14">
        <v>0.28449782552554398</v>
      </c>
      <c r="Z887" s="14">
        <v>0.20750344944671201</v>
      </c>
      <c r="AA887" s="14"/>
      <c r="AB887" s="14">
        <v>0.232111790236601</v>
      </c>
      <c r="AC887" s="14">
        <v>0.148201710054854</v>
      </c>
      <c r="AD887" s="14">
        <v>0.241255765151417</v>
      </c>
      <c r="AE887" s="14">
        <v>0.22264162531047599</v>
      </c>
      <c r="AF887" s="14"/>
      <c r="AG887" s="14">
        <v>0.15834675761906</v>
      </c>
      <c r="AH887" s="14">
        <v>0.24388448431763901</v>
      </c>
      <c r="AI887" s="14"/>
      <c r="AJ887" s="14">
        <v>0.187494845651513</v>
      </c>
      <c r="AK887" s="14">
        <v>0.28823435520540203</v>
      </c>
      <c r="AL887" s="14"/>
      <c r="AM887" s="14">
        <v>0.17848795540631199</v>
      </c>
      <c r="AN887" s="14">
        <v>0.29520299353485802</v>
      </c>
    </row>
    <row r="888" spans="2:40" x14ac:dyDescent="0.35">
      <c r="B888" t="s">
        <v>158</v>
      </c>
      <c r="C888" s="14">
        <v>4.3831306772887997E-2</v>
      </c>
      <c r="D888" s="14">
        <v>3.91071302178818E-2</v>
      </c>
      <c r="E888" s="14">
        <v>4.8663554040847101E-2</v>
      </c>
      <c r="F888" s="14"/>
      <c r="G888" s="14" t="s">
        <v>76</v>
      </c>
      <c r="H888" s="14" t="s">
        <v>76</v>
      </c>
      <c r="I888" s="14">
        <v>4.3831306772887997E-2</v>
      </c>
      <c r="J888" s="14"/>
      <c r="K888" s="14" t="s">
        <v>76</v>
      </c>
      <c r="L888" s="14">
        <v>4.56796479759803E-2</v>
      </c>
      <c r="M888" s="14">
        <v>4.0526208304651097E-2</v>
      </c>
      <c r="N888" s="14"/>
      <c r="O888" s="14">
        <v>4.6960358187468E-2</v>
      </c>
      <c r="P888" s="14">
        <v>1.30871603468389E-2</v>
      </c>
      <c r="Q888" s="14"/>
      <c r="R888" s="14">
        <v>2.4863750739404999E-2</v>
      </c>
      <c r="S888" s="14">
        <v>2.5609417603323099E-2</v>
      </c>
      <c r="T888" s="14">
        <v>4.4287443931184098E-2</v>
      </c>
      <c r="U888" s="14">
        <v>5.9432413161881303E-2</v>
      </c>
      <c r="V888" s="14">
        <v>5.7984541049962597E-2</v>
      </c>
      <c r="W888" s="14">
        <v>7.6954516537215301E-2</v>
      </c>
      <c r="X888" s="14">
        <v>3.4262922947470402E-2</v>
      </c>
      <c r="Y888" s="14">
        <v>4.6383967841534403E-2</v>
      </c>
      <c r="Z888" s="14">
        <v>4.7350434073616297E-2</v>
      </c>
      <c r="AA888" s="14"/>
      <c r="AB888" s="14">
        <v>7.4918105110507501E-3</v>
      </c>
      <c r="AC888" s="14">
        <v>8.2092800200575505E-3</v>
      </c>
      <c r="AD888" s="14">
        <v>5.0663090935716797E-2</v>
      </c>
      <c r="AE888" s="14">
        <v>2.5999987942974902E-2</v>
      </c>
      <c r="AF888" s="14"/>
      <c r="AG888" s="14">
        <v>1.34776210143293E-2</v>
      </c>
      <c r="AH888" s="14">
        <v>6.7322437517050998E-2</v>
      </c>
      <c r="AI888" s="14"/>
      <c r="AJ888" s="14">
        <v>3.18259394942342E-2</v>
      </c>
      <c r="AK888" s="14">
        <v>4.92847797791846E-2</v>
      </c>
      <c r="AL888" s="14"/>
      <c r="AM888" s="14">
        <v>3.2331002553029398E-2</v>
      </c>
      <c r="AN888" s="14">
        <v>6.8843260438607098E-2</v>
      </c>
    </row>
    <row r="889" spans="2:40" x14ac:dyDescent="0.35">
      <c r="B889" t="s">
        <v>70</v>
      </c>
      <c r="C889" s="14">
        <v>1.34076943520234E-2</v>
      </c>
      <c r="D889" s="14">
        <v>9.7038918507310595E-3</v>
      </c>
      <c r="E889" s="14">
        <v>1.7011991552216599E-2</v>
      </c>
      <c r="F889" s="14"/>
      <c r="G889" s="14" t="s">
        <v>76</v>
      </c>
      <c r="H889" s="14" t="s">
        <v>76</v>
      </c>
      <c r="I889" s="14">
        <v>1.34076943520234E-2</v>
      </c>
      <c r="J889" s="14"/>
      <c r="K889" s="14" t="s">
        <v>76</v>
      </c>
      <c r="L889" s="14">
        <v>1.2922614608102401E-2</v>
      </c>
      <c r="M889" s="14">
        <v>1.4275086322685499E-2</v>
      </c>
      <c r="N889" s="14"/>
      <c r="O889" s="14">
        <v>1.5229188902048101E-2</v>
      </c>
      <c r="P889" s="14">
        <v>5.4526948648935102E-3</v>
      </c>
      <c r="Q889" s="14"/>
      <c r="R889" s="14">
        <v>1.3128306774597301E-2</v>
      </c>
      <c r="S889" s="14">
        <v>3.1363843068788699E-2</v>
      </c>
      <c r="T889" s="14">
        <v>9.2857155956748896E-3</v>
      </c>
      <c r="U889" s="14">
        <v>0</v>
      </c>
      <c r="V889" s="14">
        <v>0</v>
      </c>
      <c r="W889" s="14">
        <v>7.4283014865850596E-3</v>
      </c>
      <c r="X889" s="14">
        <v>0</v>
      </c>
      <c r="Y889" s="14">
        <v>3.74226772153805E-2</v>
      </c>
      <c r="Z889" s="14">
        <v>1.7095387563311901E-2</v>
      </c>
      <c r="AA889" s="14"/>
      <c r="AB889" s="14">
        <v>1.72813669159518E-2</v>
      </c>
      <c r="AC889" s="14">
        <v>7.5700076175174201E-3</v>
      </c>
      <c r="AD889" s="14">
        <v>4.6530210837531097E-3</v>
      </c>
      <c r="AE889" s="14">
        <v>1.39355762289264E-2</v>
      </c>
      <c r="AF889" s="14"/>
      <c r="AG889" s="14">
        <v>0</v>
      </c>
      <c r="AH889" s="14">
        <v>0</v>
      </c>
      <c r="AI889" s="14"/>
      <c r="AJ889" s="14">
        <v>0</v>
      </c>
      <c r="AK889" s="14">
        <v>1.67944676808508E-2</v>
      </c>
      <c r="AL889" s="14"/>
      <c r="AM889" s="14">
        <v>3.1875263842382701E-3</v>
      </c>
      <c r="AN889" s="14">
        <v>3.6896706402748003E-2</v>
      </c>
    </row>
    <row r="890" spans="2:40" x14ac:dyDescent="0.35"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4"/>
      <c r="AC890" s="14"/>
      <c r="AD890" s="14"/>
      <c r="AE890" s="14"/>
      <c r="AF890" s="14"/>
      <c r="AG890" s="14"/>
      <c r="AH890" s="14"/>
      <c r="AI890" s="14"/>
      <c r="AJ890" s="14"/>
      <c r="AK890" s="14"/>
      <c r="AL890" s="14"/>
      <c r="AM890" s="14"/>
      <c r="AN890" s="14"/>
    </row>
    <row r="891" spans="2:40" x14ac:dyDescent="0.35">
      <c r="B891" s="6" t="s">
        <v>262</v>
      </c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14"/>
      <c r="AB891" s="14"/>
      <c r="AC891" s="14"/>
      <c r="AD891" s="14"/>
      <c r="AE891" s="14"/>
      <c r="AF891" s="14"/>
      <c r="AG891" s="14"/>
      <c r="AH891" s="14"/>
      <c r="AI891" s="14"/>
      <c r="AJ891" s="14"/>
      <c r="AK891" s="14"/>
      <c r="AL891" s="14"/>
      <c r="AM891" s="14"/>
      <c r="AN891" s="14"/>
    </row>
    <row r="892" spans="2:40" x14ac:dyDescent="0.35">
      <c r="B892" s="26" t="s">
        <v>395</v>
      </c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  <c r="AA892" s="14"/>
      <c r="AB892" s="14"/>
      <c r="AC892" s="14"/>
      <c r="AD892" s="14"/>
      <c r="AE892" s="14"/>
      <c r="AF892" s="14"/>
      <c r="AG892" s="14"/>
      <c r="AH892" s="14"/>
      <c r="AI892" s="14"/>
      <c r="AJ892" s="14"/>
      <c r="AK892" s="14"/>
      <c r="AL892" s="14"/>
      <c r="AM892" s="14"/>
      <c r="AN892" s="14"/>
    </row>
    <row r="893" spans="2:40" x14ac:dyDescent="0.35">
      <c r="B893" t="s">
        <v>160</v>
      </c>
      <c r="C893" s="14">
        <v>0.147916856604525</v>
      </c>
      <c r="D893" s="14">
        <v>0.14326666342967101</v>
      </c>
      <c r="E893" s="14">
        <v>0.14983554526399601</v>
      </c>
      <c r="F893" s="14"/>
      <c r="G893" s="14" t="s">
        <v>76</v>
      </c>
      <c r="H893" s="14" t="s">
        <v>76</v>
      </c>
      <c r="I893" s="14">
        <v>0.147916856604525</v>
      </c>
      <c r="J893" s="14"/>
      <c r="K893" s="14" t="s">
        <v>76</v>
      </c>
      <c r="L893" s="14">
        <v>0.14923717067917999</v>
      </c>
      <c r="M893" s="14">
        <v>0.145555946173901</v>
      </c>
      <c r="N893" s="14"/>
      <c r="O893" s="14">
        <v>0.12467486109921599</v>
      </c>
      <c r="P893" s="14">
        <v>0.27121390583053601</v>
      </c>
      <c r="Q893" s="14"/>
      <c r="R893" s="14">
        <v>0.17915910767770199</v>
      </c>
      <c r="S893" s="14">
        <v>0.13947215977824801</v>
      </c>
      <c r="T893" s="14">
        <v>0.14110567335275701</v>
      </c>
      <c r="U893" s="14">
        <v>8.7154888955582197E-2</v>
      </c>
      <c r="V893" s="14">
        <v>0.13850841165758601</v>
      </c>
      <c r="W893" s="14">
        <v>0.118333290206694</v>
      </c>
      <c r="X893" s="14">
        <v>0.16693137114148399</v>
      </c>
      <c r="Y893" s="14">
        <v>0.180638138628679</v>
      </c>
      <c r="Z893" s="14">
        <v>0.17473245975079699</v>
      </c>
      <c r="AA893" s="14"/>
      <c r="AB893" s="14">
        <v>7.9958796751823394E-2</v>
      </c>
      <c r="AC893" s="14">
        <v>0.26572478614953099</v>
      </c>
      <c r="AD893" s="14">
        <v>0.114822553252782</v>
      </c>
      <c r="AE893" s="14">
        <v>0.168289713352402</v>
      </c>
      <c r="AF893" s="14"/>
      <c r="AG893" s="14">
        <v>0.29255712130197398</v>
      </c>
      <c r="AH893" s="14">
        <v>6.6443909006212706E-2</v>
      </c>
      <c r="AI893" s="14"/>
      <c r="AJ893" s="14">
        <v>0.21550611618791099</v>
      </c>
      <c r="AK893" s="14">
        <v>6.9389106432313802E-2</v>
      </c>
      <c r="AL893" s="14"/>
      <c r="AM893" s="14">
        <v>0.246606127270104</v>
      </c>
      <c r="AN893" s="14">
        <v>3.7958905300269297E-2</v>
      </c>
    </row>
    <row r="894" spans="2:40" x14ac:dyDescent="0.35">
      <c r="B894" t="s">
        <v>161</v>
      </c>
      <c r="C894" s="14">
        <v>0.551497012036819</v>
      </c>
      <c r="D894" s="14">
        <v>0.56082013456262603</v>
      </c>
      <c r="E894" s="14">
        <v>0.54412409633268799</v>
      </c>
      <c r="F894" s="14"/>
      <c r="G894" s="14" t="s">
        <v>76</v>
      </c>
      <c r="H894" s="14" t="s">
        <v>76</v>
      </c>
      <c r="I894" s="14">
        <v>0.551497012036819</v>
      </c>
      <c r="J894" s="14"/>
      <c r="K894" s="14" t="s">
        <v>76</v>
      </c>
      <c r="L894" s="14">
        <v>0.55174093391912304</v>
      </c>
      <c r="M894" s="14">
        <v>0.55106084481930395</v>
      </c>
      <c r="N894" s="14"/>
      <c r="O894" s="14">
        <v>0.55050423471468701</v>
      </c>
      <c r="P894" s="14">
        <v>0.57510980044488502</v>
      </c>
      <c r="Q894" s="14"/>
      <c r="R894" s="14">
        <v>0.61354358089040995</v>
      </c>
      <c r="S894" s="14">
        <v>0.57342802930793502</v>
      </c>
      <c r="T894" s="14">
        <v>0.44912130597050998</v>
      </c>
      <c r="U894" s="14">
        <v>0.54931708502216303</v>
      </c>
      <c r="V894" s="14">
        <v>0.49716683527279498</v>
      </c>
      <c r="W894" s="14">
        <v>0.57455579408694801</v>
      </c>
      <c r="X894" s="14">
        <v>0.53631744641832102</v>
      </c>
      <c r="Y894" s="14">
        <v>0.53587187274827297</v>
      </c>
      <c r="Z894" s="14">
        <v>0.55140609206122104</v>
      </c>
      <c r="AA894" s="14"/>
      <c r="AB894" s="14">
        <v>0.56970403967352001</v>
      </c>
      <c r="AC894" s="14">
        <v>0.585830027400286</v>
      </c>
      <c r="AD894" s="14">
        <v>0.52887404163223595</v>
      </c>
      <c r="AE894" s="14">
        <v>0.64893154652970397</v>
      </c>
      <c r="AF894" s="14"/>
      <c r="AG894" s="14">
        <v>0.58996831243785497</v>
      </c>
      <c r="AH894" s="14">
        <v>0.352322884954819</v>
      </c>
      <c r="AI894" s="14"/>
      <c r="AJ894" s="14">
        <v>0.50898755566377396</v>
      </c>
      <c r="AK894" s="14">
        <v>0.60884905997252703</v>
      </c>
      <c r="AL894" s="14"/>
      <c r="AM894" s="14">
        <v>0.62453387739997201</v>
      </c>
      <c r="AN894" s="14">
        <v>0.35015745299101197</v>
      </c>
    </row>
    <row r="895" spans="2:40" x14ac:dyDescent="0.35">
      <c r="B895" t="s">
        <v>162</v>
      </c>
      <c r="C895" s="14">
        <v>0.24084588804224999</v>
      </c>
      <c r="D895" s="14">
        <v>0.24038149610182999</v>
      </c>
      <c r="E895" s="14">
        <v>0.24181338469397001</v>
      </c>
      <c r="F895" s="14"/>
      <c r="G895" s="14" t="s">
        <v>76</v>
      </c>
      <c r="H895" s="14" t="s">
        <v>76</v>
      </c>
      <c r="I895" s="14">
        <v>0.24084588804224999</v>
      </c>
      <c r="J895" s="14"/>
      <c r="K895" s="14" t="s">
        <v>76</v>
      </c>
      <c r="L895" s="14">
        <v>0.243289592905713</v>
      </c>
      <c r="M895" s="14">
        <v>0.23647619418511001</v>
      </c>
      <c r="N895" s="14"/>
      <c r="O895" s="14">
        <v>0.256494226692349</v>
      </c>
      <c r="P895" s="14">
        <v>0.146783858888136</v>
      </c>
      <c r="Q895" s="14"/>
      <c r="R895" s="14">
        <v>0.14635056993571699</v>
      </c>
      <c r="S895" s="14">
        <v>0.23885893116176601</v>
      </c>
      <c r="T895" s="14">
        <v>0.33478540095439802</v>
      </c>
      <c r="U895" s="14">
        <v>0.311329429545803</v>
      </c>
      <c r="V895" s="14">
        <v>0.34010485656172201</v>
      </c>
      <c r="W895" s="14">
        <v>0.25711231368610699</v>
      </c>
      <c r="X895" s="14">
        <v>0.21186080005288199</v>
      </c>
      <c r="Y895" s="14">
        <v>0.14725512041639999</v>
      </c>
      <c r="Z895" s="14">
        <v>0.22266839100065799</v>
      </c>
      <c r="AA895" s="14"/>
      <c r="AB895" s="14">
        <v>0.300326903661714</v>
      </c>
      <c r="AC895" s="14">
        <v>0.112509750113073</v>
      </c>
      <c r="AD895" s="14">
        <v>0.28394706507994499</v>
      </c>
      <c r="AE895" s="14">
        <v>0.14161614459652999</v>
      </c>
      <c r="AF895" s="14"/>
      <c r="AG895" s="14">
        <v>9.1324615398787501E-2</v>
      </c>
      <c r="AH895" s="14">
        <v>0.433814274613951</v>
      </c>
      <c r="AI895" s="14"/>
      <c r="AJ895" s="14">
        <v>0.20803240180263399</v>
      </c>
      <c r="AK895" s="14">
        <v>0.27388527892833497</v>
      </c>
      <c r="AL895" s="14"/>
      <c r="AM895" s="14">
        <v>0.117640865463807</v>
      </c>
      <c r="AN895" s="14">
        <v>0.448351515376193</v>
      </c>
    </row>
    <row r="896" spans="2:40" x14ac:dyDescent="0.35">
      <c r="B896" t="s">
        <v>163</v>
      </c>
      <c r="C896" s="14">
        <v>5.3713872864755201E-2</v>
      </c>
      <c r="D896" s="14">
        <v>5.55317059058726E-2</v>
      </c>
      <c r="E896" s="14">
        <v>5.2474940417966902E-2</v>
      </c>
      <c r="F896" s="14"/>
      <c r="G896" s="14" t="s">
        <v>76</v>
      </c>
      <c r="H896" s="14" t="s">
        <v>76</v>
      </c>
      <c r="I896" s="14">
        <v>5.3713872864755201E-2</v>
      </c>
      <c r="J896" s="14"/>
      <c r="K896" s="14" t="s">
        <v>76</v>
      </c>
      <c r="L896" s="14">
        <v>4.9501487676249199E-2</v>
      </c>
      <c r="M896" s="14">
        <v>6.1246220145042003E-2</v>
      </c>
      <c r="N896" s="14"/>
      <c r="O896" s="14">
        <v>6.3671640495512397E-2</v>
      </c>
      <c r="P896" s="14">
        <v>0</v>
      </c>
      <c r="Q896" s="14"/>
      <c r="R896" s="14">
        <v>4.8564741472185702E-2</v>
      </c>
      <c r="S896" s="14">
        <v>4.8240879752051498E-2</v>
      </c>
      <c r="T896" s="14">
        <v>6.3909106335343302E-2</v>
      </c>
      <c r="U896" s="14">
        <v>5.2198596476452003E-2</v>
      </c>
      <c r="V896" s="14">
        <v>2.4219896507896899E-2</v>
      </c>
      <c r="W896" s="14">
        <v>4.9998602020251401E-2</v>
      </c>
      <c r="X896" s="14">
        <v>8.4890382387313001E-2</v>
      </c>
      <c r="Y896" s="14">
        <v>9.8812190991266799E-2</v>
      </c>
      <c r="Z896" s="14">
        <v>4.5290429337374899E-2</v>
      </c>
      <c r="AA896" s="14"/>
      <c r="AB896" s="14">
        <v>5.0010259912942098E-2</v>
      </c>
      <c r="AC896" s="14">
        <v>3.59354363371093E-2</v>
      </c>
      <c r="AD896" s="14">
        <v>7.2356340035036895E-2</v>
      </c>
      <c r="AE896" s="14">
        <v>2.72270192924376E-2</v>
      </c>
      <c r="AF896" s="14"/>
      <c r="AG896" s="14">
        <v>2.6149950861384198E-2</v>
      </c>
      <c r="AH896" s="14">
        <v>0.147418931425017</v>
      </c>
      <c r="AI896" s="14"/>
      <c r="AJ896" s="14">
        <v>6.7473926345681196E-2</v>
      </c>
      <c r="AK896" s="14">
        <v>3.5968959461878898E-2</v>
      </c>
      <c r="AL896" s="14"/>
      <c r="AM896" s="14">
        <v>9.6432926161835898E-3</v>
      </c>
      <c r="AN896" s="14">
        <v>0.15924858174012299</v>
      </c>
    </row>
    <row r="897" spans="2:40" x14ac:dyDescent="0.35">
      <c r="B897" t="s">
        <v>70</v>
      </c>
      <c r="C897" s="14">
        <v>6.0263704516507997E-3</v>
      </c>
      <c r="D897" s="14">
        <v>0</v>
      </c>
      <c r="E897" s="14">
        <v>1.17520332913786E-2</v>
      </c>
      <c r="F897" s="14"/>
      <c r="G897" s="14" t="s">
        <v>76</v>
      </c>
      <c r="H897" s="14" t="s">
        <v>76</v>
      </c>
      <c r="I897" s="14">
        <v>6.0263704516507997E-3</v>
      </c>
      <c r="J897" s="14"/>
      <c r="K897" s="14" t="s">
        <v>76</v>
      </c>
      <c r="L897" s="14">
        <v>6.2308148197358099E-3</v>
      </c>
      <c r="M897" s="14">
        <v>5.6607946766440197E-3</v>
      </c>
      <c r="N897" s="14"/>
      <c r="O897" s="14">
        <v>4.6550369982364202E-3</v>
      </c>
      <c r="P897" s="14">
        <v>6.8924348364426402E-3</v>
      </c>
      <c r="Q897" s="14"/>
      <c r="R897" s="14">
        <v>1.2382000023985699E-2</v>
      </c>
      <c r="S897" s="14">
        <v>0</v>
      </c>
      <c r="T897" s="14">
        <v>1.1078513386992001E-2</v>
      </c>
      <c r="U897" s="14">
        <v>0</v>
      </c>
      <c r="V897" s="14">
        <v>0</v>
      </c>
      <c r="W897" s="14">
        <v>0</v>
      </c>
      <c r="X897" s="14">
        <v>0</v>
      </c>
      <c r="Y897" s="14">
        <v>3.74226772153805E-2</v>
      </c>
      <c r="Z897" s="14">
        <v>5.90262784994858E-3</v>
      </c>
      <c r="AA897" s="14"/>
      <c r="AB897" s="14">
        <v>0</v>
      </c>
      <c r="AC897" s="14">
        <v>0</v>
      </c>
      <c r="AD897" s="14">
        <v>0</v>
      </c>
      <c r="AE897" s="14">
        <v>1.39355762289264E-2</v>
      </c>
      <c r="AF897" s="14"/>
      <c r="AG897" s="14">
        <v>0</v>
      </c>
      <c r="AH897" s="14">
        <v>0</v>
      </c>
      <c r="AI897" s="14"/>
      <c r="AJ897" s="14">
        <v>0</v>
      </c>
      <c r="AK897" s="14">
        <v>1.1907595204945E-2</v>
      </c>
      <c r="AL897" s="14"/>
      <c r="AM897" s="14">
        <v>1.5758372499337101E-3</v>
      </c>
      <c r="AN897" s="14">
        <v>4.2835445924021501E-3</v>
      </c>
    </row>
    <row r="898" spans="2:40" x14ac:dyDescent="0.35">
      <c r="B898" t="s">
        <v>164</v>
      </c>
      <c r="C898" s="14">
        <v>0.69941386864134403</v>
      </c>
      <c r="D898" s="14">
        <v>0.70408679799229701</v>
      </c>
      <c r="E898" s="14">
        <v>0.693959641596684</v>
      </c>
      <c r="F898" s="14"/>
      <c r="G898" s="14" t="s">
        <v>76</v>
      </c>
      <c r="H898" s="14" t="s">
        <v>76</v>
      </c>
      <c r="I898" s="14">
        <v>0.69941386864134403</v>
      </c>
      <c r="J898" s="14"/>
      <c r="K898" s="14" t="s">
        <v>76</v>
      </c>
      <c r="L898" s="14">
        <v>0.70097810459830201</v>
      </c>
      <c r="M898" s="14">
        <v>0.69661679099320395</v>
      </c>
      <c r="N898" s="14"/>
      <c r="O898" s="14">
        <v>0.67517909581390201</v>
      </c>
      <c r="P898" s="14">
        <v>0.84632370627542097</v>
      </c>
      <c r="Q898" s="14"/>
      <c r="R898" s="14">
        <v>0.79270268856811199</v>
      </c>
      <c r="S898" s="14">
        <v>0.71290018908618202</v>
      </c>
      <c r="T898" s="14">
        <v>0.59022697932326695</v>
      </c>
      <c r="U898" s="14">
        <v>0.63647197397774502</v>
      </c>
      <c r="V898" s="14">
        <v>0.63567524693038102</v>
      </c>
      <c r="W898" s="14">
        <v>0.69288908429364204</v>
      </c>
      <c r="X898" s="14">
        <v>0.70324881755980495</v>
      </c>
      <c r="Y898" s="14">
        <v>0.71651001137695203</v>
      </c>
      <c r="Z898" s="14">
        <v>0.72613855181201903</v>
      </c>
      <c r="AA898" s="14"/>
      <c r="AB898" s="14">
        <v>0.64966283642534395</v>
      </c>
      <c r="AC898" s="14">
        <v>0.85155481354981799</v>
      </c>
      <c r="AD898" s="14">
        <v>0.64369659488501796</v>
      </c>
      <c r="AE898" s="14">
        <v>0.81722125988210603</v>
      </c>
      <c r="AF898" s="14"/>
      <c r="AG898" s="14">
        <v>0.88252543373982795</v>
      </c>
      <c r="AH898" s="14">
        <v>0.418766793961031</v>
      </c>
      <c r="AI898" s="14"/>
      <c r="AJ898" s="14">
        <v>0.72449367185168501</v>
      </c>
      <c r="AK898" s="14">
        <v>0.67823816640484103</v>
      </c>
      <c r="AL898" s="14"/>
      <c r="AM898" s="14">
        <v>0.87114000467007602</v>
      </c>
      <c r="AN898" s="14">
        <v>0.38811635829128199</v>
      </c>
    </row>
    <row r="899" spans="2:40" x14ac:dyDescent="0.35"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  <c r="AM899" s="14"/>
      <c r="AN899" s="14"/>
    </row>
    <row r="900" spans="2:40" x14ac:dyDescent="0.35">
      <c r="B900" s="6" t="s">
        <v>263</v>
      </c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4"/>
      <c r="AB900" s="14"/>
      <c r="AC900" s="14"/>
      <c r="AD900" s="14"/>
      <c r="AE900" s="14"/>
      <c r="AF900" s="14"/>
      <c r="AG900" s="14"/>
      <c r="AH900" s="14"/>
      <c r="AI900" s="14"/>
      <c r="AJ900" s="14"/>
      <c r="AK900" s="14"/>
      <c r="AL900" s="14"/>
      <c r="AM900" s="14"/>
      <c r="AN900" s="14"/>
    </row>
    <row r="901" spans="2:40" x14ac:dyDescent="0.35">
      <c r="B901" s="26" t="s">
        <v>395</v>
      </c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4"/>
      <c r="AB901" s="14"/>
      <c r="AC901" s="14"/>
      <c r="AD901" s="14"/>
      <c r="AE901" s="14"/>
      <c r="AF901" s="14"/>
      <c r="AG901" s="14"/>
      <c r="AH901" s="14"/>
      <c r="AI901" s="14"/>
      <c r="AJ901" s="14"/>
      <c r="AK901" s="14"/>
      <c r="AL901" s="14"/>
      <c r="AM901" s="14"/>
      <c r="AN901" s="14"/>
    </row>
    <row r="902" spans="2:40" x14ac:dyDescent="0.35">
      <c r="B902" t="s">
        <v>166</v>
      </c>
      <c r="C902" s="14">
        <v>0.116222209550062</v>
      </c>
      <c r="D902" s="14">
        <v>0.124812856733942</v>
      </c>
      <c r="E902" s="14">
        <v>0.1036365070606</v>
      </c>
      <c r="F902" s="14"/>
      <c r="G902" s="14" t="s">
        <v>76</v>
      </c>
      <c r="H902" s="14" t="s">
        <v>76</v>
      </c>
      <c r="I902" s="14">
        <v>0.116222209550062</v>
      </c>
      <c r="J902" s="14"/>
      <c r="K902" s="14" t="s">
        <v>76</v>
      </c>
      <c r="L902" s="14">
        <v>0.122857233361438</v>
      </c>
      <c r="M902" s="14">
        <v>0.104357837864247</v>
      </c>
      <c r="N902" s="14"/>
      <c r="O902" s="14">
        <v>8.5395990115097395E-2</v>
      </c>
      <c r="P902" s="14">
        <v>0.28229852611839101</v>
      </c>
      <c r="Q902" s="14"/>
      <c r="R902" s="14">
        <v>0.189882562839088</v>
      </c>
      <c r="S902" s="14">
        <v>6.1858692518947898E-2</v>
      </c>
      <c r="T902" s="14">
        <v>8.0640721097019794E-2</v>
      </c>
      <c r="U902" s="14">
        <v>6.9170210535195301E-2</v>
      </c>
      <c r="V902" s="14">
        <v>6.3052266758446496E-2</v>
      </c>
      <c r="W902" s="14">
        <v>7.5077483246693805E-2</v>
      </c>
      <c r="X902" s="14">
        <v>0.13561139998264499</v>
      </c>
      <c r="Y902" s="14">
        <v>0.22902024273014401</v>
      </c>
      <c r="Z902" s="14">
        <v>0.157343180616276</v>
      </c>
      <c r="AA902" s="14"/>
      <c r="AB902" s="14">
        <v>8.7370184074469295E-2</v>
      </c>
      <c r="AC902" s="14">
        <v>0.16846190401330799</v>
      </c>
      <c r="AD902" s="14">
        <v>0.100812588973728</v>
      </c>
      <c r="AE902" s="14">
        <v>9.0861302332095106E-2</v>
      </c>
      <c r="AF902" s="14"/>
      <c r="AG902" s="14">
        <v>0.214544675354058</v>
      </c>
      <c r="AH902" s="14">
        <v>0</v>
      </c>
      <c r="AI902" s="14"/>
      <c r="AJ902" s="14">
        <v>0.14143579900817799</v>
      </c>
      <c r="AK902" s="14">
        <v>5.0798148493791301E-2</v>
      </c>
      <c r="AL902" s="14"/>
      <c r="AM902" s="14">
        <v>0.19958365872530801</v>
      </c>
      <c r="AN902" s="14">
        <v>1.8184914461326699E-2</v>
      </c>
    </row>
    <row r="903" spans="2:40" x14ac:dyDescent="0.35">
      <c r="B903" t="s">
        <v>167</v>
      </c>
      <c r="C903" s="14">
        <v>0.36953791668696701</v>
      </c>
      <c r="D903" s="14">
        <v>0.41378511331902601</v>
      </c>
      <c r="E903" s="14">
        <v>0.33113628362986203</v>
      </c>
      <c r="F903" s="14"/>
      <c r="G903" s="14" t="s">
        <v>76</v>
      </c>
      <c r="H903" s="14" t="s">
        <v>76</v>
      </c>
      <c r="I903" s="14">
        <v>0.36953791668696701</v>
      </c>
      <c r="J903" s="14"/>
      <c r="K903" s="14" t="s">
        <v>76</v>
      </c>
      <c r="L903" s="14">
        <v>0.40055239407356003</v>
      </c>
      <c r="M903" s="14">
        <v>0.31407959463468699</v>
      </c>
      <c r="N903" s="14"/>
      <c r="O903" s="14">
        <v>0.36328878384775598</v>
      </c>
      <c r="P903" s="14">
        <v>0.41492190517077598</v>
      </c>
      <c r="Q903" s="14"/>
      <c r="R903" s="14">
        <v>0.41174896911938502</v>
      </c>
      <c r="S903" s="14">
        <v>0.38290906154354898</v>
      </c>
      <c r="T903" s="14">
        <v>0.283781121229778</v>
      </c>
      <c r="U903" s="14">
        <v>0.44260528203958699</v>
      </c>
      <c r="V903" s="14">
        <v>0.39184385351223899</v>
      </c>
      <c r="W903" s="14">
        <v>0.39369311760589998</v>
      </c>
      <c r="X903" s="14">
        <v>0.197936794339755</v>
      </c>
      <c r="Y903" s="14">
        <v>0.30087437569815101</v>
      </c>
      <c r="Z903" s="14">
        <v>0.40085693390751198</v>
      </c>
      <c r="AA903" s="14"/>
      <c r="AB903" s="14">
        <v>0.36004344390884901</v>
      </c>
      <c r="AC903" s="14">
        <v>0.482606915409658</v>
      </c>
      <c r="AD903" s="14">
        <v>0.23630835839501901</v>
      </c>
      <c r="AE903" s="14">
        <v>0.45496632847650798</v>
      </c>
      <c r="AF903" s="14"/>
      <c r="AG903" s="14">
        <v>0.44167672552022702</v>
      </c>
      <c r="AH903" s="14">
        <v>0.216880384463814</v>
      </c>
      <c r="AI903" s="14"/>
      <c r="AJ903" s="14">
        <v>0.36507446133362897</v>
      </c>
      <c r="AK903" s="14">
        <v>0.29205422563788003</v>
      </c>
      <c r="AL903" s="14"/>
      <c r="AM903" s="14">
        <v>0.50360155473078305</v>
      </c>
      <c r="AN903" s="14">
        <v>0.17417300401356101</v>
      </c>
    </row>
    <row r="904" spans="2:40" x14ac:dyDescent="0.35">
      <c r="B904" t="s">
        <v>168</v>
      </c>
      <c r="C904" s="14">
        <v>0.35227218841741698</v>
      </c>
      <c r="D904" s="14">
        <v>0.30799346381723602</v>
      </c>
      <c r="E904" s="14">
        <v>0.397049113608899</v>
      </c>
      <c r="F904" s="14"/>
      <c r="G904" s="14" t="s">
        <v>76</v>
      </c>
      <c r="H904" s="14" t="s">
        <v>76</v>
      </c>
      <c r="I904" s="14">
        <v>0.35227218841741698</v>
      </c>
      <c r="J904" s="14"/>
      <c r="K904" s="14" t="s">
        <v>76</v>
      </c>
      <c r="L904" s="14">
        <v>0.33123565283837703</v>
      </c>
      <c r="M904" s="14">
        <v>0.389888523216949</v>
      </c>
      <c r="N904" s="14"/>
      <c r="O904" s="14">
        <v>0.36934178667215001</v>
      </c>
      <c r="P904" s="14">
        <v>0.27217073396526698</v>
      </c>
      <c r="Q904" s="14"/>
      <c r="R904" s="14">
        <v>0.28418979681845202</v>
      </c>
      <c r="S904" s="14">
        <v>0.41690470648449401</v>
      </c>
      <c r="T904" s="14">
        <v>0.43678937758910102</v>
      </c>
      <c r="U904" s="14">
        <v>0.309906794119988</v>
      </c>
      <c r="V904" s="14">
        <v>0.32602130437358301</v>
      </c>
      <c r="W904" s="14">
        <v>0.393756898644197</v>
      </c>
      <c r="X904" s="14">
        <v>0.47364983553652101</v>
      </c>
      <c r="Y904" s="14">
        <v>0.23218467147250399</v>
      </c>
      <c r="Z904" s="14">
        <v>0.29491730039014802</v>
      </c>
      <c r="AA904" s="14"/>
      <c r="AB904" s="14">
        <v>0.34614964881875399</v>
      </c>
      <c r="AC904" s="14">
        <v>0.26084360453600403</v>
      </c>
      <c r="AD904" s="14">
        <v>0.432547097040129</v>
      </c>
      <c r="AE904" s="14">
        <v>0.34260110996105497</v>
      </c>
      <c r="AF904" s="14"/>
      <c r="AG904" s="14">
        <v>0.27276390956545099</v>
      </c>
      <c r="AH904" s="14">
        <v>0.45538032215176499</v>
      </c>
      <c r="AI904" s="14"/>
      <c r="AJ904" s="14">
        <v>0.33499281692224497</v>
      </c>
      <c r="AK904" s="14">
        <v>0.45673648420588497</v>
      </c>
      <c r="AL904" s="14"/>
      <c r="AM904" s="14">
        <v>0.24981254438806499</v>
      </c>
      <c r="AN904" s="14">
        <v>0.40182909471293798</v>
      </c>
    </row>
    <row r="905" spans="2:40" x14ac:dyDescent="0.35">
      <c r="B905" t="s">
        <v>169</v>
      </c>
      <c r="C905" s="14">
        <v>0.155691531295504</v>
      </c>
      <c r="D905" s="14">
        <v>0.14811018591828601</v>
      </c>
      <c r="E905" s="14">
        <v>0.16092637798850801</v>
      </c>
      <c r="F905" s="14"/>
      <c r="G905" s="14" t="s">
        <v>76</v>
      </c>
      <c r="H905" s="14" t="s">
        <v>76</v>
      </c>
      <c r="I905" s="14">
        <v>0.155691531295504</v>
      </c>
      <c r="J905" s="14"/>
      <c r="K905" s="14" t="s">
        <v>76</v>
      </c>
      <c r="L905" s="14">
        <v>0.14134571101335899</v>
      </c>
      <c r="M905" s="14">
        <v>0.18134391006669201</v>
      </c>
      <c r="N905" s="14"/>
      <c r="O905" s="14">
        <v>0.17437225675766699</v>
      </c>
      <c r="P905" s="14">
        <v>3.0608834745565899E-2</v>
      </c>
      <c r="Q905" s="14"/>
      <c r="R905" s="14">
        <v>0.114178671223075</v>
      </c>
      <c r="S905" s="14">
        <v>0.13832753945300999</v>
      </c>
      <c r="T905" s="14">
        <v>0.18950306474654699</v>
      </c>
      <c r="U905" s="14">
        <v>0.17831771330523</v>
      </c>
      <c r="V905" s="14">
        <v>0.20885729807977499</v>
      </c>
      <c r="W905" s="14">
        <v>0.137472500503209</v>
      </c>
      <c r="X905" s="14">
        <v>0.192801970141079</v>
      </c>
      <c r="Y905" s="14">
        <v>0.167756605024482</v>
      </c>
      <c r="Z905" s="14">
        <v>0.141632157010083</v>
      </c>
      <c r="AA905" s="14"/>
      <c r="AB905" s="14">
        <v>0.206436723197927</v>
      </c>
      <c r="AC905" s="14">
        <v>8.1503789955689396E-2</v>
      </c>
      <c r="AD905" s="14">
        <v>0.22551821448529399</v>
      </c>
      <c r="AE905" s="14">
        <v>9.7635683001414703E-2</v>
      </c>
      <c r="AF905" s="14"/>
      <c r="AG905" s="14">
        <v>6.3569633396444905E-2</v>
      </c>
      <c r="AH905" s="14">
        <v>0.32773929338441998</v>
      </c>
      <c r="AI905" s="14"/>
      <c r="AJ905" s="14">
        <v>0.153588865868758</v>
      </c>
      <c r="AK905" s="14">
        <v>0.183447876497534</v>
      </c>
      <c r="AL905" s="14"/>
      <c r="AM905" s="14">
        <v>4.1858806622875701E-2</v>
      </c>
      <c r="AN905" s="14">
        <v>0.40581298681217398</v>
      </c>
    </row>
    <row r="906" spans="2:40" x14ac:dyDescent="0.35">
      <c r="B906" t="s">
        <v>70</v>
      </c>
      <c r="C906" s="14">
        <v>6.2761540500497603E-3</v>
      </c>
      <c r="D906" s="14">
        <v>5.2983802115093596E-3</v>
      </c>
      <c r="E906" s="14">
        <v>7.25171771212997E-3</v>
      </c>
      <c r="F906" s="14"/>
      <c r="G906" s="14" t="s">
        <v>76</v>
      </c>
      <c r="H906" s="14" t="s">
        <v>76</v>
      </c>
      <c r="I906" s="14">
        <v>6.2761540500497603E-3</v>
      </c>
      <c r="J906" s="14"/>
      <c r="K906" s="14" t="s">
        <v>76</v>
      </c>
      <c r="L906" s="14">
        <v>4.0090087132651098E-3</v>
      </c>
      <c r="M906" s="14">
        <v>1.0330134217424101E-2</v>
      </c>
      <c r="N906" s="14"/>
      <c r="O906" s="14">
        <v>7.6011826073297097E-3</v>
      </c>
      <c r="P906" s="14">
        <v>0</v>
      </c>
      <c r="Q906" s="14"/>
      <c r="R906" s="14">
        <v>0</v>
      </c>
      <c r="S906" s="14">
        <v>0</v>
      </c>
      <c r="T906" s="14">
        <v>9.2857153375549596E-3</v>
      </c>
      <c r="U906" s="14">
        <v>0</v>
      </c>
      <c r="V906" s="14">
        <v>1.02252772759564E-2</v>
      </c>
      <c r="W906" s="14">
        <v>0</v>
      </c>
      <c r="X906" s="14">
        <v>0</v>
      </c>
      <c r="Y906" s="14">
        <v>7.0164105074719998E-2</v>
      </c>
      <c r="Z906" s="14">
        <v>5.2504280759810198E-3</v>
      </c>
      <c r="AA906" s="14"/>
      <c r="AB906" s="14">
        <v>0</v>
      </c>
      <c r="AC906" s="14">
        <v>6.5837860853410601E-3</v>
      </c>
      <c r="AD906" s="14">
        <v>4.8137411058295498E-3</v>
      </c>
      <c r="AE906" s="14">
        <v>1.39355762289264E-2</v>
      </c>
      <c r="AF906" s="14"/>
      <c r="AG906" s="14">
        <v>7.4450561638186499E-3</v>
      </c>
      <c r="AH906" s="14">
        <v>0</v>
      </c>
      <c r="AI906" s="14"/>
      <c r="AJ906" s="14">
        <v>4.9080568671896301E-3</v>
      </c>
      <c r="AK906" s="14">
        <v>1.6963265164910001E-2</v>
      </c>
      <c r="AL906" s="14"/>
      <c r="AM906" s="14">
        <v>5.1434355329682199E-3</v>
      </c>
      <c r="AN906" s="14">
        <v>0</v>
      </c>
    </row>
    <row r="907" spans="2:40" x14ac:dyDescent="0.35"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  <c r="AA907" s="14"/>
      <c r="AB907" s="14"/>
      <c r="AC907" s="14"/>
      <c r="AD907" s="14"/>
      <c r="AE907" s="14"/>
      <c r="AF907" s="14"/>
      <c r="AG907" s="14"/>
      <c r="AH907" s="14"/>
      <c r="AI907" s="14"/>
      <c r="AJ907" s="14"/>
      <c r="AK907" s="14"/>
      <c r="AL907" s="14"/>
      <c r="AM907" s="14"/>
      <c r="AN907" s="14"/>
    </row>
    <row r="908" spans="2:40" x14ac:dyDescent="0.35">
      <c r="B908" s="6" t="s">
        <v>264</v>
      </c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  <c r="AA908" s="14"/>
      <c r="AB908" s="14"/>
      <c r="AC908" s="14"/>
      <c r="AD908" s="14"/>
      <c r="AE908" s="14"/>
      <c r="AF908" s="14"/>
      <c r="AG908" s="14"/>
      <c r="AH908" s="14"/>
      <c r="AI908" s="14"/>
      <c r="AJ908" s="14"/>
      <c r="AK908" s="14"/>
      <c r="AL908" s="14"/>
      <c r="AM908" s="14"/>
      <c r="AN908" s="14"/>
    </row>
    <row r="909" spans="2:40" x14ac:dyDescent="0.35">
      <c r="B909" s="26" t="s">
        <v>395</v>
      </c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  <c r="AA909" s="14"/>
      <c r="AB909" s="14"/>
      <c r="AC909" s="14"/>
      <c r="AD909" s="14"/>
      <c r="AE909" s="14"/>
      <c r="AF909" s="14"/>
      <c r="AG909" s="14"/>
      <c r="AH909" s="14"/>
      <c r="AI909" s="14"/>
      <c r="AJ909" s="14"/>
      <c r="AK909" s="14"/>
      <c r="AL909" s="14"/>
      <c r="AM909" s="14"/>
      <c r="AN909" s="14"/>
    </row>
    <row r="910" spans="2:40" x14ac:dyDescent="0.35">
      <c r="B910" t="s">
        <v>242</v>
      </c>
      <c r="C910" s="14">
        <v>0.127847820789699</v>
      </c>
      <c r="D910" s="14">
        <v>0.13792873656952201</v>
      </c>
      <c r="E910" s="14">
        <v>0.11572353554671699</v>
      </c>
      <c r="F910" s="14"/>
      <c r="G910" s="14" t="s">
        <v>76</v>
      </c>
      <c r="H910" s="14" t="s">
        <v>76</v>
      </c>
      <c r="I910" s="14">
        <v>0.127847820789699</v>
      </c>
      <c r="J910" s="14"/>
      <c r="K910" s="14" t="s">
        <v>76</v>
      </c>
      <c r="L910" s="14">
        <v>0.140030904863643</v>
      </c>
      <c r="M910" s="14">
        <v>0.10606272372870899</v>
      </c>
      <c r="N910" s="14"/>
      <c r="O910" s="14">
        <v>0.114001342898452</v>
      </c>
      <c r="P910" s="14">
        <v>0.20381467094485001</v>
      </c>
      <c r="Q910" s="14"/>
      <c r="R910" s="14">
        <v>0.179366827951634</v>
      </c>
      <c r="S910" s="14">
        <v>0.112275638087226</v>
      </c>
      <c r="T910" s="14">
        <v>5.1198601326293801E-2</v>
      </c>
      <c r="U910" s="14">
        <v>0.106669733587475</v>
      </c>
      <c r="V910" s="14">
        <v>0.13521333637836699</v>
      </c>
      <c r="W910" s="14">
        <v>9.2917229592072895E-2</v>
      </c>
      <c r="X910" s="14">
        <v>0.119434939065412</v>
      </c>
      <c r="Y910" s="14">
        <v>0.19177243303538399</v>
      </c>
      <c r="Z910" s="14">
        <v>0.153184356237106</v>
      </c>
      <c r="AA910" s="14"/>
      <c r="AB910" s="14">
        <v>0.13093190195267801</v>
      </c>
      <c r="AC910" s="14">
        <v>0.180306400624267</v>
      </c>
      <c r="AD910" s="14">
        <v>8.3815644148016802E-2</v>
      </c>
      <c r="AE910" s="14">
        <v>0.106999895692184</v>
      </c>
      <c r="AF910" s="14"/>
      <c r="AG910" s="14">
        <v>0.19243743011492101</v>
      </c>
      <c r="AH910" s="14">
        <v>0</v>
      </c>
      <c r="AI910" s="14"/>
      <c r="AJ910" s="14">
        <v>0.12686188385923799</v>
      </c>
      <c r="AK910" s="14">
        <v>7.2465402330733703E-2</v>
      </c>
      <c r="AL910" s="14"/>
      <c r="AM910" s="14">
        <v>0.19446077038672899</v>
      </c>
      <c r="AN910" s="14">
        <v>3.59448477610795E-2</v>
      </c>
    </row>
    <row r="911" spans="2:40" x14ac:dyDescent="0.35">
      <c r="B911" t="s">
        <v>243</v>
      </c>
      <c r="C911" s="14">
        <v>0.431107874351637</v>
      </c>
      <c r="D911" s="14">
        <v>0.45489351467052902</v>
      </c>
      <c r="E911" s="14">
        <v>0.41074616987499302</v>
      </c>
      <c r="F911" s="14"/>
      <c r="G911" s="14" t="s">
        <v>76</v>
      </c>
      <c r="H911" s="14" t="s">
        <v>76</v>
      </c>
      <c r="I911" s="14">
        <v>0.431107874351637</v>
      </c>
      <c r="J911" s="14"/>
      <c r="K911" s="14" t="s">
        <v>76</v>
      </c>
      <c r="L911" s="14">
        <v>0.42419159224082997</v>
      </c>
      <c r="M911" s="14">
        <v>0.44347517610960102</v>
      </c>
      <c r="N911" s="14"/>
      <c r="O911" s="14">
        <v>0.41915394024441999</v>
      </c>
      <c r="P911" s="14">
        <v>0.50692344050508398</v>
      </c>
      <c r="Q911" s="14"/>
      <c r="R911" s="14">
        <v>0.49504255065438901</v>
      </c>
      <c r="S911" s="14">
        <v>0.45627164839884399</v>
      </c>
      <c r="T911" s="14">
        <v>0.385516625373309</v>
      </c>
      <c r="U911" s="14">
        <v>0.49988493097277698</v>
      </c>
      <c r="V911" s="14">
        <v>0.34981827989019798</v>
      </c>
      <c r="W911" s="14">
        <v>0.378645283957107</v>
      </c>
      <c r="X911" s="14">
        <v>0.39977325182526202</v>
      </c>
      <c r="Y911" s="14">
        <v>0.38360045583728603</v>
      </c>
      <c r="Z911" s="14">
        <v>0.42700593816676802</v>
      </c>
      <c r="AA911" s="14"/>
      <c r="AB911" s="14">
        <v>0.32683463509629501</v>
      </c>
      <c r="AC911" s="14">
        <v>0.51337448849178402</v>
      </c>
      <c r="AD911" s="14">
        <v>0.41989785759757597</v>
      </c>
      <c r="AE911" s="14">
        <v>0.507730178315004</v>
      </c>
      <c r="AF911" s="14"/>
      <c r="AG911" s="14">
        <v>0.46812495543712002</v>
      </c>
      <c r="AH911" s="14">
        <v>0.53939693373686504</v>
      </c>
      <c r="AI911" s="14"/>
      <c r="AJ911" s="14">
        <v>0.492411804970176</v>
      </c>
      <c r="AK911" s="14">
        <v>0.431623861103128</v>
      </c>
      <c r="AL911" s="14"/>
      <c r="AM911" s="14">
        <v>0.51982109597466397</v>
      </c>
      <c r="AN911" s="14">
        <v>0.26904914670970198</v>
      </c>
    </row>
    <row r="912" spans="2:40" x14ac:dyDescent="0.35">
      <c r="B912" t="s">
        <v>244</v>
      </c>
      <c r="C912" s="14">
        <v>0.29679235203047599</v>
      </c>
      <c r="D912" s="14">
        <v>0.25563250305805801</v>
      </c>
      <c r="E912" s="14">
        <v>0.334875436876171</v>
      </c>
      <c r="F912" s="14"/>
      <c r="G912" s="14" t="s">
        <v>76</v>
      </c>
      <c r="H912" s="14" t="s">
        <v>76</v>
      </c>
      <c r="I912" s="14">
        <v>0.29679235203047599</v>
      </c>
      <c r="J912" s="14"/>
      <c r="K912" s="14" t="s">
        <v>76</v>
      </c>
      <c r="L912" s="14">
        <v>0.294125133030396</v>
      </c>
      <c r="M912" s="14">
        <v>0.30156172113660601</v>
      </c>
      <c r="N912" s="14"/>
      <c r="O912" s="14">
        <v>0.30918920278204998</v>
      </c>
      <c r="P912" s="14">
        <v>0.21740353366153101</v>
      </c>
      <c r="Q912" s="14"/>
      <c r="R912" s="14">
        <v>0.21629697084196201</v>
      </c>
      <c r="S912" s="14">
        <v>0.32205695177885701</v>
      </c>
      <c r="T912" s="14">
        <v>0.44713418573563801</v>
      </c>
      <c r="U912" s="14">
        <v>0.294510013109619</v>
      </c>
      <c r="V912" s="14">
        <v>0.38889626822078899</v>
      </c>
      <c r="W912" s="14">
        <v>0.29348482840286699</v>
      </c>
      <c r="X912" s="14">
        <v>0.22979789639527201</v>
      </c>
      <c r="Y912" s="14">
        <v>0.252053849406913</v>
      </c>
      <c r="Z912" s="14">
        <v>0.26918695786353197</v>
      </c>
      <c r="AA912" s="14"/>
      <c r="AB912" s="14">
        <v>0.39776827193817899</v>
      </c>
      <c r="AC912" s="14">
        <v>0.21896302952787899</v>
      </c>
      <c r="AD912" s="14">
        <v>0.328395743071691</v>
      </c>
      <c r="AE912" s="14">
        <v>0.27627862641876</v>
      </c>
      <c r="AF912" s="14"/>
      <c r="AG912" s="14">
        <v>0.231309044128714</v>
      </c>
      <c r="AH912" s="14">
        <v>0.23042052596531901</v>
      </c>
      <c r="AI912" s="14"/>
      <c r="AJ912" s="14">
        <v>0.23100627005878399</v>
      </c>
      <c r="AK912" s="14">
        <v>0.36740647986491898</v>
      </c>
      <c r="AL912" s="14"/>
      <c r="AM912" s="14">
        <v>0.20107506680529399</v>
      </c>
      <c r="AN912" s="14">
        <v>0.42362024584025698</v>
      </c>
    </row>
    <row r="913" spans="2:40" x14ac:dyDescent="0.35">
      <c r="B913" t="s">
        <v>245</v>
      </c>
      <c r="C913" s="14">
        <v>9.0349861431471098E-2</v>
      </c>
      <c r="D913" s="14">
        <v>9.1253499910779301E-2</v>
      </c>
      <c r="E913" s="14">
        <v>9.0293545786380505E-2</v>
      </c>
      <c r="F913" s="14"/>
      <c r="G913" s="14" t="s">
        <v>76</v>
      </c>
      <c r="H913" s="14" t="s">
        <v>76</v>
      </c>
      <c r="I913" s="14">
        <v>9.0349861431471098E-2</v>
      </c>
      <c r="J913" s="14"/>
      <c r="K913" s="14" t="s">
        <v>76</v>
      </c>
      <c r="L913" s="14">
        <v>8.7244242062487001E-2</v>
      </c>
      <c r="M913" s="14">
        <v>9.5903153108453307E-2</v>
      </c>
      <c r="N913" s="14"/>
      <c r="O913" s="14">
        <v>0.100189681285383</v>
      </c>
      <c r="P913" s="14">
        <v>4.4567218343718101E-2</v>
      </c>
      <c r="Q913" s="14"/>
      <c r="R913" s="14">
        <v>6.7985830865226901E-2</v>
      </c>
      <c r="S913" s="14">
        <v>6.7658066141025597E-2</v>
      </c>
      <c r="T913" s="14">
        <v>4.0012495826746902E-2</v>
      </c>
      <c r="U913" s="14">
        <v>6.0059271617332703E-2</v>
      </c>
      <c r="V913" s="14">
        <v>6.6736824457113195E-2</v>
      </c>
      <c r="W913" s="14">
        <v>0.11203218829512</v>
      </c>
      <c r="X913" s="14">
        <v>0.23280803184418</v>
      </c>
      <c r="Y913" s="14">
        <v>0.139831833861077</v>
      </c>
      <c r="Z913" s="14">
        <v>9.6727164439947694E-2</v>
      </c>
      <c r="AA913" s="14"/>
      <c r="AB913" s="14">
        <v>0.102991624268622</v>
      </c>
      <c r="AC913" s="14">
        <v>7.1700300254662397E-2</v>
      </c>
      <c r="AD913" s="14">
        <v>0.125376107398111</v>
      </c>
      <c r="AE913" s="14">
        <v>8.1988341627988098E-2</v>
      </c>
      <c r="AF913" s="14"/>
      <c r="AG913" s="14">
        <v>7.8932005549386494E-2</v>
      </c>
      <c r="AH913" s="14">
        <v>0.15938236261470901</v>
      </c>
      <c r="AI913" s="14"/>
      <c r="AJ913" s="14">
        <v>0.10634650650106101</v>
      </c>
      <c r="AK913" s="14">
        <v>8.4353503384471798E-2</v>
      </c>
      <c r="AL913" s="14"/>
      <c r="AM913" s="14">
        <v>4.4517023543295099E-2</v>
      </c>
      <c r="AN913" s="14">
        <v>0.212726099985698</v>
      </c>
    </row>
    <row r="914" spans="2:40" x14ac:dyDescent="0.35">
      <c r="B914" t="s">
        <v>70</v>
      </c>
      <c r="C914" s="14">
        <v>5.39020913967172E-2</v>
      </c>
      <c r="D914" s="14">
        <v>6.0291745791110997E-2</v>
      </c>
      <c r="E914" s="14">
        <v>4.8361311915738697E-2</v>
      </c>
      <c r="F914" s="14"/>
      <c r="G914" s="14" t="s">
        <v>76</v>
      </c>
      <c r="H914" s="14" t="s">
        <v>76</v>
      </c>
      <c r="I914" s="14">
        <v>5.39020913967172E-2</v>
      </c>
      <c r="J914" s="14"/>
      <c r="K914" s="14" t="s">
        <v>76</v>
      </c>
      <c r="L914" s="14">
        <v>5.4408127802643598E-2</v>
      </c>
      <c r="M914" s="14">
        <v>5.2997225916631002E-2</v>
      </c>
      <c r="N914" s="14"/>
      <c r="O914" s="14">
        <v>5.7465832789694603E-2</v>
      </c>
      <c r="P914" s="14">
        <v>2.7291136544818101E-2</v>
      </c>
      <c r="Q914" s="14"/>
      <c r="R914" s="14">
        <v>4.1307819686788302E-2</v>
      </c>
      <c r="S914" s="14">
        <v>4.1737695594048101E-2</v>
      </c>
      <c r="T914" s="14">
        <v>7.6138091738012198E-2</v>
      </c>
      <c r="U914" s="14">
        <v>3.8876050712796997E-2</v>
      </c>
      <c r="V914" s="14">
        <v>5.93352910535331E-2</v>
      </c>
      <c r="W914" s="14">
        <v>0.12292046975283299</v>
      </c>
      <c r="X914" s="14">
        <v>1.8185880869874299E-2</v>
      </c>
      <c r="Y914" s="14">
        <v>3.2741427859339603E-2</v>
      </c>
      <c r="Z914" s="14">
        <v>5.3895583292646702E-2</v>
      </c>
      <c r="AA914" s="14"/>
      <c r="AB914" s="14">
        <v>4.14735667442259E-2</v>
      </c>
      <c r="AC914" s="14">
        <v>1.5655781101407501E-2</v>
      </c>
      <c r="AD914" s="14">
        <v>4.25146477846053E-2</v>
      </c>
      <c r="AE914" s="14">
        <v>2.70029579460641E-2</v>
      </c>
      <c r="AF914" s="14"/>
      <c r="AG914" s="14">
        <v>2.91965647698584E-2</v>
      </c>
      <c r="AH914" s="14">
        <v>7.08001776831063E-2</v>
      </c>
      <c r="AI914" s="14"/>
      <c r="AJ914" s="14">
        <v>4.3373534610741303E-2</v>
      </c>
      <c r="AK914" s="14">
        <v>4.4150753316748198E-2</v>
      </c>
      <c r="AL914" s="14"/>
      <c r="AM914" s="14">
        <v>4.0126043290017697E-2</v>
      </c>
      <c r="AN914" s="14">
        <v>5.8659659703263103E-2</v>
      </c>
    </row>
    <row r="915" spans="2:40" x14ac:dyDescent="0.35"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  <c r="AA915" s="14"/>
      <c r="AB915" s="14"/>
      <c r="AC915" s="14"/>
      <c r="AD915" s="14"/>
      <c r="AE915" s="14"/>
      <c r="AF915" s="14"/>
      <c r="AG915" s="14"/>
      <c r="AH915" s="14"/>
      <c r="AI915" s="14"/>
      <c r="AJ915" s="14"/>
      <c r="AK915" s="14"/>
      <c r="AL915" s="14"/>
      <c r="AM915" s="14"/>
      <c r="AN915" s="14"/>
    </row>
    <row r="916" spans="2:40" x14ac:dyDescent="0.35">
      <c r="B916" s="6" t="s">
        <v>265</v>
      </c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  <c r="AA916" s="14"/>
      <c r="AB916" s="14"/>
      <c r="AC916" s="14"/>
      <c r="AD916" s="14"/>
      <c r="AE916" s="14"/>
      <c r="AF916" s="14"/>
      <c r="AG916" s="14"/>
      <c r="AH916" s="14"/>
      <c r="AI916" s="14"/>
      <c r="AJ916" s="14"/>
      <c r="AK916" s="14"/>
      <c r="AL916" s="14"/>
      <c r="AM916" s="14"/>
      <c r="AN916" s="14"/>
    </row>
    <row r="917" spans="2:40" x14ac:dyDescent="0.35">
      <c r="B917" s="24" t="s">
        <v>74</v>
      </c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</row>
    <row r="918" spans="2:40" x14ac:dyDescent="0.35">
      <c r="B918" t="s">
        <v>44</v>
      </c>
      <c r="C918" s="14">
        <v>0.61964350134349599</v>
      </c>
      <c r="D918" s="14">
        <v>0.65382340406623596</v>
      </c>
      <c r="E918" s="14">
        <v>0.58960525159320798</v>
      </c>
      <c r="F918" s="14"/>
      <c r="G918" s="14" t="s">
        <v>76</v>
      </c>
      <c r="H918" s="14" t="s">
        <v>76</v>
      </c>
      <c r="I918" s="14">
        <v>0.61964350134349599</v>
      </c>
      <c r="J918" s="14"/>
      <c r="K918" s="14" t="s">
        <v>76</v>
      </c>
      <c r="L918" s="14">
        <v>0.58048729025399104</v>
      </c>
      <c r="M918" s="14">
        <v>0.69410825304433399</v>
      </c>
      <c r="N918" s="14"/>
      <c r="O918" s="14">
        <v>0.61229522379296297</v>
      </c>
      <c r="P918" s="14">
        <v>0.71745743625274305</v>
      </c>
      <c r="Q918" s="14"/>
      <c r="R918" s="14">
        <v>0.66179612294186296</v>
      </c>
      <c r="S918" s="14">
        <v>0.63292463097715801</v>
      </c>
      <c r="T918" s="14">
        <v>0.555186786868483</v>
      </c>
      <c r="U918" s="14">
        <v>0.609427199841583</v>
      </c>
      <c r="V918" s="14">
        <v>0.66137387902907196</v>
      </c>
      <c r="W918" s="14">
        <v>0.59513089119234097</v>
      </c>
      <c r="X918" s="14">
        <v>0.566567100013324</v>
      </c>
      <c r="Y918" s="14">
        <v>0.639282955005124</v>
      </c>
      <c r="Z918" s="14">
        <v>0.62436625374797505</v>
      </c>
      <c r="AA918" s="14"/>
      <c r="AB918" s="14">
        <v>0.68374088366669095</v>
      </c>
      <c r="AC918" s="14">
        <v>0.76535561744007696</v>
      </c>
      <c r="AD918" s="14">
        <v>0.65607322152802205</v>
      </c>
      <c r="AE918" s="14">
        <v>0.82224521370279202</v>
      </c>
      <c r="AF918" s="14"/>
      <c r="AG918" s="14">
        <v>0.77895808214003104</v>
      </c>
      <c r="AH918" s="14">
        <v>0.69166920192149794</v>
      </c>
      <c r="AI918" s="14"/>
      <c r="AJ918" s="14">
        <v>0.74845062406519103</v>
      </c>
      <c r="AK918" s="14">
        <v>0.67232017288000201</v>
      </c>
      <c r="AL918" s="14"/>
      <c r="AM918" s="14">
        <v>0.67196016667773595</v>
      </c>
      <c r="AN918" s="14">
        <v>0.546862228399701</v>
      </c>
    </row>
    <row r="919" spans="2:40" x14ac:dyDescent="0.35">
      <c r="B919" t="s">
        <v>45</v>
      </c>
      <c r="C919" s="14">
        <v>0.29915299620178099</v>
      </c>
      <c r="D919" s="14">
        <v>0.27579255903798899</v>
      </c>
      <c r="E919" s="14">
        <v>0.32008293104440999</v>
      </c>
      <c r="F919" s="14"/>
      <c r="G919" s="14" t="s">
        <v>76</v>
      </c>
      <c r="H919" s="14" t="s">
        <v>76</v>
      </c>
      <c r="I919" s="14">
        <v>0.29915299620178099</v>
      </c>
      <c r="J919" s="14"/>
      <c r="K919" s="14" t="s">
        <v>76</v>
      </c>
      <c r="L919" s="14">
        <v>0.33740644621750199</v>
      </c>
      <c r="M919" s="14">
        <v>0.226405057168308</v>
      </c>
      <c r="N919" s="14"/>
      <c r="O919" s="14">
        <v>0.302618763400544</v>
      </c>
      <c r="P919" s="14">
        <v>0.23435890584403701</v>
      </c>
      <c r="Q919" s="14"/>
      <c r="R919" s="14">
        <v>0.31313515866599501</v>
      </c>
      <c r="S919" s="14">
        <v>0.297461179030372</v>
      </c>
      <c r="T919" s="14">
        <v>0.28146009587631299</v>
      </c>
      <c r="U919" s="14">
        <v>0.27467417162443503</v>
      </c>
      <c r="V919" s="14">
        <v>0.245831791054029</v>
      </c>
      <c r="W919" s="14">
        <v>0.30108281317577601</v>
      </c>
      <c r="X919" s="14">
        <v>0.33565096741316403</v>
      </c>
      <c r="Y919" s="14">
        <v>0.28632596581755698</v>
      </c>
      <c r="Z919" s="14">
        <v>0.32785949303289302</v>
      </c>
      <c r="AA919" s="14"/>
      <c r="AB919" s="14">
        <v>0.25696053493016202</v>
      </c>
      <c r="AC919" s="14">
        <v>0.18485239253580499</v>
      </c>
      <c r="AD919" s="14">
        <v>0.238784937734587</v>
      </c>
      <c r="AE919" s="14">
        <v>0.13855279191244799</v>
      </c>
      <c r="AF919" s="14"/>
      <c r="AG919" s="14">
        <v>0.14470029470360099</v>
      </c>
      <c r="AH919" s="14">
        <v>0.22902047299275899</v>
      </c>
      <c r="AI919" s="14"/>
      <c r="AJ919" s="14">
        <v>0.17417019164327199</v>
      </c>
      <c r="AK919" s="14">
        <v>0.24567181768789201</v>
      </c>
      <c r="AL919" s="14"/>
      <c r="AM919" s="14">
        <v>0.276194256050392</v>
      </c>
      <c r="AN919" s="14">
        <v>0.36467864072446698</v>
      </c>
    </row>
    <row r="920" spans="2:40" x14ac:dyDescent="0.35">
      <c r="B920" t="s">
        <v>70</v>
      </c>
      <c r="C920" s="14">
        <v>8.1203502454722798E-2</v>
      </c>
      <c r="D920" s="14">
        <v>7.0384036895775895E-2</v>
      </c>
      <c r="E920" s="14">
        <v>9.0311817362382502E-2</v>
      </c>
      <c r="F920" s="14"/>
      <c r="G920" s="14" t="s">
        <v>76</v>
      </c>
      <c r="H920" s="14" t="s">
        <v>76</v>
      </c>
      <c r="I920" s="14">
        <v>8.1203502454722798E-2</v>
      </c>
      <c r="J920" s="14"/>
      <c r="K920" s="14" t="s">
        <v>76</v>
      </c>
      <c r="L920" s="14">
        <v>8.2106263528506501E-2</v>
      </c>
      <c r="M920" s="14">
        <v>7.9486689787357595E-2</v>
      </c>
      <c r="N920" s="14"/>
      <c r="O920" s="14">
        <v>8.5086012806493402E-2</v>
      </c>
      <c r="P920" s="14">
        <v>4.8183657903220302E-2</v>
      </c>
      <c r="Q920" s="14"/>
      <c r="R920" s="14">
        <v>2.5068718392141798E-2</v>
      </c>
      <c r="S920" s="14">
        <v>6.9614189992470599E-2</v>
      </c>
      <c r="T920" s="14">
        <v>0.16335311725520299</v>
      </c>
      <c r="U920" s="14">
        <v>0.115898628533983</v>
      </c>
      <c r="V920" s="14">
        <v>9.2794329916899496E-2</v>
      </c>
      <c r="W920" s="14">
        <v>0.103786295631884</v>
      </c>
      <c r="X920" s="14">
        <v>9.7781932573511796E-2</v>
      </c>
      <c r="Y920" s="14">
        <v>7.4391079177319505E-2</v>
      </c>
      <c r="Z920" s="14">
        <v>4.7774253219131597E-2</v>
      </c>
      <c r="AA920" s="14"/>
      <c r="AB920" s="14">
        <v>5.9298581403147199E-2</v>
      </c>
      <c r="AC920" s="14">
        <v>4.9791990024118202E-2</v>
      </c>
      <c r="AD920" s="14">
        <v>0.105141840737391</v>
      </c>
      <c r="AE920" s="14">
        <v>3.9201994384759999E-2</v>
      </c>
      <c r="AF920" s="14"/>
      <c r="AG920" s="14">
        <v>7.6341623156367999E-2</v>
      </c>
      <c r="AH920" s="14">
        <v>7.9310325085743996E-2</v>
      </c>
      <c r="AI920" s="14"/>
      <c r="AJ920" s="14">
        <v>7.7379184291536604E-2</v>
      </c>
      <c r="AK920" s="14">
        <v>8.2008009432105899E-2</v>
      </c>
      <c r="AL920" s="14"/>
      <c r="AM920" s="14">
        <v>5.1845577271872403E-2</v>
      </c>
      <c r="AN920" s="14">
        <v>8.8459130875832195E-2</v>
      </c>
    </row>
    <row r="921" spans="2:40" x14ac:dyDescent="0.35"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  <c r="AA921" s="14"/>
      <c r="AB921" s="14"/>
      <c r="AC921" s="14"/>
      <c r="AD921" s="14"/>
      <c r="AE921" s="14"/>
      <c r="AF921" s="14"/>
      <c r="AG921" s="14"/>
      <c r="AH921" s="14"/>
      <c r="AI921" s="14"/>
      <c r="AJ921" s="14"/>
      <c r="AK921" s="14"/>
      <c r="AL921" s="14"/>
      <c r="AM921" s="14"/>
      <c r="AN921" s="14"/>
    </row>
    <row r="922" spans="2:40" x14ac:dyDescent="0.35">
      <c r="B922" s="6" t="s">
        <v>266</v>
      </c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  <c r="AA922" s="14"/>
      <c r="AB922" s="14"/>
      <c r="AC922" s="14"/>
      <c r="AD922" s="14"/>
      <c r="AE922" s="14"/>
      <c r="AF922" s="14"/>
      <c r="AG922" s="14"/>
      <c r="AH922" s="14"/>
      <c r="AI922" s="14"/>
      <c r="AJ922" s="14"/>
      <c r="AK922" s="14"/>
      <c r="AL922" s="14"/>
      <c r="AM922" s="14"/>
      <c r="AN922" s="14"/>
    </row>
    <row r="923" spans="2:40" x14ac:dyDescent="0.35">
      <c r="B923" s="26" t="s">
        <v>395</v>
      </c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  <c r="AC923" s="14"/>
      <c r="AD923" s="14"/>
      <c r="AE923" s="14"/>
      <c r="AF923" s="14"/>
      <c r="AG923" s="14"/>
      <c r="AH923" s="14"/>
      <c r="AI923" s="14"/>
      <c r="AJ923" s="14"/>
      <c r="AK923" s="14"/>
      <c r="AL923" s="14"/>
      <c r="AM923" s="14"/>
      <c r="AN923" s="14"/>
    </row>
    <row r="924" spans="2:40" x14ac:dyDescent="0.35">
      <c r="B924" t="s">
        <v>155</v>
      </c>
      <c r="C924" s="14">
        <v>0.181861896962593</v>
      </c>
      <c r="D924" s="14">
        <v>0.186401077370316</v>
      </c>
      <c r="E924" s="14">
        <v>0.17613669799173001</v>
      </c>
      <c r="F924" s="14"/>
      <c r="G924" s="14" t="s">
        <v>76</v>
      </c>
      <c r="H924" s="14" t="s">
        <v>76</v>
      </c>
      <c r="I924" s="14">
        <v>0.181861896962593</v>
      </c>
      <c r="J924" s="14"/>
      <c r="K924" s="14" t="s">
        <v>76</v>
      </c>
      <c r="L924" s="14">
        <v>0.18403805078361599</v>
      </c>
      <c r="M924" s="14">
        <v>0.17840086841257999</v>
      </c>
      <c r="N924" s="14"/>
      <c r="O924" s="14">
        <v>0.16502936755842701</v>
      </c>
      <c r="P924" s="14">
        <v>0.27489538598590302</v>
      </c>
      <c r="Q924" s="14"/>
      <c r="R924" s="14">
        <v>0.23931843530752001</v>
      </c>
      <c r="S924" s="14">
        <v>0.17475908175729299</v>
      </c>
      <c r="T924" s="14">
        <v>0.18637626068393101</v>
      </c>
      <c r="U924" s="14">
        <v>0.13814819323373001</v>
      </c>
      <c r="V924" s="14">
        <v>0.208437291800594</v>
      </c>
      <c r="W924" s="14">
        <v>0.18137381964666</v>
      </c>
      <c r="X924" s="14">
        <v>7.9936834383761493E-2</v>
      </c>
      <c r="Y924" s="14">
        <v>0.17617348143317199</v>
      </c>
      <c r="Z924" s="14">
        <v>0.19775522755187899</v>
      </c>
      <c r="AA924" s="14"/>
      <c r="AB924" s="14">
        <v>0.18096717814676699</v>
      </c>
      <c r="AC924" s="14">
        <v>0.21047720417843499</v>
      </c>
      <c r="AD924" s="14">
        <v>0.12991500401925099</v>
      </c>
      <c r="AE924" s="14">
        <v>0.20181481454834899</v>
      </c>
      <c r="AF924" s="14"/>
      <c r="AG924" s="14">
        <v>0.322508531806668</v>
      </c>
      <c r="AH924" s="14">
        <v>0.129562390240133</v>
      </c>
      <c r="AI924" s="14"/>
      <c r="AJ924" s="14">
        <v>0.26018981784164402</v>
      </c>
      <c r="AK924" s="14">
        <v>8.6582065407845604E-2</v>
      </c>
      <c r="AL924" s="14"/>
      <c r="AM924" s="14">
        <v>0.25017445249992598</v>
      </c>
      <c r="AN924" s="14">
        <v>0.134194284947276</v>
      </c>
    </row>
    <row r="925" spans="2:40" x14ac:dyDescent="0.35">
      <c r="B925" t="s">
        <v>156</v>
      </c>
      <c r="C925" s="14">
        <v>0.53571100945523598</v>
      </c>
      <c r="D925" s="14">
        <v>0.54778319167728995</v>
      </c>
      <c r="E925" s="14">
        <v>0.52702931023636301</v>
      </c>
      <c r="F925" s="14"/>
      <c r="G925" s="14" t="s">
        <v>76</v>
      </c>
      <c r="H925" s="14" t="s">
        <v>76</v>
      </c>
      <c r="I925" s="14">
        <v>0.53571100945523598</v>
      </c>
      <c r="J925" s="14"/>
      <c r="K925" s="14" t="s">
        <v>76</v>
      </c>
      <c r="L925" s="14">
        <v>0.54144635722341605</v>
      </c>
      <c r="M925" s="14">
        <v>0.52658931861786995</v>
      </c>
      <c r="N925" s="14"/>
      <c r="O925" s="14">
        <v>0.54014516945806201</v>
      </c>
      <c r="P925" s="14">
        <v>0.52867186906485197</v>
      </c>
      <c r="Q925" s="14"/>
      <c r="R925" s="14">
        <v>0.51639066827017999</v>
      </c>
      <c r="S925" s="14">
        <v>0.54805718723380004</v>
      </c>
      <c r="T925" s="14">
        <v>0.55683302670451895</v>
      </c>
      <c r="U925" s="14">
        <v>0.58800265242349803</v>
      </c>
      <c r="V925" s="14">
        <v>0.465961478452389</v>
      </c>
      <c r="W925" s="14">
        <v>0.54332981239335099</v>
      </c>
      <c r="X925" s="14">
        <v>0.57921644902548397</v>
      </c>
      <c r="Y925" s="14">
        <v>0.57094627066458703</v>
      </c>
      <c r="Z925" s="14">
        <v>0.49265855780380502</v>
      </c>
      <c r="AA925" s="14"/>
      <c r="AB925" s="14">
        <v>0.48357120462205799</v>
      </c>
      <c r="AC925" s="14">
        <v>0.55600965664197599</v>
      </c>
      <c r="AD925" s="14">
        <v>0.57528458064716304</v>
      </c>
      <c r="AE925" s="14">
        <v>0.51455730105796904</v>
      </c>
      <c r="AF925" s="14"/>
      <c r="AG925" s="14">
        <v>0.40470400808128398</v>
      </c>
      <c r="AH925" s="14">
        <v>0.636864900036335</v>
      </c>
      <c r="AI925" s="14"/>
      <c r="AJ925" s="14">
        <v>0.47968849910113998</v>
      </c>
      <c r="AK925" s="14">
        <v>0.58257853579600805</v>
      </c>
      <c r="AL925" s="14"/>
      <c r="AM925" s="14">
        <v>0.55150751016451904</v>
      </c>
      <c r="AN925" s="14">
        <v>0.45740086724829698</v>
      </c>
    </row>
    <row r="926" spans="2:40" x14ac:dyDescent="0.35">
      <c r="B926" t="s">
        <v>157</v>
      </c>
      <c r="C926" s="14">
        <v>0.20189195593789</v>
      </c>
      <c r="D926" s="14">
        <v>0.20199362563366899</v>
      </c>
      <c r="E926" s="14">
        <v>0.20090615404789899</v>
      </c>
      <c r="F926" s="14"/>
      <c r="G926" s="14" t="s">
        <v>76</v>
      </c>
      <c r="H926" s="14" t="s">
        <v>76</v>
      </c>
      <c r="I926" s="14">
        <v>0.20189195593789</v>
      </c>
      <c r="J926" s="14"/>
      <c r="K926" s="14" t="s">
        <v>76</v>
      </c>
      <c r="L926" s="14">
        <v>0.20758392033445799</v>
      </c>
      <c r="M926" s="14">
        <v>0.192839263480277</v>
      </c>
      <c r="N926" s="14"/>
      <c r="O926" s="14">
        <v>0.21008763058122701</v>
      </c>
      <c r="P926" s="14">
        <v>0.154722769568339</v>
      </c>
      <c r="Q926" s="14"/>
      <c r="R926" s="14">
        <v>0.21343957741226999</v>
      </c>
      <c r="S926" s="14">
        <v>0.21390304311133501</v>
      </c>
      <c r="T926" s="14">
        <v>0.19364336822889699</v>
      </c>
      <c r="U926" s="14">
        <v>0.15272358420011101</v>
      </c>
      <c r="V926" s="14">
        <v>0.22003749709950901</v>
      </c>
      <c r="W926" s="14">
        <v>0.216241148972799</v>
      </c>
      <c r="X926" s="14">
        <v>0.21755873163961401</v>
      </c>
      <c r="Y926" s="14">
        <v>0.10183592673816901</v>
      </c>
      <c r="Z926" s="14">
        <v>0.22359433989313601</v>
      </c>
      <c r="AA926" s="14"/>
      <c r="AB926" s="14">
        <v>0.280468151275024</v>
      </c>
      <c r="AC926" s="14">
        <v>0.18902070713406499</v>
      </c>
      <c r="AD926" s="14">
        <v>0.21008822350747799</v>
      </c>
      <c r="AE926" s="14">
        <v>0.160921350831885</v>
      </c>
      <c r="AF926" s="14"/>
      <c r="AG926" s="14">
        <v>0.20257227965188199</v>
      </c>
      <c r="AH926" s="14">
        <v>0.18911478443181801</v>
      </c>
      <c r="AI926" s="14"/>
      <c r="AJ926" s="14">
        <v>0.19822571024916799</v>
      </c>
      <c r="AK926" s="14">
        <v>0.20671019007670399</v>
      </c>
      <c r="AL926" s="14"/>
      <c r="AM926" s="14">
        <v>0.13292089067916901</v>
      </c>
      <c r="AN926" s="14">
        <v>0.27959906151646902</v>
      </c>
    </row>
    <row r="927" spans="2:40" x14ac:dyDescent="0.35">
      <c r="B927" t="s">
        <v>158</v>
      </c>
      <c r="C927" s="14">
        <v>7.8015155086081797E-2</v>
      </c>
      <c r="D927" s="14">
        <v>6.3822105318724703E-2</v>
      </c>
      <c r="E927" s="14">
        <v>9.0834505823667505E-2</v>
      </c>
      <c r="F927" s="14"/>
      <c r="G927" s="14" t="s">
        <v>76</v>
      </c>
      <c r="H927" s="14" t="s">
        <v>76</v>
      </c>
      <c r="I927" s="14">
        <v>7.8015155086081797E-2</v>
      </c>
      <c r="J927" s="14"/>
      <c r="K927" s="14" t="s">
        <v>76</v>
      </c>
      <c r="L927" s="14">
        <v>6.2827226680053694E-2</v>
      </c>
      <c r="M927" s="14">
        <v>0.102170549489273</v>
      </c>
      <c r="N927" s="14"/>
      <c r="O927" s="14">
        <v>8.1675830110688005E-2</v>
      </c>
      <c r="P927" s="14">
        <v>4.1709975380906102E-2</v>
      </c>
      <c r="Q927" s="14"/>
      <c r="R927" s="14">
        <v>3.0851319010029798E-2</v>
      </c>
      <c r="S927" s="14">
        <v>5.7121181320843303E-2</v>
      </c>
      <c r="T927" s="14">
        <v>6.3147344382652904E-2</v>
      </c>
      <c r="U927" s="14">
        <v>0.107173654180255</v>
      </c>
      <c r="V927" s="14">
        <v>0.105563732647509</v>
      </c>
      <c r="W927" s="14">
        <v>5.9055218987189698E-2</v>
      </c>
      <c r="X927" s="14">
        <v>0.123287984951141</v>
      </c>
      <c r="Y927" s="14">
        <v>0.15104432116407199</v>
      </c>
      <c r="Z927" s="14">
        <v>8.59918747511801E-2</v>
      </c>
      <c r="AA927" s="14"/>
      <c r="AB927" s="14">
        <v>5.4993465956150803E-2</v>
      </c>
      <c r="AC927" s="14">
        <v>4.4492432045523597E-2</v>
      </c>
      <c r="AD927" s="14">
        <v>8.4712191826107799E-2</v>
      </c>
      <c r="AE927" s="14">
        <v>0.122706533561797</v>
      </c>
      <c r="AF927" s="14"/>
      <c r="AG927" s="14">
        <v>7.0215180460166102E-2</v>
      </c>
      <c r="AH927" s="14">
        <v>4.4457925291714502E-2</v>
      </c>
      <c r="AI927" s="14"/>
      <c r="AJ927" s="14">
        <v>6.1895972808048497E-2</v>
      </c>
      <c r="AK927" s="14">
        <v>0.124129208719442</v>
      </c>
      <c r="AL927" s="14"/>
      <c r="AM927" s="14">
        <v>6.5397146656384894E-2</v>
      </c>
      <c r="AN927" s="14">
        <v>0.12440929573842099</v>
      </c>
    </row>
    <row r="928" spans="2:40" x14ac:dyDescent="0.35">
      <c r="B928" t="s">
        <v>70</v>
      </c>
      <c r="C928" s="14">
        <v>2.51998255819853E-3</v>
      </c>
      <c r="D928" s="14">
        <v>0</v>
      </c>
      <c r="E928" s="14">
        <v>5.0933319003407104E-3</v>
      </c>
      <c r="F928" s="14"/>
      <c r="G928" s="14" t="s">
        <v>76</v>
      </c>
      <c r="H928" s="14" t="s">
        <v>76</v>
      </c>
      <c r="I928" s="14">
        <v>2.51998255819853E-3</v>
      </c>
      <c r="J928" s="14"/>
      <c r="K928" s="14" t="s">
        <v>76</v>
      </c>
      <c r="L928" s="14">
        <v>4.1044449784562002E-3</v>
      </c>
      <c r="M928" s="14">
        <v>0</v>
      </c>
      <c r="N928" s="14"/>
      <c r="O928" s="14">
        <v>3.0620022915952101E-3</v>
      </c>
      <c r="P928" s="14">
        <v>0</v>
      </c>
      <c r="Q928" s="14"/>
      <c r="R928" s="14">
        <v>0</v>
      </c>
      <c r="S928" s="14">
        <v>6.1595065767279704E-3</v>
      </c>
      <c r="T928" s="14">
        <v>0</v>
      </c>
      <c r="U928" s="14">
        <v>1.3951915962407E-2</v>
      </c>
      <c r="V928" s="14">
        <v>0</v>
      </c>
      <c r="W928" s="14">
        <v>0</v>
      </c>
      <c r="X928" s="14">
        <v>0</v>
      </c>
      <c r="Y928" s="14">
        <v>0</v>
      </c>
      <c r="Z928" s="14">
        <v>0</v>
      </c>
      <c r="AA928" s="14"/>
      <c r="AB928" s="14">
        <v>0</v>
      </c>
      <c r="AC928" s="14">
        <v>0</v>
      </c>
      <c r="AD928" s="14">
        <v>0</v>
      </c>
      <c r="AE928" s="14">
        <v>0</v>
      </c>
      <c r="AF928" s="14"/>
      <c r="AG928" s="14">
        <v>0</v>
      </c>
      <c r="AH928" s="14">
        <v>0</v>
      </c>
      <c r="AI928" s="14"/>
      <c r="AJ928" s="14">
        <v>0</v>
      </c>
      <c r="AK928" s="14">
        <v>0</v>
      </c>
      <c r="AL928" s="14"/>
      <c r="AM928" s="14">
        <v>0</v>
      </c>
      <c r="AN928" s="14">
        <v>4.3964905495377602E-3</v>
      </c>
    </row>
    <row r="929" spans="2:40" x14ac:dyDescent="0.35"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  <c r="AA929" s="14"/>
      <c r="AB929" s="14"/>
      <c r="AC929" s="14"/>
      <c r="AD929" s="14"/>
      <c r="AE929" s="14"/>
      <c r="AF929" s="14"/>
      <c r="AG929" s="14"/>
      <c r="AH929" s="14"/>
      <c r="AI929" s="14"/>
      <c r="AJ929" s="14"/>
      <c r="AK929" s="14"/>
      <c r="AL929" s="14"/>
      <c r="AM929" s="14"/>
      <c r="AN929" s="14"/>
    </row>
    <row r="930" spans="2:40" x14ac:dyDescent="0.35">
      <c r="B930" s="6" t="s">
        <v>268</v>
      </c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  <c r="AA930" s="14"/>
      <c r="AB930" s="14"/>
      <c r="AC930" s="14"/>
      <c r="AD930" s="14"/>
      <c r="AE930" s="14"/>
      <c r="AF930" s="14"/>
      <c r="AG930" s="14"/>
      <c r="AH930" s="14"/>
      <c r="AI930" s="14"/>
      <c r="AJ930" s="14"/>
      <c r="AK930" s="14"/>
      <c r="AL930" s="14"/>
      <c r="AM930" s="14"/>
      <c r="AN930" s="14"/>
    </row>
    <row r="931" spans="2:40" x14ac:dyDescent="0.35">
      <c r="B931" s="26" t="s">
        <v>395</v>
      </c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  <c r="AA931" s="14"/>
      <c r="AB931" s="14"/>
      <c r="AC931" s="14"/>
      <c r="AD931" s="14"/>
      <c r="AE931" s="14"/>
      <c r="AF931" s="14"/>
      <c r="AG931" s="14"/>
      <c r="AH931" s="14"/>
      <c r="AI931" s="14"/>
      <c r="AJ931" s="14"/>
      <c r="AK931" s="14"/>
      <c r="AL931" s="14"/>
      <c r="AM931" s="14"/>
      <c r="AN931" s="14"/>
    </row>
    <row r="932" spans="2:40" x14ac:dyDescent="0.35">
      <c r="B932" t="s">
        <v>160</v>
      </c>
      <c r="C932" s="14">
        <v>0.16380203142687499</v>
      </c>
      <c r="D932" s="14">
        <v>0.166368031221512</v>
      </c>
      <c r="E932" s="14">
        <v>0.15995845652010901</v>
      </c>
      <c r="F932" s="14"/>
      <c r="G932" s="14" t="s">
        <v>76</v>
      </c>
      <c r="H932" s="14" t="s">
        <v>76</v>
      </c>
      <c r="I932" s="14">
        <v>0.16380203142687499</v>
      </c>
      <c r="J932" s="14"/>
      <c r="K932" s="14" t="s">
        <v>76</v>
      </c>
      <c r="L932" s="14">
        <v>0.180482824566193</v>
      </c>
      <c r="M932" s="14">
        <v>0.13727233452111701</v>
      </c>
      <c r="N932" s="14"/>
      <c r="O932" s="14">
        <v>0.12603272690205999</v>
      </c>
      <c r="P932" s="14">
        <v>0.36564182952181101</v>
      </c>
      <c r="Q932" s="14"/>
      <c r="R932" s="14">
        <v>0.22233743725538499</v>
      </c>
      <c r="S932" s="14">
        <v>0.16167101665817599</v>
      </c>
      <c r="T932" s="14">
        <v>0.13438133630441701</v>
      </c>
      <c r="U932" s="14">
        <v>0.116602067150299</v>
      </c>
      <c r="V932" s="14">
        <v>0.23667553721037199</v>
      </c>
      <c r="W932" s="14">
        <v>0.12341531819247099</v>
      </c>
      <c r="X932" s="14">
        <v>0.14305133830692701</v>
      </c>
      <c r="Y932" s="14">
        <v>5.7824723082964498E-2</v>
      </c>
      <c r="Z932" s="14">
        <v>0.18175226728625801</v>
      </c>
      <c r="AA932" s="14"/>
      <c r="AB932" s="14">
        <v>0.144326259225591</v>
      </c>
      <c r="AC932" s="14">
        <v>0.31069273702754502</v>
      </c>
      <c r="AD932" s="14">
        <v>7.03023233437262E-2</v>
      </c>
      <c r="AE932" s="14">
        <v>0.19606512874234699</v>
      </c>
      <c r="AF932" s="14"/>
      <c r="AG932" s="14">
        <v>0.27916293435145301</v>
      </c>
      <c r="AH932" s="14">
        <v>6.1166658331105801E-2</v>
      </c>
      <c r="AI932" s="14"/>
      <c r="AJ932" s="14">
        <v>0.208753402134569</v>
      </c>
      <c r="AK932" s="14">
        <v>5.6230601548246002E-2</v>
      </c>
      <c r="AL932" s="14"/>
      <c r="AM932" s="14">
        <v>0.27560736943370201</v>
      </c>
      <c r="AN932" s="14">
        <v>3.7068066240695599E-2</v>
      </c>
    </row>
    <row r="933" spans="2:40" x14ac:dyDescent="0.35">
      <c r="B933" t="s">
        <v>161</v>
      </c>
      <c r="C933" s="14">
        <v>0.44125851567629099</v>
      </c>
      <c r="D933" s="14">
        <v>0.47603965661543002</v>
      </c>
      <c r="E933" s="14">
        <v>0.408909402544329</v>
      </c>
      <c r="F933" s="14"/>
      <c r="G933" s="14" t="s">
        <v>76</v>
      </c>
      <c r="H933" s="14" t="s">
        <v>76</v>
      </c>
      <c r="I933" s="14">
        <v>0.44125851567629099</v>
      </c>
      <c r="J933" s="14"/>
      <c r="K933" s="14" t="s">
        <v>76</v>
      </c>
      <c r="L933" s="14">
        <v>0.448829311419779</v>
      </c>
      <c r="M933" s="14">
        <v>0.429217666375385</v>
      </c>
      <c r="N933" s="14"/>
      <c r="O933" s="14">
        <v>0.44423305999367602</v>
      </c>
      <c r="P933" s="14">
        <v>0.42113500419654198</v>
      </c>
      <c r="Q933" s="14"/>
      <c r="R933" s="14">
        <v>0.49828559816392598</v>
      </c>
      <c r="S933" s="14">
        <v>0.46801703869094002</v>
      </c>
      <c r="T933" s="14">
        <v>0.53315479306396696</v>
      </c>
      <c r="U933" s="14">
        <v>0.39128809750013899</v>
      </c>
      <c r="V933" s="14">
        <v>0.288343023482517</v>
      </c>
      <c r="W933" s="14">
        <v>0.44647875699797601</v>
      </c>
      <c r="X933" s="14">
        <v>0.496702931845384</v>
      </c>
      <c r="Y933" s="14">
        <v>0.35661685211982802</v>
      </c>
      <c r="Z933" s="14">
        <v>0.41954119997933098</v>
      </c>
      <c r="AA933" s="14"/>
      <c r="AB933" s="14">
        <v>0.32519505542257499</v>
      </c>
      <c r="AC933" s="14">
        <v>0.54244262093267204</v>
      </c>
      <c r="AD933" s="14">
        <v>0.402873962294929</v>
      </c>
      <c r="AE933" s="14">
        <v>0.49510521366768001</v>
      </c>
      <c r="AF933" s="14"/>
      <c r="AG933" s="14">
        <v>0.46562026024062297</v>
      </c>
      <c r="AH933" s="14">
        <v>0.32936209367654601</v>
      </c>
      <c r="AI933" s="14"/>
      <c r="AJ933" s="14">
        <v>0.42161091318365101</v>
      </c>
      <c r="AK933" s="14">
        <v>0.44632865931828097</v>
      </c>
      <c r="AL933" s="14"/>
      <c r="AM933" s="14">
        <v>0.55231303028336398</v>
      </c>
      <c r="AN933" s="14">
        <v>0.18596980138859401</v>
      </c>
    </row>
    <row r="934" spans="2:40" x14ac:dyDescent="0.35">
      <c r="B934" t="s">
        <v>162</v>
      </c>
      <c r="C934" s="14">
        <v>0.27829040048216702</v>
      </c>
      <c r="D934" s="14">
        <v>0.25057177303770201</v>
      </c>
      <c r="E934" s="14">
        <v>0.30603740311967098</v>
      </c>
      <c r="F934" s="14"/>
      <c r="G934" s="14" t="s">
        <v>76</v>
      </c>
      <c r="H934" s="14" t="s">
        <v>76</v>
      </c>
      <c r="I934" s="14">
        <v>0.27829040048216702</v>
      </c>
      <c r="J934" s="14"/>
      <c r="K934" s="14" t="s">
        <v>76</v>
      </c>
      <c r="L934" s="14">
        <v>0.27425813415188</v>
      </c>
      <c r="M934" s="14">
        <v>0.28470345306859801</v>
      </c>
      <c r="N934" s="14"/>
      <c r="O934" s="14">
        <v>0.30161385512843297</v>
      </c>
      <c r="P934" s="14">
        <v>0.175710802484218</v>
      </c>
      <c r="Q934" s="14"/>
      <c r="R934" s="14">
        <v>0.199703481378779</v>
      </c>
      <c r="S934" s="14">
        <v>0.26552899474108499</v>
      </c>
      <c r="T934" s="14">
        <v>0.20557965199304301</v>
      </c>
      <c r="U934" s="14">
        <v>0.37635921590941301</v>
      </c>
      <c r="V934" s="14">
        <v>0.32515349973044</v>
      </c>
      <c r="W934" s="14">
        <v>0.30464299064822897</v>
      </c>
      <c r="X934" s="14">
        <v>0.23847899563986399</v>
      </c>
      <c r="Y934" s="14">
        <v>0.40506082842888302</v>
      </c>
      <c r="Z934" s="14">
        <v>0.28423825190489999</v>
      </c>
      <c r="AA934" s="14"/>
      <c r="AB934" s="14">
        <v>0.37900785641508</v>
      </c>
      <c r="AC934" s="14">
        <v>0.121320614848374</v>
      </c>
      <c r="AD934" s="14">
        <v>0.34142891900835998</v>
      </c>
      <c r="AE934" s="14">
        <v>0.24149459574920101</v>
      </c>
      <c r="AF934" s="14"/>
      <c r="AG934" s="14">
        <v>0.21942785675628401</v>
      </c>
      <c r="AH934" s="14">
        <v>0.25402978931058601</v>
      </c>
      <c r="AI934" s="14"/>
      <c r="AJ934" s="14">
        <v>0.23060376273699501</v>
      </c>
      <c r="AK934" s="14">
        <v>0.35496600926166699</v>
      </c>
      <c r="AL934" s="14"/>
      <c r="AM934" s="14">
        <v>0.15003793391531001</v>
      </c>
      <c r="AN934" s="14">
        <v>0.40606215427073</v>
      </c>
    </row>
    <row r="935" spans="2:40" x14ac:dyDescent="0.35">
      <c r="B935" t="s">
        <v>163</v>
      </c>
      <c r="C935" s="14">
        <v>0.114381644356125</v>
      </c>
      <c r="D935" s="14">
        <v>0.104269152226558</v>
      </c>
      <c r="E935" s="14">
        <v>0.12330324431786301</v>
      </c>
      <c r="F935" s="14"/>
      <c r="G935" s="14" t="s">
        <v>76</v>
      </c>
      <c r="H935" s="14" t="s">
        <v>76</v>
      </c>
      <c r="I935" s="14">
        <v>0.114381644356125</v>
      </c>
      <c r="J935" s="14"/>
      <c r="K935" s="14" t="s">
        <v>76</v>
      </c>
      <c r="L935" s="14">
        <v>9.27366679440359E-2</v>
      </c>
      <c r="M935" s="14">
        <v>0.14880654603490001</v>
      </c>
      <c r="N935" s="14"/>
      <c r="O935" s="14">
        <v>0.12644226370672201</v>
      </c>
      <c r="P935" s="14">
        <v>3.21179502161799E-2</v>
      </c>
      <c r="Q935" s="14"/>
      <c r="R935" s="14">
        <v>7.9673483201910006E-2</v>
      </c>
      <c r="S935" s="14">
        <v>0.104782949909798</v>
      </c>
      <c r="T935" s="14">
        <v>0.12688421863857299</v>
      </c>
      <c r="U935" s="14">
        <v>0.10252257522960501</v>
      </c>
      <c r="V935" s="14">
        <v>0.14982793957667101</v>
      </c>
      <c r="W935" s="14">
        <v>0.116125559529646</v>
      </c>
      <c r="X935" s="14">
        <v>0.12176673420782499</v>
      </c>
      <c r="Y935" s="14">
        <v>0.18049759636832399</v>
      </c>
      <c r="Z935" s="14">
        <v>0.11446828082951099</v>
      </c>
      <c r="AA935" s="14"/>
      <c r="AB935" s="14">
        <v>0.14369476211514601</v>
      </c>
      <c r="AC935" s="14">
        <v>2.55440271914089E-2</v>
      </c>
      <c r="AD935" s="14">
        <v>0.185394795352984</v>
      </c>
      <c r="AE935" s="14">
        <v>6.7335061840771704E-2</v>
      </c>
      <c r="AF935" s="14"/>
      <c r="AG935" s="14">
        <v>3.5788948651640597E-2</v>
      </c>
      <c r="AH935" s="14">
        <v>0.35544145868176202</v>
      </c>
      <c r="AI935" s="14"/>
      <c r="AJ935" s="14">
        <v>0.139031921944786</v>
      </c>
      <c r="AK935" s="14">
        <v>0.14247472987180501</v>
      </c>
      <c r="AL935" s="14"/>
      <c r="AM935" s="14">
        <v>1.9489622305341001E-2</v>
      </c>
      <c r="AN935" s="14">
        <v>0.37089997809997999</v>
      </c>
    </row>
    <row r="936" spans="2:40" x14ac:dyDescent="0.35">
      <c r="B936" t="s">
        <v>70</v>
      </c>
      <c r="C936" s="14">
        <v>2.2674080585409302E-3</v>
      </c>
      <c r="D936" s="14">
        <v>2.7513868987978701E-3</v>
      </c>
      <c r="E936" s="14">
        <v>1.79149349802854E-3</v>
      </c>
      <c r="F936" s="14"/>
      <c r="G936" s="14" t="s">
        <v>76</v>
      </c>
      <c r="H936" s="14" t="s">
        <v>76</v>
      </c>
      <c r="I936" s="14">
        <v>2.2674080585409302E-3</v>
      </c>
      <c r="J936" s="14"/>
      <c r="K936" s="14" t="s">
        <v>76</v>
      </c>
      <c r="L936" s="14">
        <v>3.6930619181119902E-3</v>
      </c>
      <c r="M936" s="14">
        <v>0</v>
      </c>
      <c r="N936" s="14"/>
      <c r="O936" s="14">
        <v>1.67809426910978E-3</v>
      </c>
      <c r="P936" s="14">
        <v>5.3944135812482802E-3</v>
      </c>
      <c r="Q936" s="14"/>
      <c r="R936" s="14">
        <v>0</v>
      </c>
      <c r="S936" s="14">
        <v>0</v>
      </c>
      <c r="T936" s="14">
        <v>0</v>
      </c>
      <c r="U936" s="14">
        <v>1.3228044210543801E-2</v>
      </c>
      <c r="V936" s="14">
        <v>0</v>
      </c>
      <c r="W936" s="14">
        <v>9.3373746316768504E-3</v>
      </c>
      <c r="X936" s="14">
        <v>0</v>
      </c>
      <c r="Y936" s="14">
        <v>0</v>
      </c>
      <c r="Z936" s="14">
        <v>0</v>
      </c>
      <c r="AA936" s="14"/>
      <c r="AB936" s="14">
        <v>7.7760668216083602E-3</v>
      </c>
      <c r="AC936" s="14">
        <v>0</v>
      </c>
      <c r="AD936" s="14">
        <v>0</v>
      </c>
      <c r="AE936" s="14">
        <v>0</v>
      </c>
      <c r="AF936" s="14"/>
      <c r="AG936" s="14">
        <v>0</v>
      </c>
      <c r="AH936" s="14">
        <v>0</v>
      </c>
      <c r="AI936" s="14"/>
      <c r="AJ936" s="14">
        <v>0</v>
      </c>
      <c r="AK936" s="14">
        <v>0</v>
      </c>
      <c r="AL936" s="14"/>
      <c r="AM936" s="14">
        <v>2.5520440622834699E-3</v>
      </c>
      <c r="AN936" s="14">
        <v>0</v>
      </c>
    </row>
    <row r="937" spans="2:40" x14ac:dyDescent="0.35">
      <c r="B937" t="s">
        <v>164</v>
      </c>
      <c r="C937" s="14">
        <v>0.60506054710316604</v>
      </c>
      <c r="D937" s="14">
        <v>0.64240768783694202</v>
      </c>
      <c r="E937" s="14">
        <v>0.56886785906443804</v>
      </c>
      <c r="F937" s="14"/>
      <c r="G937" s="14" t="s">
        <v>76</v>
      </c>
      <c r="H937" s="14" t="s">
        <v>76</v>
      </c>
      <c r="I937" s="14">
        <v>0.60506054710316604</v>
      </c>
      <c r="J937" s="14"/>
      <c r="K937" s="14" t="s">
        <v>76</v>
      </c>
      <c r="L937" s="14">
        <v>0.62931213598597202</v>
      </c>
      <c r="M937" s="14">
        <v>0.56649000089650203</v>
      </c>
      <c r="N937" s="14"/>
      <c r="O937" s="14">
        <v>0.57026578689573504</v>
      </c>
      <c r="P937" s="14">
        <v>0.78677683371835405</v>
      </c>
      <c r="Q937" s="14"/>
      <c r="R937" s="14">
        <v>0.72062303541931105</v>
      </c>
      <c r="S937" s="14">
        <v>0.62968805534911698</v>
      </c>
      <c r="T937" s="14">
        <v>0.66753612936838402</v>
      </c>
      <c r="U937" s="14">
        <v>0.50789016465043801</v>
      </c>
      <c r="V937" s="14">
        <v>0.52501856069288899</v>
      </c>
      <c r="W937" s="14">
        <v>0.56989407519044699</v>
      </c>
      <c r="X937" s="14">
        <v>0.63975427015231101</v>
      </c>
      <c r="Y937" s="14">
        <v>0.41444157520279201</v>
      </c>
      <c r="Z937" s="14">
        <v>0.60129346726558897</v>
      </c>
      <c r="AA937" s="14"/>
      <c r="AB937" s="14">
        <v>0.46952131464816599</v>
      </c>
      <c r="AC937" s="14">
        <v>0.853135357960217</v>
      </c>
      <c r="AD937" s="14">
        <v>0.47317628563865499</v>
      </c>
      <c r="AE937" s="14">
        <v>0.69117034241002695</v>
      </c>
      <c r="AF937" s="14"/>
      <c r="AG937" s="14">
        <v>0.74478319459207598</v>
      </c>
      <c r="AH937" s="14">
        <v>0.39052875200765202</v>
      </c>
      <c r="AI937" s="14"/>
      <c r="AJ937" s="14">
        <v>0.63036431531821902</v>
      </c>
      <c r="AK937" s="14">
        <v>0.50255926086652702</v>
      </c>
      <c r="AL937" s="14"/>
      <c r="AM937" s="14">
        <v>0.82792039971706599</v>
      </c>
      <c r="AN937" s="14">
        <v>0.22303786762928901</v>
      </c>
    </row>
    <row r="938" spans="2:40" x14ac:dyDescent="0.35"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  <c r="AA938" s="14"/>
      <c r="AB938" s="14"/>
      <c r="AC938" s="14"/>
      <c r="AD938" s="14"/>
      <c r="AE938" s="14"/>
      <c r="AF938" s="14"/>
      <c r="AG938" s="14"/>
      <c r="AH938" s="14"/>
      <c r="AI938" s="14"/>
      <c r="AJ938" s="14"/>
      <c r="AK938" s="14"/>
      <c r="AL938" s="14"/>
      <c r="AM938" s="14"/>
      <c r="AN938" s="14"/>
    </row>
    <row r="939" spans="2:40" x14ac:dyDescent="0.35">
      <c r="B939" s="6" t="s">
        <v>269</v>
      </c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  <c r="AA939" s="14"/>
      <c r="AB939" s="14"/>
      <c r="AC939" s="14"/>
      <c r="AD939" s="14"/>
      <c r="AE939" s="14"/>
      <c r="AF939" s="14"/>
      <c r="AG939" s="14"/>
      <c r="AH939" s="14"/>
      <c r="AI939" s="14"/>
      <c r="AJ939" s="14"/>
      <c r="AK939" s="14"/>
      <c r="AL939" s="14"/>
      <c r="AM939" s="14"/>
      <c r="AN939" s="14"/>
    </row>
    <row r="940" spans="2:40" x14ac:dyDescent="0.35">
      <c r="B940" s="26" t="s">
        <v>395</v>
      </c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  <c r="AA940" s="14"/>
      <c r="AB940" s="14"/>
      <c r="AC940" s="14"/>
      <c r="AD940" s="14"/>
      <c r="AE940" s="14"/>
      <c r="AF940" s="14"/>
      <c r="AG940" s="14"/>
      <c r="AH940" s="14"/>
      <c r="AI940" s="14"/>
      <c r="AJ940" s="14"/>
      <c r="AK940" s="14"/>
      <c r="AL940" s="14"/>
      <c r="AM940" s="14"/>
      <c r="AN940" s="14"/>
    </row>
    <row r="941" spans="2:40" x14ac:dyDescent="0.35">
      <c r="B941" t="s">
        <v>166</v>
      </c>
      <c r="C941" s="14">
        <v>0.14738480652904401</v>
      </c>
      <c r="D941" s="14">
        <v>0.164762882736842</v>
      </c>
      <c r="E941" s="14">
        <v>0.12840478917338999</v>
      </c>
      <c r="F941" s="14"/>
      <c r="G941" s="14" t="s">
        <v>76</v>
      </c>
      <c r="H941" s="14" t="s">
        <v>76</v>
      </c>
      <c r="I941" s="14">
        <v>0.14738480652904401</v>
      </c>
      <c r="J941" s="14"/>
      <c r="K941" s="14" t="s">
        <v>76</v>
      </c>
      <c r="L941" s="14">
        <v>0.166441348776007</v>
      </c>
      <c r="M941" s="14">
        <v>0.117076637986864</v>
      </c>
      <c r="N941" s="14"/>
      <c r="O941" s="14">
        <v>0.118899200445532</v>
      </c>
      <c r="P941" s="14">
        <v>0.301455985064219</v>
      </c>
      <c r="Q941" s="14"/>
      <c r="R941" s="14">
        <v>0.24131366027836201</v>
      </c>
      <c r="S941" s="14">
        <v>0.13012073578929301</v>
      </c>
      <c r="T941" s="14">
        <v>0.132784308462054</v>
      </c>
      <c r="U941" s="14">
        <v>0.11437778113099099</v>
      </c>
      <c r="V941" s="14">
        <v>0.138243617737109</v>
      </c>
      <c r="W941" s="14">
        <v>0.101298545818998</v>
      </c>
      <c r="X941" s="14">
        <v>0.103456130470833</v>
      </c>
      <c r="Y941" s="14">
        <v>9.8783365407729098E-2</v>
      </c>
      <c r="Z941" s="14">
        <v>0.170554450154106</v>
      </c>
      <c r="AA941" s="14"/>
      <c r="AB941" s="14">
        <v>0.130104467637566</v>
      </c>
      <c r="AC941" s="14">
        <v>0.23337733579588099</v>
      </c>
      <c r="AD941" s="14">
        <v>8.5721891125327201E-2</v>
      </c>
      <c r="AE941" s="14">
        <v>0.13200904936541399</v>
      </c>
      <c r="AF941" s="14"/>
      <c r="AG941" s="14">
        <v>0.241478093831823</v>
      </c>
      <c r="AH941" s="14">
        <v>0</v>
      </c>
      <c r="AI941" s="14"/>
      <c r="AJ941" s="14">
        <v>0.163484286149821</v>
      </c>
      <c r="AK941" s="14">
        <v>6.8276164940038298E-2</v>
      </c>
      <c r="AL941" s="14"/>
      <c r="AM941" s="14">
        <v>0.25921045186977498</v>
      </c>
      <c r="AN941" s="14">
        <v>8.4002951282811204E-3</v>
      </c>
    </row>
    <row r="942" spans="2:40" x14ac:dyDescent="0.35">
      <c r="B942" t="s">
        <v>167</v>
      </c>
      <c r="C942" s="14">
        <v>0.33480843041506497</v>
      </c>
      <c r="D942" s="14">
        <v>0.36434221417220403</v>
      </c>
      <c r="E942" s="14">
        <v>0.30707432231110499</v>
      </c>
      <c r="F942" s="14"/>
      <c r="G942" s="14" t="s">
        <v>76</v>
      </c>
      <c r="H942" s="14" t="s">
        <v>76</v>
      </c>
      <c r="I942" s="14">
        <v>0.33480843041506497</v>
      </c>
      <c r="J942" s="14"/>
      <c r="K942" s="14" t="s">
        <v>76</v>
      </c>
      <c r="L942" s="14">
        <v>0.35394059040217402</v>
      </c>
      <c r="M942" s="14">
        <v>0.30437999686449901</v>
      </c>
      <c r="N942" s="14"/>
      <c r="O942" s="14">
        <v>0.32812705856732999</v>
      </c>
      <c r="P942" s="14">
        <v>0.37500691450532903</v>
      </c>
      <c r="Q942" s="14"/>
      <c r="R942" s="14">
        <v>0.37864938011215998</v>
      </c>
      <c r="S942" s="14">
        <v>0.37485425947459899</v>
      </c>
      <c r="T942" s="14">
        <v>0.28507768859626398</v>
      </c>
      <c r="U942" s="14">
        <v>0.30772880256444002</v>
      </c>
      <c r="V942" s="14">
        <v>0.284367469670333</v>
      </c>
      <c r="W942" s="14">
        <v>0.38001802063077</v>
      </c>
      <c r="X942" s="14">
        <v>0.34525944470422198</v>
      </c>
      <c r="Y942" s="14">
        <v>0.249480207483183</v>
      </c>
      <c r="Z942" s="14">
        <v>0.31150453229395803</v>
      </c>
      <c r="AA942" s="14"/>
      <c r="AB942" s="14">
        <v>0.240560591414443</v>
      </c>
      <c r="AC942" s="14">
        <v>0.46511079348697398</v>
      </c>
      <c r="AD942" s="14">
        <v>0.21550632182132001</v>
      </c>
      <c r="AE942" s="14">
        <v>0.42445928277419298</v>
      </c>
      <c r="AF942" s="14"/>
      <c r="AG942" s="14">
        <v>0.47978096768788098</v>
      </c>
      <c r="AH942" s="14">
        <v>0.34105158647912898</v>
      </c>
      <c r="AI942" s="14"/>
      <c r="AJ942" s="14">
        <v>0.43497345531214499</v>
      </c>
      <c r="AK942" s="14">
        <v>0.15181618146853501</v>
      </c>
      <c r="AL942" s="14"/>
      <c r="AM942" s="14">
        <v>0.482242744377673</v>
      </c>
      <c r="AN942" s="14">
        <v>0.105360677662918</v>
      </c>
    </row>
    <row r="943" spans="2:40" x14ac:dyDescent="0.35">
      <c r="B943" t="s">
        <v>168</v>
      </c>
      <c r="C943" s="14">
        <v>0.26842900900310501</v>
      </c>
      <c r="D943" s="14">
        <v>0.25447953998786099</v>
      </c>
      <c r="E943" s="14">
        <v>0.28436775250990198</v>
      </c>
      <c r="F943" s="14"/>
      <c r="G943" s="14" t="s">
        <v>76</v>
      </c>
      <c r="H943" s="14" t="s">
        <v>76</v>
      </c>
      <c r="I943" s="14">
        <v>0.26842900900310501</v>
      </c>
      <c r="J943" s="14"/>
      <c r="K943" s="14" t="s">
        <v>76</v>
      </c>
      <c r="L943" s="14">
        <v>0.26285030981075203</v>
      </c>
      <c r="M943" s="14">
        <v>0.27730156065370298</v>
      </c>
      <c r="N943" s="14"/>
      <c r="O943" s="14">
        <v>0.26814686673124499</v>
      </c>
      <c r="P943" s="14">
        <v>0.27022796051166798</v>
      </c>
      <c r="Q943" s="14"/>
      <c r="R943" s="14">
        <v>0.246603248350482</v>
      </c>
      <c r="S943" s="14">
        <v>0.25205263713003301</v>
      </c>
      <c r="T943" s="14">
        <v>0.34562753684393199</v>
      </c>
      <c r="U943" s="14">
        <v>0.25035778267534797</v>
      </c>
      <c r="V943" s="14">
        <v>0.24032514802118299</v>
      </c>
      <c r="W943" s="14">
        <v>0.27422850977313201</v>
      </c>
      <c r="X943" s="14">
        <v>0.27593652419124898</v>
      </c>
      <c r="Y943" s="14">
        <v>0.24746939522775699</v>
      </c>
      <c r="Z943" s="14">
        <v>0.30255283662048599</v>
      </c>
      <c r="AA943" s="14"/>
      <c r="AB943" s="14">
        <v>0.27688834757340702</v>
      </c>
      <c r="AC943" s="14">
        <v>0.26000716649411398</v>
      </c>
      <c r="AD943" s="14">
        <v>0.28887412843699201</v>
      </c>
      <c r="AE943" s="14">
        <v>0.29925135330269298</v>
      </c>
      <c r="AF943" s="14"/>
      <c r="AG943" s="14">
        <v>0.17675794410811599</v>
      </c>
      <c r="AH943" s="14">
        <v>0.28098781036834602</v>
      </c>
      <c r="AI943" s="14"/>
      <c r="AJ943" s="14">
        <v>0.21042262985589599</v>
      </c>
      <c r="AK943" s="14">
        <v>0.37241931135543199</v>
      </c>
      <c r="AL943" s="14"/>
      <c r="AM943" s="14">
        <v>0.19728661596837399</v>
      </c>
      <c r="AN943" s="14">
        <v>0.26326856609225302</v>
      </c>
    </row>
    <row r="944" spans="2:40" x14ac:dyDescent="0.35">
      <c r="B944" t="s">
        <v>169</v>
      </c>
      <c r="C944" s="14">
        <v>0.24198204465408801</v>
      </c>
      <c r="D944" s="14">
        <v>0.209227925191353</v>
      </c>
      <c r="E944" s="14">
        <v>0.27249690361609702</v>
      </c>
      <c r="F944" s="14"/>
      <c r="G944" s="14" t="s">
        <v>76</v>
      </c>
      <c r="H944" s="14" t="s">
        <v>76</v>
      </c>
      <c r="I944" s="14">
        <v>0.24198204465408801</v>
      </c>
      <c r="J944" s="14"/>
      <c r="K944" s="14" t="s">
        <v>76</v>
      </c>
      <c r="L944" s="14">
        <v>0.21344230996136701</v>
      </c>
      <c r="M944" s="14">
        <v>0.28737260281549698</v>
      </c>
      <c r="N944" s="14"/>
      <c r="O944" s="14">
        <v>0.27705794411476697</v>
      </c>
      <c r="P944" s="14">
        <v>4.7210977929407802E-2</v>
      </c>
      <c r="Q944" s="14"/>
      <c r="R944" s="14">
        <v>0.133433711258996</v>
      </c>
      <c r="S944" s="14">
        <v>0.23716832607182001</v>
      </c>
      <c r="T944" s="14">
        <v>0.23651046609775001</v>
      </c>
      <c r="U944" s="14">
        <v>0.327535633629221</v>
      </c>
      <c r="V944" s="14">
        <v>0.27931574866081699</v>
      </c>
      <c r="W944" s="14">
        <v>0.24445492377710001</v>
      </c>
      <c r="X944" s="14">
        <v>0.27534790063369702</v>
      </c>
      <c r="Y944" s="14">
        <v>0.40426703188133101</v>
      </c>
      <c r="Z944" s="14">
        <v>0.20791208124198399</v>
      </c>
      <c r="AA944" s="14"/>
      <c r="AB944" s="14">
        <v>0.35244659337458401</v>
      </c>
      <c r="AC944" s="14">
        <v>4.1504704223031201E-2</v>
      </c>
      <c r="AD944" s="14">
        <v>0.39594443840143101</v>
      </c>
      <c r="AE944" s="14">
        <v>0.14428031455770099</v>
      </c>
      <c r="AF944" s="14"/>
      <c r="AG944" s="14">
        <v>0.10198299437218</v>
      </c>
      <c r="AH944" s="14">
        <v>0.377960603152525</v>
      </c>
      <c r="AI944" s="14"/>
      <c r="AJ944" s="14">
        <v>0.191119628682138</v>
      </c>
      <c r="AK944" s="14">
        <v>0.39192531796131402</v>
      </c>
      <c r="AL944" s="14"/>
      <c r="AM944" s="14">
        <v>6.12601877841778E-2</v>
      </c>
      <c r="AN944" s="14">
        <v>0.59669143486630905</v>
      </c>
    </row>
    <row r="945" spans="2:40" x14ac:dyDescent="0.35">
      <c r="B945" t="s">
        <v>70</v>
      </c>
      <c r="C945" s="14">
        <v>7.3957093986978502E-3</v>
      </c>
      <c r="D945" s="14">
        <v>7.1874379117394501E-3</v>
      </c>
      <c r="E945" s="14">
        <v>7.6562323895062604E-3</v>
      </c>
      <c r="F945" s="14"/>
      <c r="G945" s="14" t="s">
        <v>76</v>
      </c>
      <c r="H945" s="14" t="s">
        <v>76</v>
      </c>
      <c r="I945" s="14">
        <v>7.3957093986978502E-3</v>
      </c>
      <c r="J945" s="14"/>
      <c r="K945" s="14" t="s">
        <v>76</v>
      </c>
      <c r="L945" s="14">
        <v>3.32544104970118E-3</v>
      </c>
      <c r="M945" s="14">
        <v>1.38692016794369E-2</v>
      </c>
      <c r="N945" s="14"/>
      <c r="O945" s="14">
        <v>7.7689301411253704E-3</v>
      </c>
      <c r="P945" s="14">
        <v>6.09816198937664E-3</v>
      </c>
      <c r="Q945" s="14"/>
      <c r="R945" s="14">
        <v>0</v>
      </c>
      <c r="S945" s="14">
        <v>5.8040415342552202E-3</v>
      </c>
      <c r="T945" s="14">
        <v>0</v>
      </c>
      <c r="U945" s="14">
        <v>0</v>
      </c>
      <c r="V945" s="14">
        <v>5.7748015910557303E-2</v>
      </c>
      <c r="W945" s="14">
        <v>0</v>
      </c>
      <c r="X945" s="14">
        <v>0</v>
      </c>
      <c r="Y945" s="14">
        <v>0</v>
      </c>
      <c r="Z945" s="14">
        <v>7.4760996894659097E-3</v>
      </c>
      <c r="AA945" s="14"/>
      <c r="AB945" s="14">
        <v>0</v>
      </c>
      <c r="AC945" s="14">
        <v>0</v>
      </c>
      <c r="AD945" s="14">
        <v>1.3953220214929399E-2</v>
      </c>
      <c r="AE945" s="14">
        <v>0</v>
      </c>
      <c r="AF945" s="14"/>
      <c r="AG945" s="14">
        <v>0</v>
      </c>
      <c r="AH945" s="14">
        <v>0</v>
      </c>
      <c r="AI945" s="14"/>
      <c r="AJ945" s="14">
        <v>0</v>
      </c>
      <c r="AK945" s="14">
        <v>1.5563024274681101E-2</v>
      </c>
      <c r="AL945" s="14"/>
      <c r="AM945" s="14">
        <v>0</v>
      </c>
      <c r="AN945" s="14">
        <v>2.6279026250238698E-2</v>
      </c>
    </row>
    <row r="946" spans="2:40" x14ac:dyDescent="0.35"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  <c r="AA946" s="14"/>
      <c r="AB946" s="14"/>
      <c r="AC946" s="14"/>
      <c r="AD946" s="14"/>
      <c r="AE946" s="14"/>
      <c r="AF946" s="14"/>
      <c r="AG946" s="14"/>
      <c r="AH946" s="14"/>
      <c r="AI946" s="14"/>
      <c r="AJ946" s="14"/>
      <c r="AK946" s="14"/>
      <c r="AL946" s="14"/>
      <c r="AM946" s="14"/>
      <c r="AN946" s="14"/>
    </row>
    <row r="947" spans="2:40" x14ac:dyDescent="0.35">
      <c r="B947" s="6" t="s">
        <v>270</v>
      </c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  <c r="AA947" s="14"/>
      <c r="AB947" s="14"/>
      <c r="AC947" s="14"/>
      <c r="AD947" s="14"/>
      <c r="AE947" s="14"/>
      <c r="AF947" s="14"/>
      <c r="AG947" s="14"/>
      <c r="AH947" s="14"/>
      <c r="AI947" s="14"/>
      <c r="AJ947" s="14"/>
      <c r="AK947" s="14"/>
      <c r="AL947" s="14"/>
      <c r="AM947" s="14"/>
      <c r="AN947" s="14"/>
    </row>
    <row r="948" spans="2:40" x14ac:dyDescent="0.35">
      <c r="B948" s="26" t="s">
        <v>395</v>
      </c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  <c r="AA948" s="14"/>
      <c r="AB948" s="14"/>
      <c r="AC948" s="14"/>
      <c r="AD948" s="14"/>
      <c r="AE948" s="14"/>
      <c r="AF948" s="14"/>
      <c r="AG948" s="14"/>
      <c r="AH948" s="14"/>
      <c r="AI948" s="14"/>
      <c r="AJ948" s="14"/>
      <c r="AK948" s="14"/>
      <c r="AL948" s="14"/>
      <c r="AM948" s="14"/>
      <c r="AN948" s="14"/>
    </row>
    <row r="949" spans="2:40" x14ac:dyDescent="0.35">
      <c r="B949" t="s">
        <v>242</v>
      </c>
      <c r="C949" s="14">
        <v>0.186581338621951</v>
      </c>
      <c r="D949" s="14">
        <v>0.18277207752779601</v>
      </c>
      <c r="E949" s="14">
        <v>0.18935722452788201</v>
      </c>
      <c r="F949" s="14"/>
      <c r="G949" s="14" t="s">
        <v>76</v>
      </c>
      <c r="H949" s="14" t="s">
        <v>76</v>
      </c>
      <c r="I949" s="14">
        <v>0.186581338621951</v>
      </c>
      <c r="J949" s="14"/>
      <c r="K949" s="14" t="s">
        <v>76</v>
      </c>
      <c r="L949" s="14">
        <v>0.179714351051944</v>
      </c>
      <c r="M949" s="14">
        <v>0.19750282762827701</v>
      </c>
      <c r="N949" s="14"/>
      <c r="O949" s="14">
        <v>0.15142427214734699</v>
      </c>
      <c r="P949" s="14">
        <v>0.37709840702289099</v>
      </c>
      <c r="Q949" s="14"/>
      <c r="R949" s="14">
        <v>0.29900973767333</v>
      </c>
      <c r="S949" s="14">
        <v>0.16976237321780799</v>
      </c>
      <c r="T949" s="14">
        <v>0.174475725909396</v>
      </c>
      <c r="U949" s="14">
        <v>0.112836189992255</v>
      </c>
      <c r="V949" s="14">
        <v>0.20313264038299</v>
      </c>
      <c r="W949" s="14">
        <v>0.16807891949545001</v>
      </c>
      <c r="X949" s="14">
        <v>0.16988921226930601</v>
      </c>
      <c r="Y949" s="14">
        <v>0.101252084143282</v>
      </c>
      <c r="Z949" s="14">
        <v>0.17759296781979</v>
      </c>
      <c r="AA949" s="14"/>
      <c r="AB949" s="14">
        <v>0.13292914691216201</v>
      </c>
      <c r="AC949" s="14">
        <v>0.20879138823878199</v>
      </c>
      <c r="AD949" s="14">
        <v>0.166496799376567</v>
      </c>
      <c r="AE949" s="14">
        <v>0.222275411870312</v>
      </c>
      <c r="AF949" s="14"/>
      <c r="AG949" s="14">
        <v>0.35638197017574602</v>
      </c>
      <c r="AH949" s="14">
        <v>9.5088277919030795E-2</v>
      </c>
      <c r="AI949" s="14"/>
      <c r="AJ949" s="14">
        <v>0.27198802098140001</v>
      </c>
      <c r="AK949" s="14">
        <v>0.119360918473217</v>
      </c>
      <c r="AL949" s="14"/>
      <c r="AM949" s="14">
        <v>0.29832673063311799</v>
      </c>
      <c r="AN949" s="14">
        <v>5.3780276714610699E-2</v>
      </c>
    </row>
    <row r="950" spans="2:40" x14ac:dyDescent="0.35">
      <c r="B950" t="s">
        <v>243</v>
      </c>
      <c r="C950" s="14">
        <v>0.41811136109193803</v>
      </c>
      <c r="D950" s="14">
        <v>0.43030967317260399</v>
      </c>
      <c r="E950" s="14">
        <v>0.406292452508833</v>
      </c>
      <c r="F950" s="14"/>
      <c r="G950" s="14" t="s">
        <v>76</v>
      </c>
      <c r="H950" s="14" t="s">
        <v>76</v>
      </c>
      <c r="I950" s="14">
        <v>0.41811136109193803</v>
      </c>
      <c r="J950" s="14"/>
      <c r="K950" s="14" t="s">
        <v>76</v>
      </c>
      <c r="L950" s="14">
        <v>0.42818720396286197</v>
      </c>
      <c r="M950" s="14">
        <v>0.40208640021609299</v>
      </c>
      <c r="N950" s="14"/>
      <c r="O950" s="14">
        <v>0.422323974592694</v>
      </c>
      <c r="P950" s="14">
        <v>0.39871335964724203</v>
      </c>
      <c r="Q950" s="14"/>
      <c r="R950" s="14">
        <v>0.41699064378283202</v>
      </c>
      <c r="S950" s="14">
        <v>0.43095161888102401</v>
      </c>
      <c r="T950" s="14">
        <v>0.40986106552988399</v>
      </c>
      <c r="U950" s="14">
        <v>0.49213000840078602</v>
      </c>
      <c r="V950" s="14">
        <v>0.31875854541296</v>
      </c>
      <c r="W950" s="14">
        <v>0.45950551640343501</v>
      </c>
      <c r="X950" s="14">
        <v>0.3695662070338</v>
      </c>
      <c r="Y950" s="14">
        <v>0.33283727610286801</v>
      </c>
      <c r="Z950" s="14">
        <v>0.45551834996246898</v>
      </c>
      <c r="AA950" s="14"/>
      <c r="AB950" s="14">
        <v>0.39035798575506098</v>
      </c>
      <c r="AC950" s="14">
        <v>0.47649575146666701</v>
      </c>
      <c r="AD950" s="14">
        <v>0.36702519265755001</v>
      </c>
      <c r="AE950" s="14">
        <v>0.45423665800180701</v>
      </c>
      <c r="AF950" s="14"/>
      <c r="AG950" s="14">
        <v>0.414168991887093</v>
      </c>
      <c r="AH950" s="14">
        <v>0.35919409488923199</v>
      </c>
      <c r="AI950" s="14"/>
      <c r="AJ950" s="14">
        <v>0.39641292351769802</v>
      </c>
      <c r="AK950" s="14">
        <v>0.40861995452322097</v>
      </c>
      <c r="AL950" s="14"/>
      <c r="AM950" s="14">
        <v>0.46257948991853398</v>
      </c>
      <c r="AN950" s="14">
        <v>0.28633345349304901</v>
      </c>
    </row>
    <row r="951" spans="2:40" x14ac:dyDescent="0.35">
      <c r="B951" t="s">
        <v>244</v>
      </c>
      <c r="C951" s="14">
        <v>0.24364219240898299</v>
      </c>
      <c r="D951" s="14">
        <v>0.22929809253420999</v>
      </c>
      <c r="E951" s="14">
        <v>0.25981631191929899</v>
      </c>
      <c r="F951" s="14"/>
      <c r="G951" s="14" t="s">
        <v>76</v>
      </c>
      <c r="H951" s="14" t="s">
        <v>76</v>
      </c>
      <c r="I951" s="14">
        <v>0.24364219240898299</v>
      </c>
      <c r="J951" s="14"/>
      <c r="K951" s="14" t="s">
        <v>76</v>
      </c>
      <c r="L951" s="14">
        <v>0.233826680447213</v>
      </c>
      <c r="M951" s="14">
        <v>0.25925311421262398</v>
      </c>
      <c r="N951" s="14"/>
      <c r="O951" s="14">
        <v>0.25536699236253602</v>
      </c>
      <c r="P951" s="14">
        <v>0.17919027259991799</v>
      </c>
      <c r="Q951" s="14"/>
      <c r="R951" s="14">
        <v>0.25496368372178102</v>
      </c>
      <c r="S951" s="14">
        <v>0.275537430079209</v>
      </c>
      <c r="T951" s="14">
        <v>0.17932772315564699</v>
      </c>
      <c r="U951" s="14">
        <v>0.189670198619627</v>
      </c>
      <c r="V951" s="14">
        <v>0.32949859772395901</v>
      </c>
      <c r="W951" s="14">
        <v>0.23340924214425399</v>
      </c>
      <c r="X951" s="14">
        <v>0.271033428402914</v>
      </c>
      <c r="Y951" s="14">
        <v>0.22489736843347799</v>
      </c>
      <c r="Z951" s="14">
        <v>0.20884477743022201</v>
      </c>
      <c r="AA951" s="14"/>
      <c r="AB951" s="14">
        <v>0.28609686686043501</v>
      </c>
      <c r="AC951" s="14">
        <v>0.26351048202119098</v>
      </c>
      <c r="AD951" s="14">
        <v>0.30419369386192702</v>
      </c>
      <c r="AE951" s="14">
        <v>0.22136044913991301</v>
      </c>
      <c r="AF951" s="14"/>
      <c r="AG951" s="14">
        <v>0.146310817168395</v>
      </c>
      <c r="AH951" s="14">
        <v>0.35640019324009897</v>
      </c>
      <c r="AI951" s="14"/>
      <c r="AJ951" s="14">
        <v>0.214166539123779</v>
      </c>
      <c r="AK951" s="14">
        <v>0.322854998955246</v>
      </c>
      <c r="AL951" s="14"/>
      <c r="AM951" s="14">
        <v>0.155186322247889</v>
      </c>
      <c r="AN951" s="14">
        <v>0.37218726209900199</v>
      </c>
    </row>
    <row r="952" spans="2:40" x14ac:dyDescent="0.35">
      <c r="B952" t="s">
        <v>245</v>
      </c>
      <c r="C952" s="14">
        <v>0.10445278882078</v>
      </c>
      <c r="D952" s="14">
        <v>0.10346669176739701</v>
      </c>
      <c r="E952" s="14">
        <v>0.104049378688363</v>
      </c>
      <c r="F952" s="14"/>
      <c r="G952" s="14" t="s">
        <v>76</v>
      </c>
      <c r="H952" s="14" t="s">
        <v>76</v>
      </c>
      <c r="I952" s="14">
        <v>0.10445278882078</v>
      </c>
      <c r="J952" s="14"/>
      <c r="K952" s="14" t="s">
        <v>76</v>
      </c>
      <c r="L952" s="14">
        <v>0.108505255077854</v>
      </c>
      <c r="M952" s="14">
        <v>9.8007609588410899E-2</v>
      </c>
      <c r="N952" s="14"/>
      <c r="O952" s="14">
        <v>0.12121741890021299</v>
      </c>
      <c r="P952" s="14">
        <v>6.4318691442378801E-3</v>
      </c>
      <c r="Q952" s="14"/>
      <c r="R952" s="14">
        <v>2.2007433260300201E-2</v>
      </c>
      <c r="S952" s="14">
        <v>9.9415630493630003E-2</v>
      </c>
      <c r="T952" s="14">
        <v>0.14235748763088801</v>
      </c>
      <c r="U952" s="14">
        <v>0.13191407961715201</v>
      </c>
      <c r="V952" s="14">
        <v>4.06198508759694E-2</v>
      </c>
      <c r="W952" s="14">
        <v>9.8272176876137998E-2</v>
      </c>
      <c r="X952" s="14">
        <v>0.16849504215335601</v>
      </c>
      <c r="Y952" s="14">
        <v>0.28183291630836899</v>
      </c>
      <c r="Z952" s="14">
        <v>0.104736890937615</v>
      </c>
      <c r="AA952" s="14"/>
      <c r="AB952" s="14">
        <v>0.172062710482733</v>
      </c>
      <c r="AC952" s="14">
        <v>2.6905554842460599E-2</v>
      </c>
      <c r="AD952" s="14">
        <v>0.118454798161269</v>
      </c>
      <c r="AE952" s="14">
        <v>7.6194793586822698E-2</v>
      </c>
      <c r="AF952" s="14"/>
      <c r="AG952" s="14">
        <v>2.0109216249426701E-2</v>
      </c>
      <c r="AH952" s="14">
        <v>0.155355445263584</v>
      </c>
      <c r="AI952" s="14"/>
      <c r="AJ952" s="14">
        <v>6.3791722633598003E-2</v>
      </c>
      <c r="AK952" s="14">
        <v>0.12772975614898199</v>
      </c>
      <c r="AL952" s="14"/>
      <c r="AM952" s="14">
        <v>4.2677075715218102E-2</v>
      </c>
      <c r="AN952" s="14">
        <v>0.23910754095216499</v>
      </c>
    </row>
    <row r="953" spans="2:40" x14ac:dyDescent="0.35">
      <c r="B953" t="s">
        <v>70</v>
      </c>
      <c r="C953" s="14">
        <v>4.72123190563477E-2</v>
      </c>
      <c r="D953" s="14">
        <v>5.4153464997992999E-2</v>
      </c>
      <c r="E953" s="14">
        <v>4.0484632355622899E-2</v>
      </c>
      <c r="F953" s="14"/>
      <c r="G953" s="14" t="s">
        <v>76</v>
      </c>
      <c r="H953" s="14" t="s">
        <v>76</v>
      </c>
      <c r="I953" s="14">
        <v>4.72123190563477E-2</v>
      </c>
      <c r="J953" s="14"/>
      <c r="K953" s="14" t="s">
        <v>76</v>
      </c>
      <c r="L953" s="14">
        <v>4.9766509460126798E-2</v>
      </c>
      <c r="M953" s="14">
        <v>4.3150048354594697E-2</v>
      </c>
      <c r="N953" s="14"/>
      <c r="O953" s="14">
        <v>4.96673419972107E-2</v>
      </c>
      <c r="P953" s="14">
        <v>3.8566091585712302E-2</v>
      </c>
      <c r="Q953" s="14"/>
      <c r="R953" s="14">
        <v>7.0285015617568402E-3</v>
      </c>
      <c r="S953" s="14">
        <v>2.43329473283302E-2</v>
      </c>
      <c r="T953" s="14">
        <v>9.3977997774186806E-2</v>
      </c>
      <c r="U953" s="14">
        <v>7.3449523370179001E-2</v>
      </c>
      <c r="V953" s="14">
        <v>0.10799036560412199</v>
      </c>
      <c r="W953" s="14">
        <v>4.07341450807229E-2</v>
      </c>
      <c r="X953" s="14">
        <v>2.1016110140624E-2</v>
      </c>
      <c r="Y953" s="14">
        <v>5.9180355012003499E-2</v>
      </c>
      <c r="Z953" s="14">
        <v>5.3307013849903599E-2</v>
      </c>
      <c r="AA953" s="14"/>
      <c r="AB953" s="14">
        <v>1.8553289989609902E-2</v>
      </c>
      <c r="AC953" s="14">
        <v>2.42968234308991E-2</v>
      </c>
      <c r="AD953" s="14">
        <v>4.3829515942687199E-2</v>
      </c>
      <c r="AE953" s="14">
        <v>2.59326874011452E-2</v>
      </c>
      <c r="AF953" s="14"/>
      <c r="AG953" s="14">
        <v>6.3029004519338794E-2</v>
      </c>
      <c r="AH953" s="14">
        <v>3.3961988688055098E-2</v>
      </c>
      <c r="AI953" s="14"/>
      <c r="AJ953" s="14">
        <v>5.3640793743525199E-2</v>
      </c>
      <c r="AK953" s="14">
        <v>2.1434371899334299E-2</v>
      </c>
      <c r="AL953" s="14"/>
      <c r="AM953" s="14">
        <v>4.1230381485240601E-2</v>
      </c>
      <c r="AN953" s="14">
        <v>4.8591466741172297E-2</v>
      </c>
    </row>
    <row r="954" spans="2:40" x14ac:dyDescent="0.35"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  <c r="AA954" s="14"/>
      <c r="AB954" s="14"/>
      <c r="AC954" s="14"/>
      <c r="AD954" s="14"/>
      <c r="AE954" s="14"/>
      <c r="AF954" s="14"/>
      <c r="AG954" s="14"/>
      <c r="AH954" s="14"/>
      <c r="AI954" s="14"/>
      <c r="AJ954" s="14"/>
      <c r="AK954" s="14"/>
      <c r="AL954" s="14"/>
      <c r="AM954" s="14"/>
      <c r="AN954" s="14"/>
    </row>
    <row r="955" spans="2:40" x14ac:dyDescent="0.35">
      <c r="B955" s="6" t="s">
        <v>271</v>
      </c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  <c r="AA955" s="14"/>
      <c r="AB955" s="14"/>
      <c r="AC955" s="14"/>
      <c r="AD955" s="14"/>
      <c r="AE955" s="14"/>
      <c r="AF955" s="14"/>
      <c r="AG955" s="14"/>
      <c r="AH955" s="14"/>
      <c r="AI955" s="14"/>
      <c r="AJ955" s="14"/>
      <c r="AK955" s="14"/>
      <c r="AL955" s="14"/>
      <c r="AM955" s="14"/>
      <c r="AN955" s="14"/>
    </row>
    <row r="956" spans="2:40" x14ac:dyDescent="0.35">
      <c r="B956" s="24" t="s">
        <v>74</v>
      </c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  <c r="AA956" s="14"/>
      <c r="AB956" s="14"/>
      <c r="AC956" s="14"/>
      <c r="AD956" s="14"/>
      <c r="AE956" s="14"/>
      <c r="AF956" s="14"/>
      <c r="AG956" s="14"/>
      <c r="AH956" s="14"/>
      <c r="AI956" s="14"/>
      <c r="AJ956" s="14"/>
      <c r="AK956" s="14"/>
      <c r="AL956" s="14"/>
      <c r="AM956" s="14"/>
      <c r="AN956" s="14"/>
    </row>
    <row r="957" spans="2:40" x14ac:dyDescent="0.35">
      <c r="B957" t="s">
        <v>44</v>
      </c>
      <c r="C957" s="14">
        <v>0.49472711290471699</v>
      </c>
      <c r="D957" s="14">
        <v>0.53038850217328903</v>
      </c>
      <c r="E957" s="14">
        <v>0.46060008667483598</v>
      </c>
      <c r="F957" s="14"/>
      <c r="G957" s="14" t="s">
        <v>76</v>
      </c>
      <c r="H957" s="14" t="s">
        <v>76</v>
      </c>
      <c r="I957" s="14">
        <v>0.49472711290471699</v>
      </c>
      <c r="J957" s="14"/>
      <c r="K957" s="14" t="s">
        <v>76</v>
      </c>
      <c r="L957" s="14">
        <v>0.47419444629554502</v>
      </c>
      <c r="M957" s="14">
        <v>0.53377481129701498</v>
      </c>
      <c r="N957" s="14"/>
      <c r="O957" s="14">
        <v>0.475602063524595</v>
      </c>
      <c r="P957" s="14">
        <v>0.65036424821512995</v>
      </c>
      <c r="Q957" s="14"/>
      <c r="R957" s="14">
        <v>0.54448294800349595</v>
      </c>
      <c r="S957" s="14">
        <v>0.51423231163042704</v>
      </c>
      <c r="T957" s="14">
        <v>0.48415807679206202</v>
      </c>
      <c r="U957" s="14">
        <v>0.43961064849750697</v>
      </c>
      <c r="V957" s="14">
        <v>0.50780788648574005</v>
      </c>
      <c r="W957" s="14">
        <v>0.44005227918079998</v>
      </c>
      <c r="X957" s="14">
        <v>0.51088829472609898</v>
      </c>
      <c r="Y957" s="14">
        <v>0.40208086963747097</v>
      </c>
      <c r="Z957" s="14">
        <v>0.51891664685672301</v>
      </c>
      <c r="AA957" s="14"/>
      <c r="AB957" s="14">
        <v>0.60664210077292302</v>
      </c>
      <c r="AC957" s="14">
        <v>0.68854294489224899</v>
      </c>
      <c r="AD957" s="14">
        <v>0.475113742747856</v>
      </c>
      <c r="AE957" s="14">
        <v>0.66312400274759298</v>
      </c>
      <c r="AF957" s="14"/>
      <c r="AG957" s="14">
        <v>0.64796613821799498</v>
      </c>
      <c r="AH957" s="14">
        <v>0.37730456691050901</v>
      </c>
      <c r="AI957" s="14"/>
      <c r="AJ957" s="14">
        <v>0.55336993629100295</v>
      </c>
      <c r="AK957" s="14">
        <v>0.52331659482887605</v>
      </c>
      <c r="AL957" s="14"/>
      <c r="AM957" s="14">
        <v>0.60047679698346801</v>
      </c>
      <c r="AN957" s="14">
        <v>0.34521363145566297</v>
      </c>
    </row>
    <row r="958" spans="2:40" x14ac:dyDescent="0.35">
      <c r="B958" t="s">
        <v>45</v>
      </c>
      <c r="C958" s="14">
        <v>0.36732063989112901</v>
      </c>
      <c r="D958" s="14">
        <v>0.34955401284085202</v>
      </c>
      <c r="E958" s="14">
        <v>0.38516578752994601</v>
      </c>
      <c r="F958" s="14"/>
      <c r="G958" s="14" t="s">
        <v>76</v>
      </c>
      <c r="H958" s="14" t="s">
        <v>76</v>
      </c>
      <c r="I958" s="14">
        <v>0.36732063989112901</v>
      </c>
      <c r="J958" s="14"/>
      <c r="K958" s="14" t="s">
        <v>76</v>
      </c>
      <c r="L958" s="14">
        <v>0.39897221886222001</v>
      </c>
      <c r="M958" s="14">
        <v>0.30712771255109</v>
      </c>
      <c r="N958" s="14"/>
      <c r="O958" s="14">
        <v>0.379404144378584</v>
      </c>
      <c r="P958" s="14">
        <v>0.25442913869456102</v>
      </c>
      <c r="Q958" s="14"/>
      <c r="R958" s="14">
        <v>0.36170052653343998</v>
      </c>
      <c r="S958" s="14">
        <v>0.31268489412892098</v>
      </c>
      <c r="T958" s="14">
        <v>0.35568662843884602</v>
      </c>
      <c r="U958" s="14">
        <v>0.46142348108515802</v>
      </c>
      <c r="V958" s="14">
        <v>0.35250344785613602</v>
      </c>
      <c r="W958" s="14">
        <v>0.38911970015137398</v>
      </c>
      <c r="X958" s="14">
        <v>0.32007873981864998</v>
      </c>
      <c r="Y958" s="14">
        <v>0.45714776890311798</v>
      </c>
      <c r="Z958" s="14">
        <v>0.36631251463055298</v>
      </c>
      <c r="AA958" s="14"/>
      <c r="AB958" s="14">
        <v>0.28568894446086401</v>
      </c>
      <c r="AC958" s="14">
        <v>0.28075057476644499</v>
      </c>
      <c r="AD958" s="14">
        <v>0.33686030552000501</v>
      </c>
      <c r="AE958" s="14">
        <v>0.26049538094871599</v>
      </c>
      <c r="AF958" s="14"/>
      <c r="AG958" s="14">
        <v>0.233949955071385</v>
      </c>
      <c r="AH958" s="14">
        <v>0.41251606354690701</v>
      </c>
      <c r="AI958" s="14"/>
      <c r="AJ958" s="14">
        <v>0.29635879860638997</v>
      </c>
      <c r="AK958" s="14">
        <v>0.32826897388966703</v>
      </c>
      <c r="AL958" s="14"/>
      <c r="AM958" s="14">
        <v>0.31005221511320702</v>
      </c>
      <c r="AN958" s="14">
        <v>0.45713802063502601</v>
      </c>
    </row>
    <row r="959" spans="2:40" x14ac:dyDescent="0.35">
      <c r="B959" t="s">
        <v>70</v>
      </c>
      <c r="C959" s="14">
        <v>0.137952247204154</v>
      </c>
      <c r="D959" s="14">
        <v>0.120057484985859</v>
      </c>
      <c r="E959" s="14">
        <v>0.154234125795219</v>
      </c>
      <c r="F959" s="14"/>
      <c r="G959" s="14" t="s">
        <v>76</v>
      </c>
      <c r="H959" s="14" t="s">
        <v>76</v>
      </c>
      <c r="I959" s="14">
        <v>0.137952247204154</v>
      </c>
      <c r="J959" s="14"/>
      <c r="K959" s="14" t="s">
        <v>76</v>
      </c>
      <c r="L959" s="14">
        <v>0.126833334842235</v>
      </c>
      <c r="M959" s="14">
        <v>0.15909747615189501</v>
      </c>
      <c r="N959" s="14"/>
      <c r="O959" s="14">
        <v>0.14499379209682001</v>
      </c>
      <c r="P959" s="14">
        <v>9.5206613090309394E-2</v>
      </c>
      <c r="Q959" s="14"/>
      <c r="R959" s="14">
        <v>9.3816525463063696E-2</v>
      </c>
      <c r="S959" s="14">
        <v>0.17308279424065201</v>
      </c>
      <c r="T959" s="14">
        <v>0.16015529476909199</v>
      </c>
      <c r="U959" s="14">
        <v>9.8965870417335802E-2</v>
      </c>
      <c r="V959" s="14">
        <v>0.13968866565812399</v>
      </c>
      <c r="W959" s="14">
        <v>0.17082802066782601</v>
      </c>
      <c r="X959" s="14">
        <v>0.16903296545525101</v>
      </c>
      <c r="Y959" s="14">
        <v>0.14077136145941099</v>
      </c>
      <c r="Z959" s="14">
        <v>0.114770838512723</v>
      </c>
      <c r="AA959" s="14"/>
      <c r="AB959" s="14">
        <v>0.10766895476621299</v>
      </c>
      <c r="AC959" s="14">
        <v>3.0706480341305999E-2</v>
      </c>
      <c r="AD959" s="14">
        <v>0.18802595173213901</v>
      </c>
      <c r="AE959" s="14">
        <v>7.6380616303691806E-2</v>
      </c>
      <c r="AF959" s="14"/>
      <c r="AG959" s="14">
        <v>0.11808390671062</v>
      </c>
      <c r="AH959" s="14">
        <v>0.21017936954258401</v>
      </c>
      <c r="AI959" s="14"/>
      <c r="AJ959" s="14">
        <v>0.15027126510260599</v>
      </c>
      <c r="AK959" s="14">
        <v>0.14841443128145701</v>
      </c>
      <c r="AL959" s="14"/>
      <c r="AM959" s="14">
        <v>8.9470987903325597E-2</v>
      </c>
      <c r="AN959" s="14">
        <v>0.19764834790931099</v>
      </c>
    </row>
    <row r="960" spans="2:40" x14ac:dyDescent="0.35"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  <c r="AA960" s="14"/>
      <c r="AB960" s="14"/>
      <c r="AC960" s="14"/>
      <c r="AD960" s="14"/>
      <c r="AE960" s="14"/>
      <c r="AF960" s="14"/>
      <c r="AG960" s="14"/>
      <c r="AH960" s="14"/>
      <c r="AI960" s="14"/>
      <c r="AJ960" s="14"/>
      <c r="AK960" s="14"/>
      <c r="AL960" s="14"/>
      <c r="AM960" s="14"/>
      <c r="AN960" s="14"/>
    </row>
    <row r="961" spans="2:40" x14ac:dyDescent="0.35">
      <c r="B961" s="6" t="s">
        <v>272</v>
      </c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  <c r="AA961" s="14"/>
      <c r="AB961" s="14"/>
      <c r="AC961" s="14"/>
      <c r="AD961" s="14"/>
      <c r="AE961" s="14"/>
      <c r="AF961" s="14"/>
      <c r="AG961" s="14"/>
      <c r="AH961" s="14"/>
      <c r="AI961" s="14"/>
      <c r="AJ961" s="14"/>
      <c r="AK961" s="14"/>
      <c r="AL961" s="14"/>
      <c r="AM961" s="14"/>
      <c r="AN961" s="14"/>
    </row>
    <row r="962" spans="2:40" x14ac:dyDescent="0.35">
      <c r="B962" s="26" t="s">
        <v>395</v>
      </c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  <c r="AA962" s="14"/>
      <c r="AB962" s="14"/>
      <c r="AC962" s="14"/>
      <c r="AD962" s="14"/>
      <c r="AE962" s="14"/>
      <c r="AF962" s="14"/>
      <c r="AG962" s="14"/>
      <c r="AH962" s="14"/>
      <c r="AI962" s="14"/>
      <c r="AJ962" s="14"/>
      <c r="AK962" s="14"/>
      <c r="AL962" s="14"/>
      <c r="AM962" s="14"/>
      <c r="AN962" s="14"/>
    </row>
    <row r="963" spans="2:40" x14ac:dyDescent="0.35">
      <c r="B963" t="s">
        <v>155</v>
      </c>
      <c r="C963" s="14">
        <v>0.102712335620192</v>
      </c>
      <c r="D963" s="14">
        <v>9.7188880831201405E-2</v>
      </c>
      <c r="E963" s="14">
        <v>0.109784141726399</v>
      </c>
      <c r="F963" s="14"/>
      <c r="G963" s="14" t="s">
        <v>76</v>
      </c>
      <c r="H963" s="14" t="s">
        <v>76</v>
      </c>
      <c r="I963" s="14">
        <v>0.102712335620192</v>
      </c>
      <c r="J963" s="14"/>
      <c r="K963" s="14" t="s">
        <v>76</v>
      </c>
      <c r="L963" s="14">
        <v>0.107457183238687</v>
      </c>
      <c r="M963" s="14">
        <v>9.4696095055606694E-2</v>
      </c>
      <c r="N963" s="14"/>
      <c r="O963" s="14">
        <v>9.6338775750888297E-2</v>
      </c>
      <c r="P963" s="14">
        <v>0.13710393084106801</v>
      </c>
      <c r="Q963" s="14"/>
      <c r="R963" s="14">
        <v>0.125246875610385</v>
      </c>
      <c r="S963" s="14">
        <v>8.6448860728041699E-2</v>
      </c>
      <c r="T963" s="14">
        <v>7.2246298347237004E-2</v>
      </c>
      <c r="U963" s="14">
        <v>0.109484838868024</v>
      </c>
      <c r="V963" s="14">
        <v>0.100015678666436</v>
      </c>
      <c r="W963" s="14">
        <v>0.14260969362126</v>
      </c>
      <c r="X963" s="14">
        <v>9.1633581489005897E-2</v>
      </c>
      <c r="Y963" s="14">
        <v>5.95281125695084E-2</v>
      </c>
      <c r="Z963" s="14">
        <v>0.107421985645461</v>
      </c>
      <c r="AA963" s="14"/>
      <c r="AB963" s="14">
        <v>0.117942163553791</v>
      </c>
      <c r="AC963" s="14">
        <v>9.9720447712872501E-2</v>
      </c>
      <c r="AD963" s="14">
        <v>4.0174164777592503E-2</v>
      </c>
      <c r="AE963" s="14">
        <v>9.4129387197885397E-2</v>
      </c>
      <c r="AF963" s="14"/>
      <c r="AG963" s="14">
        <v>0.132510631145</v>
      </c>
      <c r="AH963" s="14">
        <v>0.120695125515336</v>
      </c>
      <c r="AI963" s="14"/>
      <c r="AJ963" s="14">
        <v>0.129694999008684</v>
      </c>
      <c r="AK963" s="14">
        <v>3.3672779730599699E-2</v>
      </c>
      <c r="AL963" s="14"/>
      <c r="AM963" s="14">
        <v>0.13656732007764599</v>
      </c>
      <c r="AN963" s="14">
        <v>3.1466161151999898E-2</v>
      </c>
    </row>
    <row r="964" spans="2:40" x14ac:dyDescent="0.35">
      <c r="B964" t="s">
        <v>156</v>
      </c>
      <c r="C964" s="14">
        <v>0.53187586783091401</v>
      </c>
      <c r="D964" s="14">
        <v>0.52999225652995197</v>
      </c>
      <c r="E964" s="14">
        <v>0.52815009127988499</v>
      </c>
      <c r="F964" s="14"/>
      <c r="G964" s="14" t="s">
        <v>76</v>
      </c>
      <c r="H964" s="14" t="s">
        <v>76</v>
      </c>
      <c r="I964" s="14">
        <v>0.53187586783091401</v>
      </c>
      <c r="J964" s="14"/>
      <c r="K964" s="14" t="s">
        <v>76</v>
      </c>
      <c r="L964" s="14">
        <v>0.51939370983573796</v>
      </c>
      <c r="M964" s="14">
        <v>0.55296400159193704</v>
      </c>
      <c r="N964" s="14"/>
      <c r="O964" s="14">
        <v>0.53813154207513603</v>
      </c>
      <c r="P964" s="14">
        <v>0.51290976001465305</v>
      </c>
      <c r="Q964" s="14"/>
      <c r="R964" s="14">
        <v>0.60225584418859701</v>
      </c>
      <c r="S964" s="14">
        <v>0.55158999590757896</v>
      </c>
      <c r="T964" s="14">
        <v>0.454667052443332</v>
      </c>
      <c r="U964" s="14">
        <v>0.45453658375906297</v>
      </c>
      <c r="V964" s="14">
        <v>0.49578930439383101</v>
      </c>
      <c r="W964" s="14">
        <v>0.482559376360021</v>
      </c>
      <c r="X964" s="14">
        <v>0.42641849901515</v>
      </c>
      <c r="Y964" s="14">
        <v>0.72615583262200301</v>
      </c>
      <c r="Z964" s="14">
        <v>0.58298061492609798</v>
      </c>
      <c r="AA964" s="14"/>
      <c r="AB964" s="14">
        <v>0.559684988564084</v>
      </c>
      <c r="AC964" s="14">
        <v>0.55137159658349399</v>
      </c>
      <c r="AD964" s="14">
        <v>0.56527736243424898</v>
      </c>
      <c r="AE964" s="14">
        <v>0.572691077635607</v>
      </c>
      <c r="AF964" s="14"/>
      <c r="AG964" s="14">
        <v>0.63873724862481496</v>
      </c>
      <c r="AH964" s="14">
        <v>0.62950741777424801</v>
      </c>
      <c r="AI964" s="14"/>
      <c r="AJ964" s="14">
        <v>0.63653778216352597</v>
      </c>
      <c r="AK964" s="14">
        <v>0.49080240921596002</v>
      </c>
      <c r="AL964" s="14"/>
      <c r="AM964" s="14">
        <v>0.55466480182137601</v>
      </c>
      <c r="AN964" s="14">
        <v>0.49366961567942602</v>
      </c>
    </row>
    <row r="965" spans="2:40" x14ac:dyDescent="0.35">
      <c r="B965" t="s">
        <v>157</v>
      </c>
      <c r="C965" s="14">
        <v>0.25233345047598199</v>
      </c>
      <c r="D965" s="14">
        <v>0.26711471684996202</v>
      </c>
      <c r="E965" s="14">
        <v>0.23983942132174699</v>
      </c>
      <c r="F965" s="14"/>
      <c r="G965" s="14" t="s">
        <v>76</v>
      </c>
      <c r="H965" s="14" t="s">
        <v>76</v>
      </c>
      <c r="I965" s="14">
        <v>0.25233345047598199</v>
      </c>
      <c r="J965" s="14"/>
      <c r="K965" s="14" t="s">
        <v>76</v>
      </c>
      <c r="L965" s="14">
        <v>0.25420877401737102</v>
      </c>
      <c r="M965" s="14">
        <v>0.24916516229205601</v>
      </c>
      <c r="N965" s="14"/>
      <c r="O965" s="14">
        <v>0.25330394887985103</v>
      </c>
      <c r="P965" s="14">
        <v>0.25725907972775403</v>
      </c>
      <c r="Q965" s="14"/>
      <c r="R965" s="14">
        <v>0.19654709872135201</v>
      </c>
      <c r="S965" s="14">
        <v>0.224170442040806</v>
      </c>
      <c r="T965" s="14">
        <v>0.381010308964988</v>
      </c>
      <c r="U965" s="14">
        <v>0.30183665456675901</v>
      </c>
      <c r="V965" s="14">
        <v>0.27160347048057698</v>
      </c>
      <c r="W965" s="14">
        <v>0.20929198447733</v>
      </c>
      <c r="X965" s="14">
        <v>0.30100872666767597</v>
      </c>
      <c r="Y965" s="14">
        <v>0.214316054808488</v>
      </c>
      <c r="Z965" s="14">
        <v>0.23641934806697801</v>
      </c>
      <c r="AA965" s="14"/>
      <c r="AB965" s="14">
        <v>0.26070995793266699</v>
      </c>
      <c r="AC965" s="14">
        <v>0.25487975833074</v>
      </c>
      <c r="AD965" s="14">
        <v>0.24786628929421001</v>
      </c>
      <c r="AE965" s="14">
        <v>0.27491824095725198</v>
      </c>
      <c r="AF965" s="14"/>
      <c r="AG965" s="14">
        <v>0.15746281356050501</v>
      </c>
      <c r="AH965" s="14">
        <v>0.19076904211443901</v>
      </c>
      <c r="AI965" s="14"/>
      <c r="AJ965" s="14">
        <v>0.16539967977641401</v>
      </c>
      <c r="AK965" s="14">
        <v>0.34540655792396202</v>
      </c>
      <c r="AL965" s="14"/>
      <c r="AM965" s="14">
        <v>0.20724310229189699</v>
      </c>
      <c r="AN965" s="14">
        <v>0.32410001110405101</v>
      </c>
    </row>
    <row r="966" spans="2:40" x14ac:dyDescent="0.35">
      <c r="B966" t="s">
        <v>158</v>
      </c>
      <c r="C966" s="14">
        <v>9.7435697033315796E-2</v>
      </c>
      <c r="D966" s="14">
        <v>9.6579780567668E-2</v>
      </c>
      <c r="E966" s="14">
        <v>9.95259147797697E-2</v>
      </c>
      <c r="F966" s="14"/>
      <c r="G966" s="14" t="s">
        <v>76</v>
      </c>
      <c r="H966" s="14" t="s">
        <v>76</v>
      </c>
      <c r="I966" s="14">
        <v>9.7435697033315796E-2</v>
      </c>
      <c r="J966" s="14"/>
      <c r="K966" s="14" t="s">
        <v>76</v>
      </c>
      <c r="L966" s="14">
        <v>0.10259242819323899</v>
      </c>
      <c r="M966" s="14">
        <v>8.8723594806110098E-2</v>
      </c>
      <c r="N966" s="14"/>
      <c r="O966" s="14">
        <v>9.9581309311347802E-2</v>
      </c>
      <c r="P966" s="14">
        <v>8.6876394735707504E-2</v>
      </c>
      <c r="Q966" s="14"/>
      <c r="R966" s="14">
        <v>7.5950181479665702E-2</v>
      </c>
      <c r="S966" s="14">
        <v>0.12168655431591301</v>
      </c>
      <c r="T966" s="14">
        <v>7.32356686449845E-2</v>
      </c>
      <c r="U966" s="14">
        <v>0.134141922806155</v>
      </c>
      <c r="V966" s="14">
        <v>0.115218138862087</v>
      </c>
      <c r="W966" s="14">
        <v>0.123077654322341</v>
      </c>
      <c r="X966" s="14">
        <v>0.16020786814708701</v>
      </c>
      <c r="Y966" s="14">
        <v>0</v>
      </c>
      <c r="Z966" s="14">
        <v>4.6686042679071699E-2</v>
      </c>
      <c r="AA966" s="14"/>
      <c r="AB966" s="14">
        <v>6.1662889949458101E-2</v>
      </c>
      <c r="AC966" s="14">
        <v>7.9943143071615597E-2</v>
      </c>
      <c r="AD966" s="14">
        <v>0.116605782883796</v>
      </c>
      <c r="AE966" s="14">
        <v>5.8261294209255403E-2</v>
      </c>
      <c r="AF966" s="14"/>
      <c r="AG966" s="14">
        <v>7.1289306669679794E-2</v>
      </c>
      <c r="AH966" s="14">
        <v>5.9028414595976901E-2</v>
      </c>
      <c r="AI966" s="14"/>
      <c r="AJ966" s="14">
        <v>6.8367539051376894E-2</v>
      </c>
      <c r="AK966" s="14">
        <v>9.8907638330772304E-2</v>
      </c>
      <c r="AL966" s="14"/>
      <c r="AM966" s="14">
        <v>9.1114178813414104E-2</v>
      </c>
      <c r="AN966" s="14">
        <v>0.12928838092870101</v>
      </c>
    </row>
    <row r="967" spans="2:40" x14ac:dyDescent="0.35">
      <c r="B967" t="s">
        <v>70</v>
      </c>
      <c r="C967" s="14">
        <v>1.5642649039596002E-2</v>
      </c>
      <c r="D967" s="14">
        <v>9.1243652212175293E-3</v>
      </c>
      <c r="E967" s="14">
        <v>2.2700430892199499E-2</v>
      </c>
      <c r="F967" s="14"/>
      <c r="G967" s="14" t="s">
        <v>76</v>
      </c>
      <c r="H967" s="14" t="s">
        <v>76</v>
      </c>
      <c r="I967" s="14">
        <v>1.5642649039596002E-2</v>
      </c>
      <c r="J967" s="14"/>
      <c r="K967" s="14" t="s">
        <v>76</v>
      </c>
      <c r="L967" s="14">
        <v>1.6347904714964001E-2</v>
      </c>
      <c r="M967" s="14">
        <v>1.4451146254290099E-2</v>
      </c>
      <c r="N967" s="14"/>
      <c r="O967" s="14">
        <v>1.2644423982777099E-2</v>
      </c>
      <c r="P967" s="14">
        <v>5.85083468081736E-3</v>
      </c>
      <c r="Q967" s="14"/>
      <c r="R967" s="14">
        <v>0</v>
      </c>
      <c r="S967" s="14">
        <v>1.6104147007660299E-2</v>
      </c>
      <c r="T967" s="14">
        <v>1.8840671599459E-2</v>
      </c>
      <c r="U967" s="14">
        <v>0</v>
      </c>
      <c r="V967" s="14">
        <v>1.7373407597069099E-2</v>
      </c>
      <c r="W967" s="14">
        <v>4.2461291219048798E-2</v>
      </c>
      <c r="X967" s="14">
        <v>2.07313246810816E-2</v>
      </c>
      <c r="Y967" s="14">
        <v>0</v>
      </c>
      <c r="Z967" s="14">
        <v>2.6492008682392602E-2</v>
      </c>
      <c r="AA967" s="14"/>
      <c r="AB967" s="14">
        <v>0</v>
      </c>
      <c r="AC967" s="14">
        <v>1.40850543012776E-2</v>
      </c>
      <c r="AD967" s="14">
        <v>3.0076400610152602E-2</v>
      </c>
      <c r="AE967" s="14">
        <v>0</v>
      </c>
      <c r="AF967" s="14"/>
      <c r="AG967" s="14">
        <v>0</v>
      </c>
      <c r="AH967" s="14">
        <v>0</v>
      </c>
      <c r="AI967" s="14"/>
      <c r="AJ967" s="14">
        <v>0</v>
      </c>
      <c r="AK967" s="14">
        <v>3.1210614798706099E-2</v>
      </c>
      <c r="AL967" s="14"/>
      <c r="AM967" s="14">
        <v>1.04105969956657E-2</v>
      </c>
      <c r="AN967" s="14">
        <v>2.14758311358214E-2</v>
      </c>
    </row>
    <row r="968" spans="2:40" x14ac:dyDescent="0.35"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  <c r="AA968" s="14"/>
      <c r="AB968" s="14"/>
      <c r="AC968" s="14"/>
      <c r="AD968" s="14"/>
      <c r="AE968" s="14"/>
      <c r="AF968" s="14"/>
      <c r="AG968" s="14"/>
      <c r="AH968" s="14"/>
      <c r="AI968" s="14"/>
      <c r="AJ968" s="14"/>
      <c r="AK968" s="14"/>
      <c r="AL968" s="14"/>
      <c r="AM968" s="14"/>
      <c r="AN968" s="14"/>
    </row>
    <row r="969" spans="2:40" x14ac:dyDescent="0.35">
      <c r="B969" s="6" t="s">
        <v>274</v>
      </c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  <c r="AA969" s="14"/>
      <c r="AB969" s="14"/>
      <c r="AC969" s="14"/>
      <c r="AD969" s="14"/>
      <c r="AE969" s="14"/>
      <c r="AF969" s="14"/>
      <c r="AG969" s="14"/>
      <c r="AH969" s="14"/>
      <c r="AI969" s="14"/>
      <c r="AJ969" s="14"/>
      <c r="AK969" s="14"/>
      <c r="AL969" s="14"/>
      <c r="AM969" s="14"/>
      <c r="AN969" s="14"/>
    </row>
    <row r="970" spans="2:40" x14ac:dyDescent="0.35">
      <c r="B970" s="26" t="s">
        <v>395</v>
      </c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  <c r="AA970" s="14"/>
      <c r="AB970" s="14"/>
      <c r="AC970" s="14"/>
      <c r="AD970" s="14"/>
      <c r="AE970" s="14"/>
      <c r="AF970" s="14"/>
      <c r="AG970" s="14"/>
      <c r="AH970" s="14"/>
      <c r="AI970" s="14"/>
      <c r="AJ970" s="14"/>
      <c r="AK970" s="14"/>
      <c r="AL970" s="14"/>
      <c r="AM970" s="14"/>
      <c r="AN970" s="14"/>
    </row>
    <row r="971" spans="2:40" x14ac:dyDescent="0.35">
      <c r="B971" t="s">
        <v>160</v>
      </c>
      <c r="C971" s="14">
        <v>0.13828635619625099</v>
      </c>
      <c r="D971" s="14">
        <v>0.13468117299687701</v>
      </c>
      <c r="E971" s="14">
        <v>0.143771204200241</v>
      </c>
      <c r="F971" s="14"/>
      <c r="G971" s="14" t="s">
        <v>76</v>
      </c>
      <c r="H971" s="14" t="s">
        <v>76</v>
      </c>
      <c r="I971" s="14">
        <v>0.13828635619625099</v>
      </c>
      <c r="J971" s="14"/>
      <c r="K971" s="14" t="s">
        <v>76</v>
      </c>
      <c r="L971" s="14">
        <v>0.154746943559078</v>
      </c>
      <c r="M971" s="14">
        <v>0.110476816513573</v>
      </c>
      <c r="N971" s="14"/>
      <c r="O971" s="14">
        <v>0.125507996550108</v>
      </c>
      <c r="P971" s="14">
        <v>0.20260384541357199</v>
      </c>
      <c r="Q971" s="14"/>
      <c r="R971" s="14">
        <v>0.162563478019387</v>
      </c>
      <c r="S971" s="14">
        <v>0.12714957589825501</v>
      </c>
      <c r="T971" s="14">
        <v>0.103927448599847</v>
      </c>
      <c r="U971" s="14">
        <v>5.7977693886375803E-2</v>
      </c>
      <c r="V971" s="14">
        <v>9.5259601705735997E-2</v>
      </c>
      <c r="W971" s="14">
        <v>0.17385669014237601</v>
      </c>
      <c r="X971" s="14">
        <v>0.156140993609416</v>
      </c>
      <c r="Y971" s="14">
        <v>0.197896369054856</v>
      </c>
      <c r="Z971" s="14">
        <v>0.17020408184454799</v>
      </c>
      <c r="AA971" s="14"/>
      <c r="AB971" s="14">
        <v>0.122594002986704</v>
      </c>
      <c r="AC971" s="14">
        <v>0.18351267695171899</v>
      </c>
      <c r="AD971" s="14">
        <v>3.8034423641519398E-2</v>
      </c>
      <c r="AE971" s="14">
        <v>0.138152680247487</v>
      </c>
      <c r="AF971" s="14"/>
      <c r="AG971" s="14">
        <v>0.18389463203996501</v>
      </c>
      <c r="AH971" s="14">
        <v>0.120695125515336</v>
      </c>
      <c r="AI971" s="14"/>
      <c r="AJ971" s="14">
        <v>0.16883420490738901</v>
      </c>
      <c r="AK971" s="14">
        <v>3.3574941030801699E-2</v>
      </c>
      <c r="AL971" s="14"/>
      <c r="AM971" s="14">
        <v>0.20983946172088899</v>
      </c>
      <c r="AN971" s="14">
        <v>1.92320294362027E-2</v>
      </c>
    </row>
    <row r="972" spans="2:40" x14ac:dyDescent="0.35">
      <c r="B972" t="s">
        <v>161</v>
      </c>
      <c r="C972" s="14">
        <v>0.48880095495868098</v>
      </c>
      <c r="D972" s="14">
        <v>0.51290829162430296</v>
      </c>
      <c r="E972" s="14">
        <v>0.46001852115516301</v>
      </c>
      <c r="F972" s="14"/>
      <c r="G972" s="14" t="s">
        <v>76</v>
      </c>
      <c r="H972" s="14" t="s">
        <v>76</v>
      </c>
      <c r="I972" s="14">
        <v>0.48880095495868098</v>
      </c>
      <c r="J972" s="14"/>
      <c r="K972" s="14" t="s">
        <v>76</v>
      </c>
      <c r="L972" s="14">
        <v>0.52329255591331802</v>
      </c>
      <c r="M972" s="14">
        <v>0.43052869988512998</v>
      </c>
      <c r="N972" s="14"/>
      <c r="O972" s="14">
        <v>0.48519643499743598</v>
      </c>
      <c r="P972" s="14">
        <v>0.50860541025901895</v>
      </c>
      <c r="Q972" s="14"/>
      <c r="R972" s="14">
        <v>0.63040952993019606</v>
      </c>
      <c r="S972" s="14">
        <v>0.44451455759288699</v>
      </c>
      <c r="T972" s="14">
        <v>0.46405915489904598</v>
      </c>
      <c r="U972" s="14">
        <v>0.464454009651462</v>
      </c>
      <c r="V972" s="14">
        <v>0.44214495048823099</v>
      </c>
      <c r="W972" s="14">
        <v>0.396645755361486</v>
      </c>
      <c r="X972" s="14">
        <v>0.44995587412639299</v>
      </c>
      <c r="Y972" s="14">
        <v>0.55747252676063797</v>
      </c>
      <c r="Z972" s="14">
        <v>0.49001403713944702</v>
      </c>
      <c r="AA972" s="14"/>
      <c r="AB972" s="14">
        <v>0.45960118338863798</v>
      </c>
      <c r="AC972" s="14">
        <v>0.66519010601986595</v>
      </c>
      <c r="AD972" s="14">
        <v>0.32382910112237601</v>
      </c>
      <c r="AE972" s="14">
        <v>0.60075560473316103</v>
      </c>
      <c r="AF972" s="14"/>
      <c r="AG972" s="14">
        <v>0.58462196977094505</v>
      </c>
      <c r="AH972" s="14">
        <v>0.32072740929471499</v>
      </c>
      <c r="AI972" s="14"/>
      <c r="AJ972" s="14">
        <v>0.52173595977992404</v>
      </c>
      <c r="AK972" s="14">
        <v>0.37774142034107899</v>
      </c>
      <c r="AL972" s="14"/>
      <c r="AM972" s="14">
        <v>0.58121549480406498</v>
      </c>
      <c r="AN972" s="14">
        <v>0.15978091738334901</v>
      </c>
    </row>
    <row r="973" spans="2:40" x14ac:dyDescent="0.35">
      <c r="B973" t="s">
        <v>162</v>
      </c>
      <c r="C973" s="14">
        <v>0.30521229211303003</v>
      </c>
      <c r="D973" s="14">
        <v>0.29043124182254698</v>
      </c>
      <c r="E973" s="14">
        <v>0.32165692391499001</v>
      </c>
      <c r="F973" s="14"/>
      <c r="G973" s="14" t="s">
        <v>76</v>
      </c>
      <c r="H973" s="14" t="s">
        <v>76</v>
      </c>
      <c r="I973" s="14">
        <v>0.30521229211303003</v>
      </c>
      <c r="J973" s="14"/>
      <c r="K973" s="14" t="s">
        <v>76</v>
      </c>
      <c r="L973" s="14">
        <v>0.24844621595886099</v>
      </c>
      <c r="M973" s="14">
        <v>0.401116430443135</v>
      </c>
      <c r="N973" s="14"/>
      <c r="O973" s="14">
        <v>0.31069515660129998</v>
      </c>
      <c r="P973" s="14">
        <v>0.26323364173080799</v>
      </c>
      <c r="Q973" s="14"/>
      <c r="R973" s="14">
        <v>0.18882073106177</v>
      </c>
      <c r="S973" s="14">
        <v>0.36092281282184302</v>
      </c>
      <c r="T973" s="14">
        <v>0.32415566647711302</v>
      </c>
      <c r="U973" s="14">
        <v>0.40027203381899101</v>
      </c>
      <c r="V973" s="14">
        <v>0.42902277292318902</v>
      </c>
      <c r="W973" s="14">
        <v>0.30577767496714098</v>
      </c>
      <c r="X973" s="14">
        <v>0.27888112514406599</v>
      </c>
      <c r="Y973" s="14">
        <v>0.21388540519506599</v>
      </c>
      <c r="Z973" s="14">
        <v>0.27557189384399899</v>
      </c>
      <c r="AA973" s="14"/>
      <c r="AB973" s="14">
        <v>0.32846496427440502</v>
      </c>
      <c r="AC973" s="14">
        <v>0.127624919570202</v>
      </c>
      <c r="AD973" s="14">
        <v>0.55344888575935902</v>
      </c>
      <c r="AE973" s="14">
        <v>0.22256561063352001</v>
      </c>
      <c r="AF973" s="14"/>
      <c r="AG973" s="14">
        <v>0.19616753798627901</v>
      </c>
      <c r="AH973" s="14">
        <v>0.52704393996531995</v>
      </c>
      <c r="AI973" s="14"/>
      <c r="AJ973" s="14">
        <v>0.27501530462117002</v>
      </c>
      <c r="AK973" s="14">
        <v>0.52143949790555699</v>
      </c>
      <c r="AL973" s="14"/>
      <c r="AM973" s="14">
        <v>0.174058184966188</v>
      </c>
      <c r="AN973" s="14">
        <v>0.63933350971354497</v>
      </c>
    </row>
    <row r="974" spans="2:40" x14ac:dyDescent="0.35">
      <c r="B974" t="s">
        <v>163</v>
      </c>
      <c r="C974" s="14">
        <v>6.3057951284964497E-2</v>
      </c>
      <c r="D974" s="14">
        <v>5.8032438152937502E-2</v>
      </c>
      <c r="E974" s="14">
        <v>6.9121476982098196E-2</v>
      </c>
      <c r="F974" s="14"/>
      <c r="G974" s="14" t="s">
        <v>76</v>
      </c>
      <c r="H974" s="14" t="s">
        <v>76</v>
      </c>
      <c r="I974" s="14">
        <v>6.3057951284964497E-2</v>
      </c>
      <c r="J974" s="14"/>
      <c r="K974" s="14" t="s">
        <v>76</v>
      </c>
      <c r="L974" s="14">
        <v>7.0309973113244606E-2</v>
      </c>
      <c r="M974" s="14">
        <v>5.0805934733680697E-2</v>
      </c>
      <c r="N974" s="14"/>
      <c r="O974" s="14">
        <v>7.2802177830543005E-2</v>
      </c>
      <c r="P974" s="14">
        <v>2.55571025966016E-2</v>
      </c>
      <c r="Q974" s="14"/>
      <c r="R974" s="14">
        <v>1.8206260988646399E-2</v>
      </c>
      <c r="S974" s="14">
        <v>6.7413053687014807E-2</v>
      </c>
      <c r="T974" s="14">
        <v>0.107857730023995</v>
      </c>
      <c r="U974" s="14">
        <v>7.7296262643170605E-2</v>
      </c>
      <c r="V974" s="14">
        <v>3.3572674882843399E-2</v>
      </c>
      <c r="W974" s="14">
        <v>9.3808936491394102E-2</v>
      </c>
      <c r="X974" s="14">
        <v>9.4290682439042997E-2</v>
      </c>
      <c r="Y974" s="14">
        <v>3.0745698989440899E-2</v>
      </c>
      <c r="Z974" s="14">
        <v>6.4209987172006003E-2</v>
      </c>
      <c r="AA974" s="14"/>
      <c r="AB974" s="14">
        <v>8.93398493502532E-2</v>
      </c>
      <c r="AC974" s="14">
        <v>9.5872431569357097E-3</v>
      </c>
      <c r="AD974" s="14">
        <v>6.9968766266856997E-2</v>
      </c>
      <c r="AE974" s="14">
        <v>3.8526104385832503E-2</v>
      </c>
      <c r="AF974" s="14"/>
      <c r="AG974" s="14">
        <v>3.5315860202811501E-2</v>
      </c>
      <c r="AH974" s="14">
        <v>3.1533525224629003E-2</v>
      </c>
      <c r="AI974" s="14"/>
      <c r="AJ974" s="14">
        <v>3.4414530691516801E-2</v>
      </c>
      <c r="AK974" s="14">
        <v>5.1970254480369502E-2</v>
      </c>
      <c r="AL974" s="14"/>
      <c r="AM974" s="14">
        <v>3.1563565328033401E-2</v>
      </c>
      <c r="AN974" s="14">
        <v>0.18165354346690299</v>
      </c>
    </row>
    <row r="975" spans="2:40" x14ac:dyDescent="0.35">
      <c r="B975" t="s">
        <v>70</v>
      </c>
      <c r="C975" s="14">
        <v>4.6424454470739398E-3</v>
      </c>
      <c r="D975" s="14">
        <v>3.9468554033359003E-3</v>
      </c>
      <c r="E975" s="14">
        <v>5.43187374750738E-3</v>
      </c>
      <c r="F975" s="14"/>
      <c r="G975" s="14" t="s">
        <v>76</v>
      </c>
      <c r="H975" s="14" t="s">
        <v>76</v>
      </c>
      <c r="I975" s="14">
        <v>4.6424454470739398E-3</v>
      </c>
      <c r="J975" s="14"/>
      <c r="K975" s="14" t="s">
        <v>76</v>
      </c>
      <c r="L975" s="14">
        <v>3.20431145549886E-3</v>
      </c>
      <c r="M975" s="14">
        <v>7.07211842448146E-3</v>
      </c>
      <c r="N975" s="14"/>
      <c r="O975" s="14">
        <v>5.79823402061293E-3</v>
      </c>
      <c r="P975" s="14">
        <v>0</v>
      </c>
      <c r="Q975" s="14"/>
      <c r="R975" s="14">
        <v>0</v>
      </c>
      <c r="S975" s="14">
        <v>0</v>
      </c>
      <c r="T975" s="14">
        <v>0</v>
      </c>
      <c r="U975" s="14">
        <v>0</v>
      </c>
      <c r="V975" s="14">
        <v>0</v>
      </c>
      <c r="W975" s="14">
        <v>2.99109430376031E-2</v>
      </c>
      <c r="X975" s="14">
        <v>2.07313246810816E-2</v>
      </c>
      <c r="Y975" s="14">
        <v>0</v>
      </c>
      <c r="Z975" s="14">
        <v>0</v>
      </c>
      <c r="AA975" s="14"/>
      <c r="AB975" s="14">
        <v>0</v>
      </c>
      <c r="AC975" s="14">
        <v>1.40850543012776E-2</v>
      </c>
      <c r="AD975" s="14">
        <v>1.4718823209888999E-2</v>
      </c>
      <c r="AE975" s="14">
        <v>0</v>
      </c>
      <c r="AF975" s="14"/>
      <c r="AG975" s="14">
        <v>0</v>
      </c>
      <c r="AH975" s="14">
        <v>0</v>
      </c>
      <c r="AI975" s="14"/>
      <c r="AJ975" s="14">
        <v>0</v>
      </c>
      <c r="AK975" s="14">
        <v>1.52738862421932E-2</v>
      </c>
      <c r="AL975" s="14"/>
      <c r="AM975" s="14">
        <v>3.32329318082539E-3</v>
      </c>
      <c r="AN975" s="14">
        <v>0</v>
      </c>
    </row>
    <row r="976" spans="2:40" x14ac:dyDescent="0.35">
      <c r="B976" t="s">
        <v>164</v>
      </c>
      <c r="C976" s="14">
        <v>0.62708731115493199</v>
      </c>
      <c r="D976" s="14">
        <v>0.64758946462118006</v>
      </c>
      <c r="E976" s="14">
        <v>0.60378972535540398</v>
      </c>
      <c r="F976" s="14"/>
      <c r="G976" s="14" t="s">
        <v>76</v>
      </c>
      <c r="H976" s="14" t="s">
        <v>76</v>
      </c>
      <c r="I976" s="14">
        <v>0.62708731115493199</v>
      </c>
      <c r="J976" s="14"/>
      <c r="K976" s="14" t="s">
        <v>76</v>
      </c>
      <c r="L976" s="14">
        <v>0.67803949947239595</v>
      </c>
      <c r="M976" s="14">
        <v>0.54100551639870298</v>
      </c>
      <c r="N976" s="14"/>
      <c r="O976" s="14">
        <v>0.61070443154754395</v>
      </c>
      <c r="P976" s="14">
        <v>0.71120925567259097</v>
      </c>
      <c r="Q976" s="14"/>
      <c r="R976" s="14">
        <v>0.79297300794958303</v>
      </c>
      <c r="S976" s="14">
        <v>0.57166413349114198</v>
      </c>
      <c r="T976" s="14">
        <v>0.56798660349889296</v>
      </c>
      <c r="U976" s="14">
        <v>0.52243170353783797</v>
      </c>
      <c r="V976" s="14">
        <v>0.53740455219396699</v>
      </c>
      <c r="W976" s="14">
        <v>0.57050244550386198</v>
      </c>
      <c r="X976" s="14">
        <v>0.60609686773580895</v>
      </c>
      <c r="Y976" s="14">
        <v>0.75536889581549305</v>
      </c>
      <c r="Z976" s="14">
        <v>0.66021811898399596</v>
      </c>
      <c r="AA976" s="14"/>
      <c r="AB976" s="14">
        <v>0.58219518637534096</v>
      </c>
      <c r="AC976" s="14">
        <v>0.84870278297158497</v>
      </c>
      <c r="AD976" s="14">
        <v>0.36186352476389499</v>
      </c>
      <c r="AE976" s="14">
        <v>0.73890828498064798</v>
      </c>
      <c r="AF976" s="14"/>
      <c r="AG976" s="14">
        <v>0.76851660181090997</v>
      </c>
      <c r="AH976" s="14">
        <v>0.441422534810051</v>
      </c>
      <c r="AI976" s="14"/>
      <c r="AJ976" s="14">
        <v>0.69057016468731303</v>
      </c>
      <c r="AK976" s="14">
        <v>0.41131636137187999</v>
      </c>
      <c r="AL976" s="14"/>
      <c r="AM976" s="14">
        <v>0.79105495652495394</v>
      </c>
      <c r="AN976" s="14">
        <v>0.17901294681955099</v>
      </c>
    </row>
    <row r="977" spans="2:40" x14ac:dyDescent="0.35"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  <c r="AA977" s="14"/>
      <c r="AB977" s="14"/>
      <c r="AC977" s="14"/>
      <c r="AD977" s="14"/>
      <c r="AE977" s="14"/>
      <c r="AF977" s="14"/>
      <c r="AG977" s="14"/>
      <c r="AH977" s="14"/>
      <c r="AI977" s="14"/>
      <c r="AJ977" s="14"/>
      <c r="AK977" s="14"/>
      <c r="AL977" s="14"/>
      <c r="AM977" s="14"/>
      <c r="AN977" s="14"/>
    </row>
    <row r="978" spans="2:40" x14ac:dyDescent="0.35">
      <c r="B978" s="6" t="s">
        <v>275</v>
      </c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  <c r="AA978" s="14"/>
      <c r="AB978" s="14"/>
      <c r="AC978" s="14"/>
      <c r="AD978" s="14"/>
      <c r="AE978" s="14"/>
      <c r="AF978" s="14"/>
      <c r="AG978" s="14"/>
      <c r="AH978" s="14"/>
      <c r="AI978" s="14"/>
      <c r="AJ978" s="14"/>
      <c r="AK978" s="14"/>
      <c r="AL978" s="14"/>
      <c r="AM978" s="14"/>
      <c r="AN978" s="14"/>
    </row>
    <row r="979" spans="2:40" x14ac:dyDescent="0.35">
      <c r="B979" s="26" t="s">
        <v>395</v>
      </c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  <c r="AA979" s="14"/>
      <c r="AB979" s="14"/>
      <c r="AC979" s="14"/>
      <c r="AD979" s="14"/>
      <c r="AE979" s="14"/>
      <c r="AF979" s="14"/>
      <c r="AG979" s="14"/>
      <c r="AH979" s="14"/>
      <c r="AI979" s="14"/>
      <c r="AJ979" s="14"/>
      <c r="AK979" s="14"/>
      <c r="AL979" s="14"/>
      <c r="AM979" s="14"/>
      <c r="AN979" s="14"/>
    </row>
    <row r="980" spans="2:40" x14ac:dyDescent="0.35">
      <c r="B980" t="s">
        <v>166</v>
      </c>
      <c r="C980" s="14">
        <v>0.13962969108165901</v>
      </c>
      <c r="D980" s="14">
        <v>0.120986488154132</v>
      </c>
      <c r="E980" s="14">
        <v>0.15799002365193901</v>
      </c>
      <c r="F980" s="14"/>
      <c r="G980" s="14" t="s">
        <v>76</v>
      </c>
      <c r="H980" s="14" t="s">
        <v>76</v>
      </c>
      <c r="I980" s="14">
        <v>0.13962969108165901</v>
      </c>
      <c r="J980" s="14"/>
      <c r="K980" s="14" t="s">
        <v>76</v>
      </c>
      <c r="L980" s="14">
        <v>0.14606732286530999</v>
      </c>
      <c r="M980" s="14">
        <v>0.12875355570424199</v>
      </c>
      <c r="N980" s="14"/>
      <c r="O980" s="14">
        <v>0.126728517401625</v>
      </c>
      <c r="P980" s="14">
        <v>0.204566318225085</v>
      </c>
      <c r="Q980" s="14"/>
      <c r="R980" s="14">
        <v>0.19351541131768099</v>
      </c>
      <c r="S980" s="14">
        <v>0.15109732993460101</v>
      </c>
      <c r="T980" s="14">
        <v>0.10469396274416901</v>
      </c>
      <c r="U980" s="14">
        <v>0.10883868817602201</v>
      </c>
      <c r="V980" s="14">
        <v>0.108832086188925</v>
      </c>
      <c r="W980" s="14">
        <v>7.9289265872401593E-2</v>
      </c>
      <c r="X980" s="14">
        <v>0.10825251234512299</v>
      </c>
      <c r="Y980" s="14">
        <v>0.20133451685668599</v>
      </c>
      <c r="Z980" s="14">
        <v>0.15906434838561101</v>
      </c>
      <c r="AA980" s="14"/>
      <c r="AB980" s="14">
        <v>0.168222924767993</v>
      </c>
      <c r="AC980" s="14">
        <v>0.162453178900515</v>
      </c>
      <c r="AD980" s="14">
        <v>7.0138897255317703E-2</v>
      </c>
      <c r="AE980" s="14">
        <v>0.15167733659720301</v>
      </c>
      <c r="AF980" s="14"/>
      <c r="AG980" s="14">
        <v>0.214804749045063</v>
      </c>
      <c r="AH980" s="14">
        <v>0.12271637636854101</v>
      </c>
      <c r="AI980" s="14"/>
      <c r="AJ980" s="14">
        <v>0.192860112089523</v>
      </c>
      <c r="AK980" s="14">
        <v>4.8313136751320797E-2</v>
      </c>
      <c r="AL980" s="14"/>
      <c r="AM980" s="14">
        <v>0.21209050398663701</v>
      </c>
      <c r="AN980" s="14">
        <v>1.4103118787197499E-2</v>
      </c>
    </row>
    <row r="981" spans="2:40" x14ac:dyDescent="0.35">
      <c r="B981" t="s">
        <v>167</v>
      </c>
      <c r="C981" s="14">
        <v>0.36882197066573702</v>
      </c>
      <c r="D981" s="14">
        <v>0.36666100368781701</v>
      </c>
      <c r="E981" s="14">
        <v>0.36923291111270201</v>
      </c>
      <c r="F981" s="14"/>
      <c r="G981" s="14" t="s">
        <v>76</v>
      </c>
      <c r="H981" s="14" t="s">
        <v>76</v>
      </c>
      <c r="I981" s="14">
        <v>0.36882197066573702</v>
      </c>
      <c r="J981" s="14"/>
      <c r="K981" s="14" t="s">
        <v>76</v>
      </c>
      <c r="L981" s="14">
        <v>0.41406163955024999</v>
      </c>
      <c r="M981" s="14">
        <v>0.292391261399781</v>
      </c>
      <c r="N981" s="14"/>
      <c r="O981" s="14">
        <v>0.348038238687989</v>
      </c>
      <c r="P981" s="14">
        <v>0.45351815436427101</v>
      </c>
      <c r="Q981" s="14"/>
      <c r="R981" s="14">
        <v>0.50245745752611704</v>
      </c>
      <c r="S981" s="14">
        <v>0.267823434706709</v>
      </c>
      <c r="T981" s="14">
        <v>0.33974113569348102</v>
      </c>
      <c r="U981" s="14">
        <v>0.44147277519473499</v>
      </c>
      <c r="V981" s="14">
        <v>0.29386063256106298</v>
      </c>
      <c r="W981" s="14">
        <v>0.403063829402242</v>
      </c>
      <c r="X981" s="14">
        <v>0.31725496410278098</v>
      </c>
      <c r="Y981" s="14">
        <v>0.33696986044530303</v>
      </c>
      <c r="Z981" s="14">
        <v>0.36824068352315098</v>
      </c>
      <c r="AA981" s="14"/>
      <c r="AB981" s="14">
        <v>0.31009019037595498</v>
      </c>
      <c r="AC981" s="14">
        <v>0.48122868441785299</v>
      </c>
      <c r="AD981" s="14">
        <v>0.26262639208799299</v>
      </c>
      <c r="AE981" s="14">
        <v>0.33441541469225999</v>
      </c>
      <c r="AF981" s="14"/>
      <c r="AG981" s="14">
        <v>0.38999624701387198</v>
      </c>
      <c r="AH981" s="14">
        <v>0.20239437653145501</v>
      </c>
      <c r="AI981" s="14"/>
      <c r="AJ981" s="14">
        <v>0.34529076661214902</v>
      </c>
      <c r="AK981" s="14">
        <v>0.25483401816312001</v>
      </c>
      <c r="AL981" s="14"/>
      <c r="AM981" s="14">
        <v>0.47963567846741201</v>
      </c>
      <c r="AN981" s="14">
        <v>5.9551347447539198E-2</v>
      </c>
    </row>
    <row r="982" spans="2:40" x14ac:dyDescent="0.35">
      <c r="B982" t="s">
        <v>168</v>
      </c>
      <c r="C982" s="14">
        <v>0.31576184615928699</v>
      </c>
      <c r="D982" s="14">
        <v>0.34608075438450397</v>
      </c>
      <c r="E982" s="14">
        <v>0.287672698227742</v>
      </c>
      <c r="F982" s="14"/>
      <c r="G982" s="14" t="s">
        <v>76</v>
      </c>
      <c r="H982" s="14" t="s">
        <v>76</v>
      </c>
      <c r="I982" s="14">
        <v>0.31576184615928699</v>
      </c>
      <c r="J982" s="14"/>
      <c r="K982" s="14" t="s">
        <v>76</v>
      </c>
      <c r="L982" s="14">
        <v>0.28659334978376799</v>
      </c>
      <c r="M982" s="14">
        <v>0.365040917407431</v>
      </c>
      <c r="N982" s="14"/>
      <c r="O982" s="14">
        <v>0.32218473530783398</v>
      </c>
      <c r="P982" s="14">
        <v>0.28011525906893298</v>
      </c>
      <c r="Q982" s="14"/>
      <c r="R982" s="14">
        <v>0.23551811038630599</v>
      </c>
      <c r="S982" s="14">
        <v>0.42404474905516798</v>
      </c>
      <c r="T982" s="14">
        <v>0.339616191927745</v>
      </c>
      <c r="U982" s="14">
        <v>0.32619412423898297</v>
      </c>
      <c r="V982" s="14">
        <v>0.36878819204437502</v>
      </c>
      <c r="W982" s="14">
        <v>0.190288996275919</v>
      </c>
      <c r="X982" s="14">
        <v>0.326567686498551</v>
      </c>
      <c r="Y982" s="14">
        <v>0.23847073761714499</v>
      </c>
      <c r="Z982" s="14">
        <v>0.32110846689779099</v>
      </c>
      <c r="AA982" s="14"/>
      <c r="AB982" s="14">
        <v>0.26843197759229898</v>
      </c>
      <c r="AC982" s="14">
        <v>0.31252387246740698</v>
      </c>
      <c r="AD982" s="14">
        <v>0.376279297642372</v>
      </c>
      <c r="AE982" s="14">
        <v>0.38270250280350199</v>
      </c>
      <c r="AF982" s="14"/>
      <c r="AG982" s="14">
        <v>0.28357132157072701</v>
      </c>
      <c r="AH982" s="14">
        <v>0.334494011559268</v>
      </c>
      <c r="AI982" s="14"/>
      <c r="AJ982" s="14">
        <v>0.29570618628946199</v>
      </c>
      <c r="AK982" s="14">
        <v>0.42507226087439698</v>
      </c>
      <c r="AL982" s="14"/>
      <c r="AM982" s="14">
        <v>0.23917763216990501</v>
      </c>
      <c r="AN982" s="14">
        <v>0.42940175022163002</v>
      </c>
    </row>
    <row r="983" spans="2:40" x14ac:dyDescent="0.35">
      <c r="B983" t="s">
        <v>169</v>
      </c>
      <c r="C983" s="14">
        <v>0.16322074997696601</v>
      </c>
      <c r="D983" s="14">
        <v>0.149236101814779</v>
      </c>
      <c r="E983" s="14">
        <v>0.17709437251926499</v>
      </c>
      <c r="F983" s="14"/>
      <c r="G983" s="14" t="s">
        <v>76</v>
      </c>
      <c r="H983" s="14" t="s">
        <v>76</v>
      </c>
      <c r="I983" s="14">
        <v>0.16322074997696601</v>
      </c>
      <c r="J983" s="14"/>
      <c r="K983" s="14" t="s">
        <v>76</v>
      </c>
      <c r="L983" s="14">
        <v>0.142655644962079</v>
      </c>
      <c r="M983" s="14">
        <v>0.197964716968175</v>
      </c>
      <c r="N983" s="14"/>
      <c r="O983" s="14">
        <v>0.18735438483440001</v>
      </c>
      <c r="P983" s="14">
        <v>6.1800268341710297E-2</v>
      </c>
      <c r="Q983" s="14"/>
      <c r="R983" s="14">
        <v>6.8509020769895401E-2</v>
      </c>
      <c r="S983" s="14">
        <v>0.15703448630352199</v>
      </c>
      <c r="T983" s="14">
        <v>0.200156959494108</v>
      </c>
      <c r="U983" s="14">
        <v>0.12349441239026</v>
      </c>
      <c r="V983" s="14">
        <v>0.191914844683542</v>
      </c>
      <c r="W983" s="14">
        <v>0.28325038680784098</v>
      </c>
      <c r="X983" s="14">
        <v>0.20658958464335</v>
      </c>
      <c r="Y983" s="14">
        <v>0.22322488508086499</v>
      </c>
      <c r="Z983" s="14">
        <v>0.15158650119344699</v>
      </c>
      <c r="AA983" s="14"/>
      <c r="AB983" s="14">
        <v>0.25325490726375299</v>
      </c>
      <c r="AC983" s="14">
        <v>2.9709209912947201E-2</v>
      </c>
      <c r="AD983" s="14">
        <v>0.25796859228740199</v>
      </c>
      <c r="AE983" s="14">
        <v>0.13120474590703601</v>
      </c>
      <c r="AF983" s="14"/>
      <c r="AG983" s="14">
        <v>0.111627682370337</v>
      </c>
      <c r="AH983" s="14">
        <v>0.34039523554073597</v>
      </c>
      <c r="AI983" s="14"/>
      <c r="AJ983" s="14">
        <v>0.16614293500886601</v>
      </c>
      <c r="AK983" s="14">
        <v>0.23754979414799901</v>
      </c>
      <c r="AL983" s="14"/>
      <c r="AM983" s="14">
        <v>6.3443174147061299E-2</v>
      </c>
      <c r="AN983" s="14">
        <v>0.490417338341257</v>
      </c>
    </row>
    <row r="984" spans="2:40" x14ac:dyDescent="0.35">
      <c r="B984" t="s">
        <v>70</v>
      </c>
      <c r="C984" s="14">
        <v>1.2565742116350699E-2</v>
      </c>
      <c r="D984" s="14">
        <v>1.70356519587684E-2</v>
      </c>
      <c r="E984" s="14">
        <v>8.0099944883516693E-3</v>
      </c>
      <c r="F984" s="14"/>
      <c r="G984" s="14" t="s">
        <v>76</v>
      </c>
      <c r="H984" s="14" t="s">
        <v>76</v>
      </c>
      <c r="I984" s="14">
        <v>1.2565742116350699E-2</v>
      </c>
      <c r="J984" s="14"/>
      <c r="K984" s="14" t="s">
        <v>76</v>
      </c>
      <c r="L984" s="14">
        <v>1.06220428385938E-2</v>
      </c>
      <c r="M984" s="14">
        <v>1.5849548520370099E-2</v>
      </c>
      <c r="N984" s="14"/>
      <c r="O984" s="14">
        <v>1.5694123768152199E-2</v>
      </c>
      <c r="P984" s="14">
        <v>0</v>
      </c>
      <c r="Q984" s="14"/>
      <c r="R984" s="14">
        <v>0</v>
      </c>
      <c r="S984" s="14">
        <v>0</v>
      </c>
      <c r="T984" s="14">
        <v>1.57917501404976E-2</v>
      </c>
      <c r="U984" s="14">
        <v>0</v>
      </c>
      <c r="V984" s="14">
        <v>3.6604244522094799E-2</v>
      </c>
      <c r="W984" s="14">
        <v>4.4107521641596502E-2</v>
      </c>
      <c r="X984" s="14">
        <v>4.1335252410195297E-2</v>
      </c>
      <c r="Y984" s="14">
        <v>0</v>
      </c>
      <c r="Z984" s="14">
        <v>0</v>
      </c>
      <c r="AA984" s="14"/>
      <c r="AB984" s="14">
        <v>0</v>
      </c>
      <c r="AC984" s="14">
        <v>1.40850543012776E-2</v>
      </c>
      <c r="AD984" s="14">
        <v>3.2986820726915403E-2</v>
      </c>
      <c r="AE984" s="14">
        <v>0</v>
      </c>
      <c r="AF984" s="14"/>
      <c r="AG984" s="14">
        <v>0</v>
      </c>
      <c r="AH984" s="14">
        <v>0</v>
      </c>
      <c r="AI984" s="14"/>
      <c r="AJ984" s="14">
        <v>0</v>
      </c>
      <c r="AK984" s="14">
        <v>3.4230790063163402E-2</v>
      </c>
      <c r="AL984" s="14"/>
      <c r="AM984" s="14">
        <v>5.6530112289840499E-3</v>
      </c>
      <c r="AN984" s="14">
        <v>6.5264452023768502E-3</v>
      </c>
    </row>
    <row r="985" spans="2:40" x14ac:dyDescent="0.35"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  <c r="AA985" s="14"/>
      <c r="AB985" s="14"/>
      <c r="AC985" s="14"/>
      <c r="AD985" s="14"/>
      <c r="AE985" s="14"/>
      <c r="AF985" s="14"/>
      <c r="AG985" s="14"/>
      <c r="AH985" s="14"/>
      <c r="AI985" s="14"/>
      <c r="AJ985" s="14"/>
      <c r="AK985" s="14"/>
      <c r="AL985" s="14"/>
      <c r="AM985" s="14"/>
      <c r="AN985" s="14"/>
    </row>
    <row r="986" spans="2:40" x14ac:dyDescent="0.35">
      <c r="B986" s="6" t="s">
        <v>276</v>
      </c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</row>
    <row r="987" spans="2:40" x14ac:dyDescent="0.35">
      <c r="B987" s="26" t="s">
        <v>395</v>
      </c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  <c r="AA987" s="14"/>
      <c r="AB987" s="14"/>
      <c r="AC987" s="14"/>
      <c r="AD987" s="14"/>
      <c r="AE987" s="14"/>
      <c r="AF987" s="14"/>
      <c r="AG987" s="14"/>
      <c r="AH987" s="14"/>
      <c r="AI987" s="14"/>
      <c r="AJ987" s="14"/>
      <c r="AK987" s="14"/>
      <c r="AL987" s="14"/>
      <c r="AM987" s="14"/>
      <c r="AN987" s="14"/>
    </row>
    <row r="988" spans="2:40" x14ac:dyDescent="0.35">
      <c r="B988" t="s">
        <v>242</v>
      </c>
      <c r="C988" s="14">
        <v>0.181689060471419</v>
      </c>
      <c r="D988" s="14">
        <v>0.17628056442404499</v>
      </c>
      <c r="E988" s="14">
        <v>0.18661974464800299</v>
      </c>
      <c r="F988" s="14"/>
      <c r="G988" s="14" t="s">
        <v>76</v>
      </c>
      <c r="H988" s="14" t="s">
        <v>76</v>
      </c>
      <c r="I988" s="14">
        <v>0.181689060471419</v>
      </c>
      <c r="J988" s="14"/>
      <c r="K988" s="14" t="s">
        <v>76</v>
      </c>
      <c r="L988" s="14">
        <v>0.20039041085940501</v>
      </c>
      <c r="M988" s="14">
        <v>0.15009383642073601</v>
      </c>
      <c r="N988" s="14"/>
      <c r="O988" s="14">
        <v>0.16925716925734199</v>
      </c>
      <c r="P988" s="14">
        <v>0.247493153358052</v>
      </c>
      <c r="Q988" s="14"/>
      <c r="R988" s="14">
        <v>0.27426731663468201</v>
      </c>
      <c r="S988" s="14">
        <v>0.17595650172576999</v>
      </c>
      <c r="T988" s="14">
        <v>0.120583362856281</v>
      </c>
      <c r="U988" s="14">
        <v>0.245298222259134</v>
      </c>
      <c r="V988" s="14">
        <v>0.162671215951497</v>
      </c>
      <c r="W988" s="14">
        <v>9.4645021381436503E-2</v>
      </c>
      <c r="X988" s="14">
        <v>0.13282790347809301</v>
      </c>
      <c r="Y988" s="14">
        <v>0.122494372940847</v>
      </c>
      <c r="Z988" s="14">
        <v>0.18719825993293801</v>
      </c>
      <c r="AA988" s="14"/>
      <c r="AB988" s="14">
        <v>0.16911032303037299</v>
      </c>
      <c r="AC988" s="14">
        <v>0.210029690247208</v>
      </c>
      <c r="AD988" s="14">
        <v>6.3859998758716299E-2</v>
      </c>
      <c r="AE988" s="14">
        <v>0.19347635524540599</v>
      </c>
      <c r="AF988" s="14"/>
      <c r="AG988" s="14">
        <v>0.24533408313563601</v>
      </c>
      <c r="AH988" s="14">
        <v>8.6287204543341503E-2</v>
      </c>
      <c r="AI988" s="14"/>
      <c r="AJ988" s="14">
        <v>0.20743325040097799</v>
      </c>
      <c r="AK988" s="14">
        <v>6.7067734387752195E-2</v>
      </c>
      <c r="AL988" s="14"/>
      <c r="AM988" s="14">
        <v>0.25934493382483498</v>
      </c>
      <c r="AN988" s="14">
        <v>4.8310124841900198E-2</v>
      </c>
    </row>
    <row r="989" spans="2:40" x14ac:dyDescent="0.35">
      <c r="B989" t="s">
        <v>243</v>
      </c>
      <c r="C989" s="14">
        <v>0.48861165573447701</v>
      </c>
      <c r="D989" s="14">
        <v>0.50500988637689104</v>
      </c>
      <c r="E989" s="14">
        <v>0.46808169860599702</v>
      </c>
      <c r="F989" s="14"/>
      <c r="G989" s="14" t="s">
        <v>76</v>
      </c>
      <c r="H989" s="14" t="s">
        <v>76</v>
      </c>
      <c r="I989" s="14">
        <v>0.48861165573447701</v>
      </c>
      <c r="J989" s="14"/>
      <c r="K989" s="14" t="s">
        <v>76</v>
      </c>
      <c r="L989" s="14">
        <v>0.49914077718772598</v>
      </c>
      <c r="M989" s="14">
        <v>0.47082310333208</v>
      </c>
      <c r="N989" s="14"/>
      <c r="O989" s="14">
        <v>0.49005261800064998</v>
      </c>
      <c r="P989" s="14">
        <v>0.48612909517971797</v>
      </c>
      <c r="Q989" s="14"/>
      <c r="R989" s="14">
        <v>0.55131358943624398</v>
      </c>
      <c r="S989" s="14">
        <v>0.50301783880126605</v>
      </c>
      <c r="T989" s="14">
        <v>0.57578865770669596</v>
      </c>
      <c r="U989" s="14">
        <v>0.37361895027076197</v>
      </c>
      <c r="V989" s="14">
        <v>0.36635292943749798</v>
      </c>
      <c r="W989" s="14">
        <v>0.47941728377873599</v>
      </c>
      <c r="X989" s="14">
        <v>0.455813295264208</v>
      </c>
      <c r="Y989" s="14">
        <v>0.57691408459657301</v>
      </c>
      <c r="Z989" s="14">
        <v>0.491219669165816</v>
      </c>
      <c r="AA989" s="14"/>
      <c r="AB989" s="14">
        <v>0.43813072706272299</v>
      </c>
      <c r="AC989" s="14">
        <v>0.60825022026182696</v>
      </c>
      <c r="AD989" s="14">
        <v>0.52415287638826302</v>
      </c>
      <c r="AE989" s="14">
        <v>0.45155015104523599</v>
      </c>
      <c r="AF989" s="14"/>
      <c r="AG989" s="14">
        <v>0.50172606310212697</v>
      </c>
      <c r="AH989" s="14">
        <v>0.36827911764483401</v>
      </c>
      <c r="AI989" s="14"/>
      <c r="AJ989" s="14">
        <v>0.46992568824728298</v>
      </c>
      <c r="AK989" s="14">
        <v>0.473333425571065</v>
      </c>
      <c r="AL989" s="14"/>
      <c r="AM989" s="14">
        <v>0.52848830671863201</v>
      </c>
      <c r="AN989" s="14">
        <v>0.36889952998957998</v>
      </c>
    </row>
    <row r="990" spans="2:40" x14ac:dyDescent="0.35">
      <c r="B990" t="s">
        <v>244</v>
      </c>
      <c r="C990" s="14">
        <v>0.211147982185315</v>
      </c>
      <c r="D990" s="14">
        <v>0.20928512076677</v>
      </c>
      <c r="E990" s="14">
        <v>0.215686066146274</v>
      </c>
      <c r="F990" s="14"/>
      <c r="G990" s="14" t="s">
        <v>76</v>
      </c>
      <c r="H990" s="14" t="s">
        <v>76</v>
      </c>
      <c r="I990" s="14">
        <v>0.211147982185315</v>
      </c>
      <c r="J990" s="14"/>
      <c r="K990" s="14" t="s">
        <v>76</v>
      </c>
      <c r="L990" s="14">
        <v>0.19581124855776999</v>
      </c>
      <c r="M990" s="14">
        <v>0.23705881349508001</v>
      </c>
      <c r="N990" s="14"/>
      <c r="O990" s="14">
        <v>0.21990581652640101</v>
      </c>
      <c r="P990" s="14">
        <v>0.17301999677734001</v>
      </c>
      <c r="Q990" s="14"/>
      <c r="R990" s="14">
        <v>0.132585020072649</v>
      </c>
      <c r="S990" s="14">
        <v>0.23275763188638901</v>
      </c>
      <c r="T990" s="14">
        <v>0.13941869442434901</v>
      </c>
      <c r="U990" s="14">
        <v>0.250906403720488</v>
      </c>
      <c r="V990" s="14">
        <v>0.29460901804234402</v>
      </c>
      <c r="W990" s="14">
        <v>0.21638558656421</v>
      </c>
      <c r="X990" s="14">
        <v>0.27460537171902899</v>
      </c>
      <c r="Y990" s="14">
        <v>0.18134636718914701</v>
      </c>
      <c r="Z990" s="14">
        <v>0.21145534545185199</v>
      </c>
      <c r="AA990" s="14"/>
      <c r="AB990" s="14">
        <v>0.25325835771142802</v>
      </c>
      <c r="AC990" s="14">
        <v>0.146902492031143</v>
      </c>
      <c r="AD990" s="14">
        <v>0.21650296157374099</v>
      </c>
      <c r="AE990" s="14">
        <v>0.26683495206202801</v>
      </c>
      <c r="AF990" s="14"/>
      <c r="AG990" s="14">
        <v>0.163913867578517</v>
      </c>
      <c r="AH990" s="14">
        <v>0.44674590511328099</v>
      </c>
      <c r="AI990" s="14"/>
      <c r="AJ990" s="14">
        <v>0.231312673776321</v>
      </c>
      <c r="AK990" s="14">
        <v>0.26584391916292499</v>
      </c>
      <c r="AL990" s="14"/>
      <c r="AM990" s="14">
        <v>0.142919858040917</v>
      </c>
      <c r="AN990" s="14">
        <v>0.29979708575220998</v>
      </c>
    </row>
    <row r="991" spans="2:40" x14ac:dyDescent="0.35">
      <c r="B991" t="s">
        <v>245</v>
      </c>
      <c r="C991" s="14">
        <v>6.9773279288878401E-2</v>
      </c>
      <c r="D991" s="14">
        <v>7.3059982841230803E-2</v>
      </c>
      <c r="E991" s="14">
        <v>6.7161846642999998E-2</v>
      </c>
      <c r="F991" s="14"/>
      <c r="G991" s="14" t="s">
        <v>76</v>
      </c>
      <c r="H991" s="14" t="s">
        <v>76</v>
      </c>
      <c r="I991" s="14">
        <v>6.9773279288878401E-2</v>
      </c>
      <c r="J991" s="14"/>
      <c r="K991" s="14" t="s">
        <v>76</v>
      </c>
      <c r="L991" s="14">
        <v>5.5566252537169902E-2</v>
      </c>
      <c r="M991" s="14">
        <v>9.3775513566177193E-2</v>
      </c>
      <c r="N991" s="14"/>
      <c r="O991" s="14">
        <v>7.0695242203618794E-2</v>
      </c>
      <c r="P991" s="14">
        <v>7.0596628774729595E-2</v>
      </c>
      <c r="Q991" s="14"/>
      <c r="R991" s="14">
        <v>4.1834073856424597E-2</v>
      </c>
      <c r="S991" s="14">
        <v>3.8982360359785501E-2</v>
      </c>
      <c r="T991" s="14">
        <v>8.9017058198962995E-2</v>
      </c>
      <c r="U991" s="14">
        <v>9.1493663688858404E-2</v>
      </c>
      <c r="V991" s="14">
        <v>8.8706265004352497E-2</v>
      </c>
      <c r="W991" s="14">
        <v>0.114833498428746</v>
      </c>
      <c r="X991" s="14">
        <v>0.11502201085708499</v>
      </c>
      <c r="Y991" s="14">
        <v>9.0273811558949202E-2</v>
      </c>
      <c r="Z991" s="14">
        <v>3.9613106869982297E-2</v>
      </c>
      <c r="AA991" s="14"/>
      <c r="AB991" s="14">
        <v>9.9675661020938999E-2</v>
      </c>
      <c r="AC991" s="14">
        <v>1.7870043512504302E-2</v>
      </c>
      <c r="AD991" s="14">
        <v>0.109627415919986</v>
      </c>
      <c r="AE991" s="14">
        <v>7.2456256499324898E-2</v>
      </c>
      <c r="AF991" s="14"/>
      <c r="AG991" s="14">
        <v>8.9025986183719805E-2</v>
      </c>
      <c r="AH991" s="14">
        <v>9.8687772698542994E-2</v>
      </c>
      <c r="AI991" s="14"/>
      <c r="AJ991" s="14">
        <v>9.1328387575418904E-2</v>
      </c>
      <c r="AK991" s="14">
        <v>8.9550548471158203E-2</v>
      </c>
      <c r="AL991" s="14"/>
      <c r="AM991" s="14">
        <v>3.7914123718552399E-2</v>
      </c>
      <c r="AN991" s="14">
        <v>0.20650519479239399</v>
      </c>
    </row>
    <row r="992" spans="2:40" x14ac:dyDescent="0.35">
      <c r="B992" t="s">
        <v>70</v>
      </c>
      <c r="C992" s="14">
        <v>4.8778022319910602E-2</v>
      </c>
      <c r="D992" s="14">
        <v>3.6364445591063103E-2</v>
      </c>
      <c r="E992" s="14">
        <v>6.2450643956726698E-2</v>
      </c>
      <c r="F992" s="14"/>
      <c r="G992" s="14" t="s">
        <v>76</v>
      </c>
      <c r="H992" s="14" t="s">
        <v>76</v>
      </c>
      <c r="I992" s="14">
        <v>4.8778022319910602E-2</v>
      </c>
      <c r="J992" s="14"/>
      <c r="K992" s="14" t="s">
        <v>76</v>
      </c>
      <c r="L992" s="14">
        <v>4.9091310857928498E-2</v>
      </c>
      <c r="M992" s="14">
        <v>4.8248733185926797E-2</v>
      </c>
      <c r="N992" s="14"/>
      <c r="O992" s="14">
        <v>5.0089154011988601E-2</v>
      </c>
      <c r="P992" s="14">
        <v>2.27611259101606E-2</v>
      </c>
      <c r="Q992" s="14"/>
      <c r="R992" s="14">
        <v>0</v>
      </c>
      <c r="S992" s="14">
        <v>4.9285667226789898E-2</v>
      </c>
      <c r="T992" s="14">
        <v>7.5192226813711294E-2</v>
      </c>
      <c r="U992" s="14">
        <v>3.86827600607575E-2</v>
      </c>
      <c r="V992" s="14">
        <v>8.7660571564308898E-2</v>
      </c>
      <c r="W992" s="14">
        <v>9.4718609846871402E-2</v>
      </c>
      <c r="X992" s="14">
        <v>2.1731418681584701E-2</v>
      </c>
      <c r="Y992" s="14">
        <v>2.8971363714483798E-2</v>
      </c>
      <c r="Z992" s="14">
        <v>7.0513618579411602E-2</v>
      </c>
      <c r="AA992" s="14"/>
      <c r="AB992" s="14">
        <v>3.9824931174536497E-2</v>
      </c>
      <c r="AC992" s="14">
        <v>1.6947553947317898E-2</v>
      </c>
      <c r="AD992" s="14">
        <v>8.5856747359293106E-2</v>
      </c>
      <c r="AE992" s="14">
        <v>1.5682285148005199E-2</v>
      </c>
      <c r="AF992" s="14"/>
      <c r="AG992" s="14">
        <v>0</v>
      </c>
      <c r="AH992" s="14">
        <v>0</v>
      </c>
      <c r="AI992" s="14"/>
      <c r="AJ992" s="14">
        <v>0</v>
      </c>
      <c r="AK992" s="14">
        <v>0.1042043724071</v>
      </c>
      <c r="AL992" s="14"/>
      <c r="AM992" s="14">
        <v>3.1332777697063503E-2</v>
      </c>
      <c r="AN992" s="14">
        <v>7.6488064623915303E-2</v>
      </c>
    </row>
    <row r="993" spans="2:40" x14ac:dyDescent="0.35"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  <c r="AA993" s="14"/>
      <c r="AB993" s="14"/>
      <c r="AC993" s="14"/>
      <c r="AD993" s="14"/>
      <c r="AE993" s="14"/>
      <c r="AF993" s="14"/>
      <c r="AG993" s="14"/>
      <c r="AH993" s="14"/>
      <c r="AI993" s="14"/>
      <c r="AJ993" s="14"/>
      <c r="AK993" s="14"/>
      <c r="AL993" s="14"/>
      <c r="AM993" s="14"/>
      <c r="AN993" s="14"/>
    </row>
    <row r="994" spans="2:40" x14ac:dyDescent="0.35">
      <c r="B994" s="6" t="s">
        <v>277</v>
      </c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  <c r="AA994" s="14"/>
      <c r="AB994" s="14"/>
      <c r="AC994" s="14"/>
      <c r="AD994" s="14"/>
      <c r="AE994" s="14"/>
      <c r="AF994" s="14"/>
      <c r="AG994" s="14"/>
      <c r="AH994" s="14"/>
      <c r="AI994" s="14"/>
      <c r="AJ994" s="14"/>
      <c r="AK994" s="14"/>
      <c r="AL994" s="14"/>
      <c r="AM994" s="14"/>
      <c r="AN994" s="14"/>
    </row>
    <row r="995" spans="2:40" x14ac:dyDescent="0.35">
      <c r="B995" s="24" t="s">
        <v>74</v>
      </c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  <c r="AA995" s="14"/>
      <c r="AB995" s="14"/>
      <c r="AC995" s="14"/>
      <c r="AD995" s="14"/>
      <c r="AE995" s="14"/>
      <c r="AF995" s="14"/>
      <c r="AG995" s="14"/>
      <c r="AH995" s="14"/>
      <c r="AI995" s="14"/>
      <c r="AJ995" s="14"/>
      <c r="AK995" s="14"/>
      <c r="AL995" s="14"/>
      <c r="AM995" s="14"/>
      <c r="AN995" s="14"/>
    </row>
    <row r="996" spans="2:40" x14ac:dyDescent="0.35">
      <c r="B996" t="s">
        <v>44</v>
      </c>
      <c r="C996" s="14">
        <v>0.63547797033678299</v>
      </c>
      <c r="D996" s="14">
        <v>0.65652171048311803</v>
      </c>
      <c r="E996" s="14">
        <v>0.61589559190995002</v>
      </c>
      <c r="F996" s="14"/>
      <c r="G996" s="14" t="s">
        <v>76</v>
      </c>
      <c r="H996" s="14" t="s">
        <v>76</v>
      </c>
      <c r="I996" s="14">
        <v>0.63547797033678299</v>
      </c>
      <c r="J996" s="14"/>
      <c r="K996" s="14" t="s">
        <v>76</v>
      </c>
      <c r="L996" s="14">
        <v>0.60762535525323402</v>
      </c>
      <c r="M996" s="14">
        <v>0.68844627367120304</v>
      </c>
      <c r="N996" s="14"/>
      <c r="O996" s="14">
        <v>0.61681815917623795</v>
      </c>
      <c r="P996" s="14">
        <v>0.81158916431819095</v>
      </c>
      <c r="Q996" s="14"/>
      <c r="R996" s="14">
        <v>0.65499637201341399</v>
      </c>
      <c r="S996" s="14">
        <v>0.60608466216164802</v>
      </c>
      <c r="T996" s="14">
        <v>0.72349225550265495</v>
      </c>
      <c r="U996" s="14">
        <v>0.639043903802894</v>
      </c>
      <c r="V996" s="14">
        <v>0.57965617321865104</v>
      </c>
      <c r="W996" s="14">
        <v>0.63588625186786696</v>
      </c>
      <c r="X996" s="14">
        <v>0.633414800406224</v>
      </c>
      <c r="Y996" s="14">
        <v>0.60504895368670897</v>
      </c>
      <c r="Z996" s="14">
        <v>0.63607546263495096</v>
      </c>
      <c r="AA996" s="14"/>
      <c r="AB996" s="14">
        <v>0.63052440488728601</v>
      </c>
      <c r="AC996" s="14">
        <v>0.65933803215242304</v>
      </c>
      <c r="AD996" s="14">
        <v>0.65700399918797103</v>
      </c>
      <c r="AE996" s="14">
        <v>0.78497049424256504</v>
      </c>
      <c r="AF996" s="14"/>
      <c r="AG996" s="14">
        <v>0.72289226137876095</v>
      </c>
      <c r="AH996" s="14">
        <v>0.67148527745120401</v>
      </c>
      <c r="AI996" s="14"/>
      <c r="AJ996" s="14">
        <v>0.70492552377143303</v>
      </c>
      <c r="AK996" s="14">
        <v>0.70388936950068304</v>
      </c>
      <c r="AL996" s="14"/>
      <c r="AM996" s="14">
        <v>0.70078036028604596</v>
      </c>
      <c r="AN996" s="14">
        <v>0.52551945359457397</v>
      </c>
    </row>
    <row r="997" spans="2:40" x14ac:dyDescent="0.35">
      <c r="B997" t="s">
        <v>45</v>
      </c>
      <c r="C997" s="14">
        <v>0.25825659380219801</v>
      </c>
      <c r="D997" s="14">
        <v>0.26425895787231701</v>
      </c>
      <c r="E997" s="14">
        <v>0.25344844946468598</v>
      </c>
      <c r="F997" s="14"/>
      <c r="G997" s="14" t="s">
        <v>76</v>
      </c>
      <c r="H997" s="14" t="s">
        <v>76</v>
      </c>
      <c r="I997" s="14">
        <v>0.25825659380219801</v>
      </c>
      <c r="J997" s="14"/>
      <c r="K997" s="14" t="s">
        <v>76</v>
      </c>
      <c r="L997" s="14">
        <v>0.27537478758767397</v>
      </c>
      <c r="M997" s="14">
        <v>0.22570231915880801</v>
      </c>
      <c r="N997" s="14"/>
      <c r="O997" s="14">
        <v>0.26988539750052298</v>
      </c>
      <c r="P997" s="14">
        <v>0.14240787852079301</v>
      </c>
      <c r="Q997" s="14"/>
      <c r="R997" s="14">
        <v>0.25924852236627799</v>
      </c>
      <c r="S997" s="14">
        <v>0.28355353525826299</v>
      </c>
      <c r="T997" s="14">
        <v>0.18881913860607499</v>
      </c>
      <c r="U997" s="14">
        <v>0.26717319211232998</v>
      </c>
      <c r="V997" s="14">
        <v>0.29622047366687898</v>
      </c>
      <c r="W997" s="14">
        <v>0.25938336680731999</v>
      </c>
      <c r="X997" s="14">
        <v>0.22362418034015799</v>
      </c>
      <c r="Y997" s="14">
        <v>0.25623096377677801</v>
      </c>
      <c r="Z997" s="14">
        <v>0.26489758729642399</v>
      </c>
      <c r="AA997" s="14"/>
      <c r="AB997" s="14">
        <v>0.260929860044539</v>
      </c>
      <c r="AC997" s="14">
        <v>0.27797393331932901</v>
      </c>
      <c r="AD997" s="14">
        <v>0.23882271946175099</v>
      </c>
      <c r="AE997" s="14">
        <v>0.182703060195642</v>
      </c>
      <c r="AF997" s="14"/>
      <c r="AG997" s="14">
        <v>0.22390829006636701</v>
      </c>
      <c r="AH997" s="14">
        <v>0.27684290968167902</v>
      </c>
      <c r="AI997" s="14"/>
      <c r="AJ997" s="14">
        <v>0.24240893624923299</v>
      </c>
      <c r="AK997" s="14">
        <v>0.211442013262405</v>
      </c>
      <c r="AL997" s="14"/>
      <c r="AM997" s="14">
        <v>0.23456977858240799</v>
      </c>
      <c r="AN997" s="14">
        <v>0.30519905523858998</v>
      </c>
    </row>
    <row r="998" spans="2:40" x14ac:dyDescent="0.35">
      <c r="B998" t="s">
        <v>70</v>
      </c>
      <c r="C998" s="14">
        <v>0.106265435861019</v>
      </c>
      <c r="D998" s="14">
        <v>7.9219331644564406E-2</v>
      </c>
      <c r="E998" s="14">
        <v>0.130655958625364</v>
      </c>
      <c r="F998" s="14"/>
      <c r="G998" s="14" t="s">
        <v>76</v>
      </c>
      <c r="H998" s="14" t="s">
        <v>76</v>
      </c>
      <c r="I998" s="14">
        <v>0.106265435861019</v>
      </c>
      <c r="J998" s="14"/>
      <c r="K998" s="14" t="s">
        <v>76</v>
      </c>
      <c r="L998" s="14">
        <v>0.116999857159092</v>
      </c>
      <c r="M998" s="14">
        <v>8.5851407169988805E-2</v>
      </c>
      <c r="N998" s="14"/>
      <c r="O998" s="14">
        <v>0.113296443323239</v>
      </c>
      <c r="P998" s="14">
        <v>4.6002957161016003E-2</v>
      </c>
      <c r="Q998" s="14"/>
      <c r="R998" s="14">
        <v>8.5755105620308095E-2</v>
      </c>
      <c r="S998" s="14">
        <v>0.110361802580088</v>
      </c>
      <c r="T998" s="14">
        <v>8.7688605891269894E-2</v>
      </c>
      <c r="U998" s="14">
        <v>9.3782904084775895E-2</v>
      </c>
      <c r="V998" s="14">
        <v>0.12412335311446999</v>
      </c>
      <c r="W998" s="14">
        <v>0.10473038132481299</v>
      </c>
      <c r="X998" s="14">
        <v>0.14296101925361801</v>
      </c>
      <c r="Y998" s="14">
        <v>0.138720082536512</v>
      </c>
      <c r="Z998" s="14">
        <v>9.9026950068624803E-2</v>
      </c>
      <c r="AA998" s="14"/>
      <c r="AB998" s="14">
        <v>0.108545735068175</v>
      </c>
      <c r="AC998" s="14">
        <v>6.2688034528248102E-2</v>
      </c>
      <c r="AD998" s="14">
        <v>0.10417328135027799</v>
      </c>
      <c r="AE998" s="14">
        <v>3.2326445561793198E-2</v>
      </c>
      <c r="AF998" s="14"/>
      <c r="AG998" s="14">
        <v>5.3199448554872797E-2</v>
      </c>
      <c r="AH998" s="14">
        <v>5.1671812867116799E-2</v>
      </c>
      <c r="AI998" s="14"/>
      <c r="AJ998" s="14">
        <v>5.2665539979334097E-2</v>
      </c>
      <c r="AK998" s="14">
        <v>8.4668617236911797E-2</v>
      </c>
      <c r="AL998" s="14"/>
      <c r="AM998" s="14">
        <v>6.4649861131546194E-2</v>
      </c>
      <c r="AN998" s="14">
        <v>0.169281491166836</v>
      </c>
    </row>
    <row r="999" spans="2:40" x14ac:dyDescent="0.35"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  <c r="AA999" s="14"/>
      <c r="AB999" s="14"/>
      <c r="AC999" s="14"/>
      <c r="AD999" s="14"/>
      <c r="AE999" s="14"/>
      <c r="AF999" s="14"/>
      <c r="AG999" s="14"/>
      <c r="AH999" s="14"/>
      <c r="AI999" s="14"/>
      <c r="AJ999" s="14"/>
      <c r="AK999" s="14"/>
      <c r="AL999" s="14"/>
      <c r="AM999" s="14"/>
      <c r="AN999" s="14"/>
    </row>
    <row r="1000" spans="2:40" x14ac:dyDescent="0.35">
      <c r="B1000" s="6" t="s">
        <v>278</v>
      </c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  <c r="AA1000" s="14"/>
      <c r="AB1000" s="14"/>
      <c r="AC1000" s="14"/>
      <c r="AD1000" s="14"/>
      <c r="AE1000" s="14"/>
      <c r="AF1000" s="14"/>
      <c r="AG1000" s="14"/>
      <c r="AH1000" s="14"/>
      <c r="AI1000" s="14"/>
      <c r="AJ1000" s="14"/>
      <c r="AK1000" s="14"/>
      <c r="AL1000" s="14"/>
      <c r="AM1000" s="14"/>
      <c r="AN1000" s="14"/>
    </row>
    <row r="1001" spans="2:40" x14ac:dyDescent="0.35">
      <c r="B1001" s="26" t="s">
        <v>395</v>
      </c>
      <c r="C1001" s="14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  <c r="AA1001" s="14"/>
      <c r="AB1001" s="14"/>
      <c r="AC1001" s="14"/>
      <c r="AD1001" s="14"/>
      <c r="AE1001" s="14"/>
      <c r="AF1001" s="14"/>
      <c r="AG1001" s="14"/>
      <c r="AH1001" s="14"/>
      <c r="AI1001" s="14"/>
      <c r="AJ1001" s="14"/>
      <c r="AK1001" s="14"/>
      <c r="AL1001" s="14"/>
      <c r="AM1001" s="14"/>
      <c r="AN1001" s="14"/>
    </row>
    <row r="1002" spans="2:40" x14ac:dyDescent="0.35">
      <c r="B1002" t="s">
        <v>155</v>
      </c>
      <c r="C1002" s="14">
        <v>0.138638677844931</v>
      </c>
      <c r="D1002" s="14">
        <v>0.13198898306937601</v>
      </c>
      <c r="E1002" s="14">
        <v>0.144157192063992</v>
      </c>
      <c r="F1002" s="14"/>
      <c r="G1002" s="14" t="s">
        <v>76</v>
      </c>
      <c r="H1002" s="14" t="s">
        <v>76</v>
      </c>
      <c r="I1002" s="14">
        <v>0.138638677844931</v>
      </c>
      <c r="J1002" s="14"/>
      <c r="K1002" s="14" t="s">
        <v>76</v>
      </c>
      <c r="L1002" s="14">
        <v>0.16084228436928499</v>
      </c>
      <c r="M1002" s="14">
        <v>0.101370389969009</v>
      </c>
      <c r="N1002" s="14"/>
      <c r="O1002" s="14">
        <v>0.12530733184582499</v>
      </c>
      <c r="P1002" s="14">
        <v>0.18797720530383999</v>
      </c>
      <c r="Q1002" s="14"/>
      <c r="R1002" s="14">
        <v>0.24164182248484201</v>
      </c>
      <c r="S1002" s="14">
        <v>0.1148195751822</v>
      </c>
      <c r="T1002" s="14">
        <v>0.121887709202328</v>
      </c>
      <c r="U1002" s="14">
        <v>8.7321448050999007E-2</v>
      </c>
      <c r="V1002" s="14">
        <v>0.110186833826194</v>
      </c>
      <c r="W1002" s="14">
        <v>0.16656822360590701</v>
      </c>
      <c r="X1002" s="14">
        <v>7.1717432135457296E-2</v>
      </c>
      <c r="Y1002" s="14">
        <v>0.14181181138603899</v>
      </c>
      <c r="Z1002" s="14">
        <v>0.13551863494522101</v>
      </c>
      <c r="AA1002" s="14"/>
      <c r="AB1002" s="14">
        <v>0.162653611046647</v>
      </c>
      <c r="AC1002" s="14">
        <v>0.208071978759303</v>
      </c>
      <c r="AD1002" s="14">
        <v>9.6234632957111904E-2</v>
      </c>
      <c r="AE1002" s="14">
        <v>8.1317177557440501E-2</v>
      </c>
      <c r="AF1002" s="14"/>
      <c r="AG1002" s="14">
        <v>0.11375061128311199</v>
      </c>
      <c r="AH1002" s="14">
        <v>0.15293803681123699</v>
      </c>
      <c r="AI1002" s="14"/>
      <c r="AJ1002" s="14">
        <v>0.126796903238548</v>
      </c>
      <c r="AK1002" s="14">
        <v>5.8555100297430197E-2</v>
      </c>
      <c r="AL1002" s="14"/>
      <c r="AM1002" s="14">
        <v>0.186992039330904</v>
      </c>
      <c r="AN1002" s="14">
        <v>8.0506966083369394E-2</v>
      </c>
    </row>
    <row r="1003" spans="2:40" x14ac:dyDescent="0.35">
      <c r="B1003" t="s">
        <v>156</v>
      </c>
      <c r="C1003" s="14">
        <v>0.58183701011178002</v>
      </c>
      <c r="D1003" s="14">
        <v>0.58560556878218195</v>
      </c>
      <c r="E1003" s="14">
        <v>0.58133806085293305</v>
      </c>
      <c r="F1003" s="14"/>
      <c r="G1003" s="14" t="s">
        <v>76</v>
      </c>
      <c r="H1003" s="14" t="s">
        <v>76</v>
      </c>
      <c r="I1003" s="14">
        <v>0.58183701011178002</v>
      </c>
      <c r="J1003" s="14"/>
      <c r="K1003" s="14" t="s">
        <v>76</v>
      </c>
      <c r="L1003" s="14">
        <v>0.55550321206866904</v>
      </c>
      <c r="M1003" s="14">
        <v>0.62603773782962402</v>
      </c>
      <c r="N1003" s="14"/>
      <c r="O1003" s="14">
        <v>0.56745924451187402</v>
      </c>
      <c r="P1003" s="14">
        <v>0.663847237070611</v>
      </c>
      <c r="Q1003" s="14"/>
      <c r="R1003" s="14">
        <v>0.62804086069894405</v>
      </c>
      <c r="S1003" s="14">
        <v>0.549464292562034</v>
      </c>
      <c r="T1003" s="14">
        <v>0.63702148041954598</v>
      </c>
      <c r="U1003" s="14">
        <v>0.57639483660471003</v>
      </c>
      <c r="V1003" s="14">
        <v>0.50317639488570698</v>
      </c>
      <c r="W1003" s="14">
        <v>0.51903116861701004</v>
      </c>
      <c r="X1003" s="14">
        <v>0.55545276934245602</v>
      </c>
      <c r="Y1003" s="14">
        <v>0.62446579306376704</v>
      </c>
      <c r="Z1003" s="14">
        <v>0.61867308468988302</v>
      </c>
      <c r="AA1003" s="14"/>
      <c r="AB1003" s="14">
        <v>0.57592247877374902</v>
      </c>
      <c r="AC1003" s="14">
        <v>0.59617083449130903</v>
      </c>
      <c r="AD1003" s="14">
        <v>0.61693467679007197</v>
      </c>
      <c r="AE1003" s="14">
        <v>0.67749947781947795</v>
      </c>
      <c r="AF1003" s="14"/>
      <c r="AG1003" s="14">
        <v>0.74105349673259002</v>
      </c>
      <c r="AH1003" s="14">
        <v>0.55998771838415695</v>
      </c>
      <c r="AI1003" s="14"/>
      <c r="AJ1003" s="14">
        <v>0.68077301196901197</v>
      </c>
      <c r="AK1003" s="14">
        <v>0.60716994531716295</v>
      </c>
      <c r="AL1003" s="14"/>
      <c r="AM1003" s="14">
        <v>0.62422190960116197</v>
      </c>
      <c r="AN1003" s="14">
        <v>0.50072343615297399</v>
      </c>
    </row>
    <row r="1004" spans="2:40" x14ac:dyDescent="0.35">
      <c r="B1004" t="s">
        <v>157</v>
      </c>
      <c r="C1004" s="14">
        <v>0.21424894579895101</v>
      </c>
      <c r="D1004" s="14">
        <v>0.208035232542117</v>
      </c>
      <c r="E1004" s="14">
        <v>0.21750342892313301</v>
      </c>
      <c r="F1004" s="14"/>
      <c r="G1004" s="14" t="s">
        <v>76</v>
      </c>
      <c r="H1004" s="14" t="s">
        <v>76</v>
      </c>
      <c r="I1004" s="14">
        <v>0.21424894579895101</v>
      </c>
      <c r="J1004" s="14"/>
      <c r="K1004" s="14" t="s">
        <v>76</v>
      </c>
      <c r="L1004" s="14">
        <v>0.20888027984365101</v>
      </c>
      <c r="M1004" s="14">
        <v>0.22326013900813901</v>
      </c>
      <c r="N1004" s="14"/>
      <c r="O1004" s="14">
        <v>0.240423423782573</v>
      </c>
      <c r="P1004" s="14">
        <v>9.2871884630586404E-2</v>
      </c>
      <c r="Q1004" s="14"/>
      <c r="R1004" s="14">
        <v>0.106710329276873</v>
      </c>
      <c r="S1004" s="14">
        <v>0.24562116161789699</v>
      </c>
      <c r="T1004" s="14">
        <v>0.19342873837830901</v>
      </c>
      <c r="U1004" s="14">
        <v>0.239081753012092</v>
      </c>
      <c r="V1004" s="14">
        <v>0.29798513629617002</v>
      </c>
      <c r="W1004" s="14">
        <v>0.24321259863255401</v>
      </c>
      <c r="X1004" s="14">
        <v>0.30304515486665401</v>
      </c>
      <c r="Y1004" s="14">
        <v>0.16753162600070501</v>
      </c>
      <c r="Z1004" s="14">
        <v>0.19191652507242099</v>
      </c>
      <c r="AA1004" s="14"/>
      <c r="AB1004" s="14">
        <v>0.23378356502898201</v>
      </c>
      <c r="AC1004" s="14">
        <v>0.17444520288757601</v>
      </c>
      <c r="AD1004" s="14">
        <v>0.27072374669895199</v>
      </c>
      <c r="AE1004" s="14">
        <v>0.16585050904910401</v>
      </c>
      <c r="AF1004" s="14"/>
      <c r="AG1004" s="14">
        <v>0.113365943118224</v>
      </c>
      <c r="AH1004" s="14">
        <v>0.25246705164206901</v>
      </c>
      <c r="AI1004" s="14"/>
      <c r="AJ1004" s="14">
        <v>0.15967553474537699</v>
      </c>
      <c r="AK1004" s="14">
        <v>0.27814099185761498</v>
      </c>
      <c r="AL1004" s="14"/>
      <c r="AM1004" s="14">
        <v>0.14970039725141401</v>
      </c>
      <c r="AN1004" s="14">
        <v>0.31191299523919902</v>
      </c>
    </row>
    <row r="1005" spans="2:40" x14ac:dyDescent="0.35">
      <c r="B1005" t="s">
        <v>158</v>
      </c>
      <c r="C1005" s="14">
        <v>6.0482321982646199E-2</v>
      </c>
      <c r="D1005" s="14">
        <v>7.2121430026695299E-2</v>
      </c>
      <c r="E1005" s="14">
        <v>4.9683330265637198E-2</v>
      </c>
      <c r="F1005" s="14"/>
      <c r="G1005" s="14" t="s">
        <v>76</v>
      </c>
      <c r="H1005" s="14" t="s">
        <v>76</v>
      </c>
      <c r="I1005" s="14">
        <v>6.0482321982646199E-2</v>
      </c>
      <c r="J1005" s="14"/>
      <c r="K1005" s="14" t="s">
        <v>76</v>
      </c>
      <c r="L1005" s="14">
        <v>6.7125591639127E-2</v>
      </c>
      <c r="M1005" s="14">
        <v>4.9331733193228297E-2</v>
      </c>
      <c r="N1005" s="14"/>
      <c r="O1005" s="14">
        <v>6.0880995941189502E-2</v>
      </c>
      <c r="P1005" s="14">
        <v>5.5303672994962798E-2</v>
      </c>
      <c r="Q1005" s="14"/>
      <c r="R1005" s="14">
        <v>1.5134433330424499E-2</v>
      </c>
      <c r="S1005" s="14">
        <v>8.32388714025184E-2</v>
      </c>
      <c r="T1005" s="14">
        <v>3.5053970991271902E-2</v>
      </c>
      <c r="U1005" s="14">
        <v>9.72019623321983E-2</v>
      </c>
      <c r="V1005" s="14">
        <v>8.8651634991929004E-2</v>
      </c>
      <c r="W1005" s="14">
        <v>6.1363552721849797E-2</v>
      </c>
      <c r="X1005" s="14">
        <v>6.9784643655432896E-2</v>
      </c>
      <c r="Y1005" s="14">
        <v>6.6190769549488701E-2</v>
      </c>
      <c r="Z1005" s="14">
        <v>5.3891755292475203E-2</v>
      </c>
      <c r="AA1005" s="14"/>
      <c r="AB1005" s="14">
        <v>2.7640345150622601E-2</v>
      </c>
      <c r="AC1005" s="14">
        <v>2.1311983861812E-2</v>
      </c>
      <c r="AD1005" s="14">
        <v>1.61069435538643E-2</v>
      </c>
      <c r="AE1005" s="14">
        <v>7.5332835573977297E-2</v>
      </c>
      <c r="AF1005" s="14"/>
      <c r="AG1005" s="14">
        <v>3.18299488660738E-2</v>
      </c>
      <c r="AH1005" s="14">
        <v>3.4607193162537297E-2</v>
      </c>
      <c r="AI1005" s="14"/>
      <c r="AJ1005" s="14">
        <v>3.2754550047063097E-2</v>
      </c>
      <c r="AK1005" s="14">
        <v>5.6133962527791799E-2</v>
      </c>
      <c r="AL1005" s="14"/>
      <c r="AM1005" s="14">
        <v>3.9085653816519801E-2</v>
      </c>
      <c r="AN1005" s="14">
        <v>9.7692887337483103E-2</v>
      </c>
    </row>
    <row r="1006" spans="2:40" x14ac:dyDescent="0.35">
      <c r="B1006" t="s">
        <v>70</v>
      </c>
      <c r="C1006" s="14">
        <v>4.7930442616917401E-3</v>
      </c>
      <c r="D1006" s="14">
        <v>2.2487855796300602E-3</v>
      </c>
      <c r="E1006" s="14">
        <v>7.3179878943052598E-3</v>
      </c>
      <c r="F1006" s="14"/>
      <c r="G1006" s="14" t="s">
        <v>76</v>
      </c>
      <c r="H1006" s="14" t="s">
        <v>76</v>
      </c>
      <c r="I1006" s="14">
        <v>4.7930442616917401E-3</v>
      </c>
      <c r="J1006" s="14"/>
      <c r="K1006" s="14" t="s">
        <v>76</v>
      </c>
      <c r="L1006" s="14">
        <v>7.6486320792681804E-3</v>
      </c>
      <c r="M1006" s="14">
        <v>0</v>
      </c>
      <c r="N1006" s="14"/>
      <c r="O1006" s="14">
        <v>5.9290039185389797E-3</v>
      </c>
      <c r="P1006" s="14">
        <v>0</v>
      </c>
      <c r="Q1006" s="14"/>
      <c r="R1006" s="14">
        <v>8.4725542089172205E-3</v>
      </c>
      <c r="S1006" s="14">
        <v>6.85609923535017E-3</v>
      </c>
      <c r="T1006" s="14">
        <v>1.26081010085453E-2</v>
      </c>
      <c r="U1006" s="14">
        <v>0</v>
      </c>
      <c r="V1006" s="14">
        <v>0</v>
      </c>
      <c r="W1006" s="14">
        <v>9.8244564226792098E-3</v>
      </c>
      <c r="X1006" s="14">
        <v>0</v>
      </c>
      <c r="Y1006" s="14">
        <v>0</v>
      </c>
      <c r="Z1006" s="14">
        <v>0</v>
      </c>
      <c r="AA1006" s="14"/>
      <c r="AB1006" s="14">
        <v>0</v>
      </c>
      <c r="AC1006" s="14">
        <v>0</v>
      </c>
      <c r="AD1006" s="14">
        <v>0</v>
      </c>
      <c r="AE1006" s="14">
        <v>0</v>
      </c>
      <c r="AF1006" s="14"/>
      <c r="AG1006" s="14">
        <v>0</v>
      </c>
      <c r="AH1006" s="14">
        <v>0</v>
      </c>
      <c r="AI1006" s="14"/>
      <c r="AJ1006" s="14">
        <v>0</v>
      </c>
      <c r="AK1006" s="14">
        <v>0</v>
      </c>
      <c r="AL1006" s="14"/>
      <c r="AM1006" s="14">
        <v>0</v>
      </c>
      <c r="AN1006" s="14">
        <v>9.1637151869741005E-3</v>
      </c>
    </row>
    <row r="1007" spans="2:40" x14ac:dyDescent="0.35">
      <c r="C1007" s="14"/>
      <c r="D1007" s="14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4"/>
      <c r="X1007" s="14"/>
      <c r="Y1007" s="14"/>
      <c r="Z1007" s="14"/>
      <c r="AA1007" s="14"/>
      <c r="AB1007" s="14"/>
      <c r="AC1007" s="14"/>
      <c r="AD1007" s="14"/>
      <c r="AE1007" s="14"/>
      <c r="AF1007" s="14"/>
      <c r="AG1007" s="14"/>
      <c r="AH1007" s="14"/>
      <c r="AI1007" s="14"/>
      <c r="AJ1007" s="14"/>
      <c r="AK1007" s="14"/>
      <c r="AL1007" s="14"/>
      <c r="AM1007" s="14"/>
      <c r="AN1007" s="14"/>
    </row>
    <row r="1008" spans="2:40" x14ac:dyDescent="0.35">
      <c r="B1008" s="6" t="s">
        <v>279</v>
      </c>
      <c r="C1008" s="14"/>
      <c r="D1008" s="14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 s="14"/>
      <c r="X1008" s="14"/>
      <c r="Y1008" s="14"/>
      <c r="Z1008" s="14"/>
      <c r="AA1008" s="14"/>
      <c r="AB1008" s="14"/>
      <c r="AC1008" s="14"/>
      <c r="AD1008" s="14"/>
      <c r="AE1008" s="14"/>
      <c r="AF1008" s="14"/>
      <c r="AG1008" s="14"/>
      <c r="AH1008" s="14"/>
      <c r="AI1008" s="14"/>
      <c r="AJ1008" s="14"/>
      <c r="AK1008" s="14"/>
      <c r="AL1008" s="14"/>
      <c r="AM1008" s="14"/>
      <c r="AN1008" s="14"/>
    </row>
    <row r="1009" spans="2:40" x14ac:dyDescent="0.35">
      <c r="B1009" s="26" t="s">
        <v>395</v>
      </c>
      <c r="C1009" s="14"/>
      <c r="D1009" s="14"/>
      <c r="E1009" s="14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 s="14"/>
      <c r="X1009" s="14"/>
      <c r="Y1009" s="14"/>
      <c r="Z1009" s="14"/>
      <c r="AA1009" s="14"/>
      <c r="AB1009" s="14"/>
      <c r="AC1009" s="14"/>
      <c r="AD1009" s="14"/>
      <c r="AE1009" s="14"/>
      <c r="AF1009" s="14"/>
      <c r="AG1009" s="14"/>
      <c r="AH1009" s="14"/>
      <c r="AI1009" s="14"/>
      <c r="AJ1009" s="14"/>
      <c r="AK1009" s="14"/>
      <c r="AL1009" s="14"/>
      <c r="AM1009" s="14"/>
      <c r="AN1009" s="14"/>
    </row>
    <row r="1010" spans="2:40" x14ac:dyDescent="0.35">
      <c r="B1010" t="s">
        <v>160</v>
      </c>
      <c r="C1010" s="14">
        <v>0.16629896644665901</v>
      </c>
      <c r="D1010" s="14">
        <v>0.17143889380093899</v>
      </c>
      <c r="E1010" s="14">
        <v>0.160572292332988</v>
      </c>
      <c r="F1010" s="14"/>
      <c r="G1010" s="14" t="s">
        <v>76</v>
      </c>
      <c r="H1010" s="14" t="s">
        <v>76</v>
      </c>
      <c r="I1010" s="14">
        <v>0.16629896644665901</v>
      </c>
      <c r="J1010" s="14"/>
      <c r="K1010" s="14" t="s">
        <v>76</v>
      </c>
      <c r="L1010" s="14">
        <v>0.18952301694882301</v>
      </c>
      <c r="M1010" s="14">
        <v>0.12731788475570499</v>
      </c>
      <c r="N1010" s="14"/>
      <c r="O1010" s="14">
        <v>0.132372178395122</v>
      </c>
      <c r="P1010" s="14">
        <v>0.32124599494068901</v>
      </c>
      <c r="Q1010" s="14"/>
      <c r="R1010" s="14">
        <v>0.22126966693533201</v>
      </c>
      <c r="S1010" s="14">
        <v>0.14626045282164099</v>
      </c>
      <c r="T1010" s="14">
        <v>0.1234804547422</v>
      </c>
      <c r="U1010" s="14">
        <v>0.149571154619002</v>
      </c>
      <c r="V1010" s="14">
        <v>0.13800423093912001</v>
      </c>
      <c r="W1010" s="14">
        <v>9.3518833718795796E-2</v>
      </c>
      <c r="X1010" s="14">
        <v>0.17994769711155001</v>
      </c>
      <c r="Y1010" s="14">
        <v>0.29760955956467</v>
      </c>
      <c r="Z1010" s="14">
        <v>0.17826424962833401</v>
      </c>
      <c r="AA1010" s="14"/>
      <c r="AB1010" s="14">
        <v>0.141052140818611</v>
      </c>
      <c r="AC1010" s="14">
        <v>0.25556536749502601</v>
      </c>
      <c r="AD1010" s="14">
        <v>7.8399212271101804E-2</v>
      </c>
      <c r="AE1010" s="14">
        <v>0.166882548395233</v>
      </c>
      <c r="AF1010" s="14"/>
      <c r="AG1010" s="14">
        <v>0.26469545117159698</v>
      </c>
      <c r="AH1010" s="14">
        <v>8.3474632330370904E-2</v>
      </c>
      <c r="AI1010" s="14"/>
      <c r="AJ1010" s="14">
        <v>0.204363350270786</v>
      </c>
      <c r="AK1010" s="14">
        <v>4.12078348934099E-2</v>
      </c>
      <c r="AL1010" s="14"/>
      <c r="AM1010" s="14">
        <v>0.27456808197569998</v>
      </c>
      <c r="AN1010" s="14">
        <v>2.2810879711543101E-2</v>
      </c>
    </row>
    <row r="1011" spans="2:40" x14ac:dyDescent="0.35">
      <c r="B1011" t="s">
        <v>161</v>
      </c>
      <c r="C1011" s="14">
        <v>0.52184175595933102</v>
      </c>
      <c r="D1011" s="14">
        <v>0.55616145060390798</v>
      </c>
      <c r="E1011" s="14">
        <v>0.48624162280988698</v>
      </c>
      <c r="F1011" s="14"/>
      <c r="G1011" s="14" t="s">
        <v>76</v>
      </c>
      <c r="H1011" s="14" t="s">
        <v>76</v>
      </c>
      <c r="I1011" s="14">
        <v>0.52184175595933102</v>
      </c>
      <c r="J1011" s="14"/>
      <c r="K1011" s="14" t="s">
        <v>76</v>
      </c>
      <c r="L1011" s="14">
        <v>0.50613016229865404</v>
      </c>
      <c r="M1011" s="14">
        <v>0.54821333640025605</v>
      </c>
      <c r="N1011" s="14"/>
      <c r="O1011" s="14">
        <v>0.51472235737232597</v>
      </c>
      <c r="P1011" s="14">
        <v>0.56176784482550601</v>
      </c>
      <c r="Q1011" s="14"/>
      <c r="R1011" s="14">
        <v>0.59101247979631699</v>
      </c>
      <c r="S1011" s="14">
        <v>0.49333687423953299</v>
      </c>
      <c r="T1011" s="14">
        <v>0.58472676876042495</v>
      </c>
      <c r="U1011" s="14">
        <v>0.53588134694534095</v>
      </c>
      <c r="V1011" s="14">
        <v>0.542185074632061</v>
      </c>
      <c r="W1011" s="14">
        <v>0.53306360098980499</v>
      </c>
      <c r="X1011" s="14">
        <v>0.40712848695167497</v>
      </c>
      <c r="Y1011" s="14">
        <v>0.516099013577901</v>
      </c>
      <c r="Z1011" s="14">
        <v>0.47415770480029901</v>
      </c>
      <c r="AA1011" s="14"/>
      <c r="AB1011" s="14">
        <v>0.51561654370737597</v>
      </c>
      <c r="AC1011" s="14">
        <v>0.55627835321560803</v>
      </c>
      <c r="AD1011" s="14">
        <v>0.51084338425483999</v>
      </c>
      <c r="AE1011" s="14">
        <v>0.64701395389403704</v>
      </c>
      <c r="AF1011" s="14"/>
      <c r="AG1011" s="14">
        <v>0.65759090389548402</v>
      </c>
      <c r="AH1011" s="14">
        <v>0.45703517375959501</v>
      </c>
      <c r="AI1011" s="14"/>
      <c r="AJ1011" s="14">
        <v>0.59082181729624805</v>
      </c>
      <c r="AK1011" s="14">
        <v>0.55017404562916195</v>
      </c>
      <c r="AL1011" s="14"/>
      <c r="AM1011" s="14">
        <v>0.57595665895364201</v>
      </c>
      <c r="AN1011" s="14">
        <v>0.35948855855834</v>
      </c>
    </row>
    <row r="1012" spans="2:40" x14ac:dyDescent="0.35">
      <c r="B1012" t="s">
        <v>162</v>
      </c>
      <c r="C1012" s="14">
        <v>0.262984380194693</v>
      </c>
      <c r="D1012" s="14">
        <v>0.22458141229849099</v>
      </c>
      <c r="E1012" s="14">
        <v>0.302834863335391</v>
      </c>
      <c r="F1012" s="14"/>
      <c r="G1012" s="14" t="s">
        <v>76</v>
      </c>
      <c r="H1012" s="14" t="s">
        <v>76</v>
      </c>
      <c r="I1012" s="14">
        <v>0.262984380194693</v>
      </c>
      <c r="J1012" s="14"/>
      <c r="K1012" s="14" t="s">
        <v>76</v>
      </c>
      <c r="L1012" s="14">
        <v>0.255303872610601</v>
      </c>
      <c r="M1012" s="14">
        <v>0.27587595109166402</v>
      </c>
      <c r="N1012" s="14"/>
      <c r="O1012" s="14">
        <v>0.29398428150941502</v>
      </c>
      <c r="P1012" s="14">
        <v>0.11698616023380499</v>
      </c>
      <c r="Q1012" s="14"/>
      <c r="R1012" s="14">
        <v>0.14719851034635101</v>
      </c>
      <c r="S1012" s="14">
        <v>0.28930330485213701</v>
      </c>
      <c r="T1012" s="14">
        <v>0.246618631682509</v>
      </c>
      <c r="U1012" s="14">
        <v>0.31454749843565699</v>
      </c>
      <c r="V1012" s="14">
        <v>0.27420526079296098</v>
      </c>
      <c r="W1012" s="14">
        <v>0.27128221446115097</v>
      </c>
      <c r="X1012" s="14">
        <v>0.37556922944131099</v>
      </c>
      <c r="Y1012" s="14">
        <v>0.16703871838495901</v>
      </c>
      <c r="Z1012" s="14">
        <v>0.29129537561191499</v>
      </c>
      <c r="AA1012" s="14"/>
      <c r="AB1012" s="14">
        <v>0.27019550428991701</v>
      </c>
      <c r="AC1012" s="14">
        <v>0.16759546661518401</v>
      </c>
      <c r="AD1012" s="14">
        <v>0.32964066779272799</v>
      </c>
      <c r="AE1012" s="14">
        <v>0.18610349771073101</v>
      </c>
      <c r="AF1012" s="14"/>
      <c r="AG1012" s="14">
        <v>7.7713644932918699E-2</v>
      </c>
      <c r="AH1012" s="14">
        <v>0.38838200770618098</v>
      </c>
      <c r="AI1012" s="14"/>
      <c r="AJ1012" s="14">
        <v>0.18114146922692501</v>
      </c>
      <c r="AK1012" s="14">
        <v>0.34516004865167899</v>
      </c>
      <c r="AL1012" s="14"/>
      <c r="AM1012" s="14">
        <v>0.132652461518459</v>
      </c>
      <c r="AN1012" s="14">
        <v>0.48225012714739701</v>
      </c>
    </row>
    <row r="1013" spans="2:40" x14ac:dyDescent="0.35">
      <c r="B1013" t="s">
        <v>163</v>
      </c>
      <c r="C1013" s="14">
        <v>4.4512476789074301E-2</v>
      </c>
      <c r="D1013" s="14">
        <v>4.5635597375612597E-2</v>
      </c>
      <c r="E1013" s="14">
        <v>4.3823238800998997E-2</v>
      </c>
      <c r="F1013" s="14"/>
      <c r="G1013" s="14" t="s">
        <v>76</v>
      </c>
      <c r="H1013" s="14" t="s">
        <v>76</v>
      </c>
      <c r="I1013" s="14">
        <v>4.4512476789074301E-2</v>
      </c>
      <c r="J1013" s="14"/>
      <c r="K1013" s="14" t="s">
        <v>76</v>
      </c>
      <c r="L1013" s="14">
        <v>4.7060046652036301E-2</v>
      </c>
      <c r="M1013" s="14">
        <v>4.0236434204156797E-2</v>
      </c>
      <c r="N1013" s="14"/>
      <c r="O1013" s="14">
        <v>5.3524860995175901E-2</v>
      </c>
      <c r="P1013" s="14">
        <v>0</v>
      </c>
      <c r="Q1013" s="14"/>
      <c r="R1013" s="14">
        <v>3.3029265729743899E-2</v>
      </c>
      <c r="S1013" s="14">
        <v>7.1099368086688805E-2</v>
      </c>
      <c r="T1013" s="14">
        <v>4.5174144814866E-2</v>
      </c>
      <c r="U1013" s="14">
        <v>0</v>
      </c>
      <c r="V1013" s="14">
        <v>3.2067159532695198E-2</v>
      </c>
      <c r="W1013" s="14">
        <v>8.1436084857000504E-2</v>
      </c>
      <c r="X1013" s="14">
        <v>3.7354586495464699E-2</v>
      </c>
      <c r="Y1013" s="14">
        <v>1.92527084724698E-2</v>
      </c>
      <c r="Z1013" s="14">
        <v>5.6282669959451803E-2</v>
      </c>
      <c r="AA1013" s="14"/>
      <c r="AB1013" s="14">
        <v>7.3135811184095706E-2</v>
      </c>
      <c r="AC1013" s="14">
        <v>2.0560812674181399E-2</v>
      </c>
      <c r="AD1013" s="14">
        <v>6.4895497283242704E-2</v>
      </c>
      <c r="AE1013" s="14">
        <v>0</v>
      </c>
      <c r="AF1013" s="14"/>
      <c r="AG1013" s="14">
        <v>0</v>
      </c>
      <c r="AH1013" s="14">
        <v>7.1108186203853105E-2</v>
      </c>
      <c r="AI1013" s="14"/>
      <c r="AJ1013" s="14">
        <v>2.3673363206041301E-2</v>
      </c>
      <c r="AK1013" s="14">
        <v>4.6152298304146702E-2</v>
      </c>
      <c r="AL1013" s="14"/>
      <c r="AM1013" s="14">
        <v>1.68227975521986E-2</v>
      </c>
      <c r="AN1013" s="14">
        <v>0.13545043458271999</v>
      </c>
    </row>
    <row r="1014" spans="2:40" x14ac:dyDescent="0.35">
      <c r="B1014" t="s">
        <v>70</v>
      </c>
      <c r="C1014" s="14">
        <v>4.3624206102428204E-3</v>
      </c>
      <c r="D1014" s="14">
        <v>2.18264592105007E-3</v>
      </c>
      <c r="E1014" s="14">
        <v>6.52798272073491E-3</v>
      </c>
      <c r="F1014" s="14"/>
      <c r="G1014" s="14" t="s">
        <v>76</v>
      </c>
      <c r="H1014" s="14" t="s">
        <v>76</v>
      </c>
      <c r="I1014" s="14">
        <v>4.3624206102428204E-3</v>
      </c>
      <c r="J1014" s="14"/>
      <c r="K1014" s="14" t="s">
        <v>76</v>
      </c>
      <c r="L1014" s="14">
        <v>1.9829014898856698E-3</v>
      </c>
      <c r="M1014" s="14">
        <v>8.3563935482186096E-3</v>
      </c>
      <c r="N1014" s="14"/>
      <c r="O1014" s="14">
        <v>5.3963217279607801E-3</v>
      </c>
      <c r="P1014" s="14">
        <v>0</v>
      </c>
      <c r="Q1014" s="14"/>
      <c r="R1014" s="14">
        <v>7.4900771922558097E-3</v>
      </c>
      <c r="S1014" s="14">
        <v>0</v>
      </c>
      <c r="T1014" s="14">
        <v>0</v>
      </c>
      <c r="U1014" s="14">
        <v>0</v>
      </c>
      <c r="V1014" s="14">
        <v>1.3538274103162599E-2</v>
      </c>
      <c r="W1014" s="14">
        <v>2.06992659732473E-2</v>
      </c>
      <c r="X1014" s="14">
        <v>0</v>
      </c>
      <c r="Y1014" s="14">
        <v>0</v>
      </c>
      <c r="Z1014" s="14">
        <v>0</v>
      </c>
      <c r="AA1014" s="14"/>
      <c r="AB1014" s="14">
        <v>0</v>
      </c>
      <c r="AC1014" s="14">
        <v>0</v>
      </c>
      <c r="AD1014" s="14">
        <v>1.6221238398087898E-2</v>
      </c>
      <c r="AE1014" s="14">
        <v>0</v>
      </c>
      <c r="AF1014" s="14"/>
      <c r="AG1014" s="14">
        <v>0</v>
      </c>
      <c r="AH1014" s="14">
        <v>0</v>
      </c>
      <c r="AI1014" s="14"/>
      <c r="AJ1014" s="14">
        <v>0</v>
      </c>
      <c r="AK1014" s="14">
        <v>1.7305772521603102E-2</v>
      </c>
      <c r="AL1014" s="14"/>
      <c r="AM1014" s="14">
        <v>0</v>
      </c>
      <c r="AN1014" s="14">
        <v>0</v>
      </c>
    </row>
    <row r="1015" spans="2:40" x14ac:dyDescent="0.35">
      <c r="B1015" t="s">
        <v>164</v>
      </c>
      <c r="C1015" s="14">
        <v>0.68814072240599</v>
      </c>
      <c r="D1015" s="14">
        <v>0.727600344404846</v>
      </c>
      <c r="E1015" s="14">
        <v>0.64681391514287501</v>
      </c>
      <c r="F1015" s="14"/>
      <c r="G1015" s="14" t="s">
        <v>76</v>
      </c>
      <c r="H1015" s="14" t="s">
        <v>76</v>
      </c>
      <c r="I1015" s="14">
        <v>0.68814072240599</v>
      </c>
      <c r="J1015" s="14"/>
      <c r="K1015" s="14" t="s">
        <v>76</v>
      </c>
      <c r="L1015" s="14">
        <v>0.69565317924747705</v>
      </c>
      <c r="M1015" s="14">
        <v>0.67553122115596098</v>
      </c>
      <c r="N1015" s="14"/>
      <c r="O1015" s="14">
        <v>0.64709453576744802</v>
      </c>
      <c r="P1015" s="14">
        <v>0.88301383976619496</v>
      </c>
      <c r="Q1015" s="14"/>
      <c r="R1015" s="14">
        <v>0.812282146731649</v>
      </c>
      <c r="S1015" s="14">
        <v>0.639597327061174</v>
      </c>
      <c r="T1015" s="14">
        <v>0.70820722350262499</v>
      </c>
      <c r="U1015" s="14">
        <v>0.68545250156434301</v>
      </c>
      <c r="V1015" s="14">
        <v>0.68018930557118096</v>
      </c>
      <c r="W1015" s="14">
        <v>0.62658243470860098</v>
      </c>
      <c r="X1015" s="14">
        <v>0.58707618406322504</v>
      </c>
      <c r="Y1015" s="14">
        <v>0.81370857314257194</v>
      </c>
      <c r="Z1015" s="14">
        <v>0.65242195442863304</v>
      </c>
      <c r="AA1015" s="14"/>
      <c r="AB1015" s="14">
        <v>0.65666868452598703</v>
      </c>
      <c r="AC1015" s="14">
        <v>0.81184372071063504</v>
      </c>
      <c r="AD1015" s="14">
        <v>0.58924259652594202</v>
      </c>
      <c r="AE1015" s="14">
        <v>0.81389650228926902</v>
      </c>
      <c r="AF1015" s="14"/>
      <c r="AG1015" s="14">
        <v>0.92228635506708101</v>
      </c>
      <c r="AH1015" s="14">
        <v>0.54050980608996602</v>
      </c>
      <c r="AI1015" s="14"/>
      <c r="AJ1015" s="14">
        <v>0.79518516756703295</v>
      </c>
      <c r="AK1015" s="14">
        <v>0.59138188052257201</v>
      </c>
      <c r="AL1015" s="14"/>
      <c r="AM1015" s="14">
        <v>0.85052474092934205</v>
      </c>
      <c r="AN1015" s="14">
        <v>0.382299438269883</v>
      </c>
    </row>
    <row r="1016" spans="2:40" x14ac:dyDescent="0.35">
      <c r="C1016" s="14"/>
      <c r="D1016" s="14"/>
      <c r="E1016" s="14"/>
      <c r="F1016" s="14"/>
      <c r="G1016" s="14"/>
      <c r="H1016" s="14"/>
      <c r="I1016" s="14"/>
      <c r="J1016" s="14"/>
      <c r="K1016" s="14"/>
      <c r="L1016" s="14"/>
      <c r="M1016" s="14"/>
      <c r="N1016" s="14"/>
      <c r="O1016" s="14"/>
      <c r="P1016" s="14"/>
      <c r="Q1016" s="14"/>
      <c r="R1016" s="14"/>
      <c r="S1016" s="14"/>
      <c r="T1016" s="14"/>
      <c r="U1016" s="14"/>
      <c r="V1016" s="14"/>
      <c r="W1016" s="14"/>
      <c r="X1016" s="14"/>
      <c r="Y1016" s="14"/>
      <c r="Z1016" s="14"/>
      <c r="AA1016" s="14"/>
      <c r="AB1016" s="14"/>
      <c r="AC1016" s="14"/>
      <c r="AD1016" s="14"/>
      <c r="AE1016" s="14"/>
      <c r="AF1016" s="14"/>
      <c r="AG1016" s="14"/>
      <c r="AH1016" s="14"/>
      <c r="AI1016" s="14"/>
      <c r="AJ1016" s="14"/>
      <c r="AK1016" s="14"/>
      <c r="AL1016" s="14"/>
      <c r="AM1016" s="14"/>
      <c r="AN1016" s="14"/>
    </row>
    <row r="1017" spans="2:40" x14ac:dyDescent="0.35">
      <c r="B1017" s="6" t="s">
        <v>280</v>
      </c>
      <c r="C1017" s="14"/>
      <c r="D1017" s="14"/>
      <c r="E1017" s="14"/>
      <c r="F1017" s="14"/>
      <c r="G1017" s="14"/>
      <c r="H1017" s="14"/>
      <c r="I1017" s="14"/>
      <c r="J1017" s="14"/>
      <c r="K1017" s="14"/>
      <c r="L1017" s="14"/>
      <c r="M1017" s="14"/>
      <c r="N1017" s="14"/>
      <c r="O1017" s="14"/>
      <c r="P1017" s="14"/>
      <c r="Q1017" s="14"/>
      <c r="R1017" s="14"/>
      <c r="S1017" s="14"/>
      <c r="T1017" s="14"/>
      <c r="U1017" s="14"/>
      <c r="V1017" s="14"/>
      <c r="W1017" s="14"/>
      <c r="X1017" s="14"/>
      <c r="Y1017" s="14"/>
      <c r="Z1017" s="14"/>
      <c r="AA1017" s="14"/>
      <c r="AB1017" s="14"/>
      <c r="AC1017" s="14"/>
      <c r="AD1017" s="14"/>
      <c r="AE1017" s="14"/>
      <c r="AF1017" s="14"/>
      <c r="AG1017" s="14"/>
      <c r="AH1017" s="14"/>
      <c r="AI1017" s="14"/>
      <c r="AJ1017" s="14"/>
      <c r="AK1017" s="14"/>
      <c r="AL1017" s="14"/>
      <c r="AM1017" s="14"/>
      <c r="AN1017" s="14"/>
    </row>
    <row r="1018" spans="2:40" x14ac:dyDescent="0.35">
      <c r="B1018" s="26" t="s">
        <v>395</v>
      </c>
      <c r="C1018" s="14"/>
      <c r="D1018" s="14"/>
      <c r="E1018" s="14"/>
      <c r="F1018" s="14"/>
      <c r="G1018" s="14"/>
      <c r="H1018" s="14"/>
      <c r="I1018" s="14"/>
      <c r="J1018" s="14"/>
      <c r="K1018" s="14"/>
      <c r="L1018" s="14"/>
      <c r="M1018" s="14"/>
      <c r="N1018" s="14"/>
      <c r="O1018" s="14"/>
      <c r="P1018" s="14"/>
      <c r="Q1018" s="14"/>
      <c r="R1018" s="14"/>
      <c r="S1018" s="14"/>
      <c r="T1018" s="14"/>
      <c r="U1018" s="14"/>
      <c r="V1018" s="14"/>
      <c r="W1018" s="14"/>
      <c r="X1018" s="14"/>
      <c r="Y1018" s="14"/>
      <c r="Z1018" s="14"/>
      <c r="AA1018" s="14"/>
      <c r="AB1018" s="14"/>
      <c r="AC1018" s="14"/>
      <c r="AD1018" s="14"/>
      <c r="AE1018" s="14"/>
      <c r="AF1018" s="14"/>
      <c r="AG1018" s="14"/>
      <c r="AH1018" s="14"/>
      <c r="AI1018" s="14"/>
      <c r="AJ1018" s="14"/>
      <c r="AK1018" s="14"/>
      <c r="AL1018" s="14"/>
      <c r="AM1018" s="14"/>
      <c r="AN1018" s="14"/>
    </row>
    <row r="1019" spans="2:40" x14ac:dyDescent="0.35">
      <c r="B1019" t="s">
        <v>166</v>
      </c>
      <c r="C1019" s="14">
        <v>0.164129281467641</v>
      </c>
      <c r="D1019" s="14">
        <v>0.166668330447654</v>
      </c>
      <c r="E1019" s="14">
        <v>0.16315037524145601</v>
      </c>
      <c r="F1019" s="14"/>
      <c r="G1019" s="14" t="s">
        <v>76</v>
      </c>
      <c r="H1019" s="14" t="s">
        <v>76</v>
      </c>
      <c r="I1019" s="14">
        <v>0.164129281467641</v>
      </c>
      <c r="J1019" s="14"/>
      <c r="K1019" s="14" t="s">
        <v>76</v>
      </c>
      <c r="L1019" s="14">
        <v>0.18486963093666001</v>
      </c>
      <c r="M1019" s="14">
        <v>0.12931703987027601</v>
      </c>
      <c r="N1019" s="14"/>
      <c r="O1019" s="14">
        <v>0.136838357820318</v>
      </c>
      <c r="P1019" s="14">
        <v>0.28935318680845101</v>
      </c>
      <c r="Q1019" s="14"/>
      <c r="R1019" s="14">
        <v>0.26482866905166202</v>
      </c>
      <c r="S1019" s="14">
        <v>0.107566897255942</v>
      </c>
      <c r="T1019" s="14">
        <v>0.17015420926931901</v>
      </c>
      <c r="U1019" s="14">
        <v>0.15079924828486199</v>
      </c>
      <c r="V1019" s="14">
        <v>9.5907712449201904E-2</v>
      </c>
      <c r="W1019" s="14">
        <v>0.11945830362832199</v>
      </c>
      <c r="X1019" s="14">
        <v>0.163329352394256</v>
      </c>
      <c r="Y1019" s="14">
        <v>0.18559226063169401</v>
      </c>
      <c r="Z1019" s="14">
        <v>0.178507457645314</v>
      </c>
      <c r="AA1019" s="14"/>
      <c r="AB1019" s="14">
        <v>0.191256299951482</v>
      </c>
      <c r="AC1019" s="14">
        <v>0.15372367575234799</v>
      </c>
      <c r="AD1019" s="14">
        <v>0.113433113294569</v>
      </c>
      <c r="AE1019" s="14">
        <v>0.10931905593663099</v>
      </c>
      <c r="AF1019" s="14"/>
      <c r="AG1019" s="14">
        <v>0.23141322087514801</v>
      </c>
      <c r="AH1019" s="14">
        <v>9.6465535166713801E-2</v>
      </c>
      <c r="AI1019" s="14"/>
      <c r="AJ1019" s="14">
        <v>0.18648638828189401</v>
      </c>
      <c r="AK1019" s="14">
        <v>6.27784329727063E-2</v>
      </c>
      <c r="AL1019" s="14"/>
      <c r="AM1019" s="14">
        <v>0.25656262266396701</v>
      </c>
      <c r="AN1019" s="14">
        <v>4.7438185803386303E-2</v>
      </c>
    </row>
    <row r="1020" spans="2:40" x14ac:dyDescent="0.35">
      <c r="B1020" t="s">
        <v>167</v>
      </c>
      <c r="C1020" s="14">
        <v>0.42452350779925602</v>
      </c>
      <c r="D1020" s="14">
        <v>0.47141911710359402</v>
      </c>
      <c r="E1020" s="14">
        <v>0.37567160654308102</v>
      </c>
      <c r="F1020" s="14"/>
      <c r="G1020" s="14" t="s">
        <v>76</v>
      </c>
      <c r="H1020" s="14" t="s">
        <v>76</v>
      </c>
      <c r="I1020" s="14">
        <v>0.42452350779925602</v>
      </c>
      <c r="J1020" s="14"/>
      <c r="K1020" s="14" t="s">
        <v>76</v>
      </c>
      <c r="L1020" s="14">
        <v>0.42050166893138602</v>
      </c>
      <c r="M1020" s="14">
        <v>0.43127407998913497</v>
      </c>
      <c r="N1020" s="14"/>
      <c r="O1020" s="14">
        <v>0.40145641837692198</v>
      </c>
      <c r="P1020" s="14">
        <v>0.52885832283692502</v>
      </c>
      <c r="Q1020" s="14"/>
      <c r="R1020" s="14">
        <v>0.492873080960196</v>
      </c>
      <c r="S1020" s="14">
        <v>0.395953614218641</v>
      </c>
      <c r="T1020" s="14">
        <v>0.38122091319554702</v>
      </c>
      <c r="U1020" s="14">
        <v>0.41426020608609698</v>
      </c>
      <c r="V1020" s="14">
        <v>0.46678915055824599</v>
      </c>
      <c r="W1020" s="14">
        <v>0.40190828546125701</v>
      </c>
      <c r="X1020" s="14">
        <v>0.41002310809315901</v>
      </c>
      <c r="Y1020" s="14">
        <v>0.34840326744399602</v>
      </c>
      <c r="Z1020" s="14">
        <v>0.44684636668405697</v>
      </c>
      <c r="AA1020" s="14"/>
      <c r="AB1020" s="14">
        <v>0.32736050281557699</v>
      </c>
      <c r="AC1020" s="14">
        <v>0.61757192646349002</v>
      </c>
      <c r="AD1020" s="14">
        <v>0.35525115285687803</v>
      </c>
      <c r="AE1020" s="14">
        <v>0.56472720016997502</v>
      </c>
      <c r="AF1020" s="14"/>
      <c r="AG1020" s="14">
        <v>0.55723531674812998</v>
      </c>
      <c r="AH1020" s="14">
        <v>0.33200027494038098</v>
      </c>
      <c r="AI1020" s="14"/>
      <c r="AJ1020" s="14">
        <v>0.48224998473365899</v>
      </c>
      <c r="AK1020" s="14">
        <v>0.39284064978849498</v>
      </c>
      <c r="AL1020" s="14"/>
      <c r="AM1020" s="14">
        <v>0.546110405033716</v>
      </c>
      <c r="AN1020" s="14">
        <v>0.207022813930022</v>
      </c>
    </row>
    <row r="1021" spans="2:40" x14ac:dyDescent="0.35">
      <c r="B1021" t="s">
        <v>168</v>
      </c>
      <c r="C1021" s="14">
        <v>0.28336386120506801</v>
      </c>
      <c r="D1021" s="14">
        <v>0.24726043209239301</v>
      </c>
      <c r="E1021" s="14">
        <v>0.31902624449878297</v>
      </c>
      <c r="F1021" s="14"/>
      <c r="G1021" s="14" t="s">
        <v>76</v>
      </c>
      <c r="H1021" s="14" t="s">
        <v>76</v>
      </c>
      <c r="I1021" s="14">
        <v>0.28336386120506801</v>
      </c>
      <c r="J1021" s="14"/>
      <c r="K1021" s="14" t="s">
        <v>76</v>
      </c>
      <c r="L1021" s="14">
        <v>0.27332410616605002</v>
      </c>
      <c r="M1021" s="14">
        <v>0.30021537947474503</v>
      </c>
      <c r="N1021" s="14"/>
      <c r="O1021" s="14">
        <v>0.31310726860724097</v>
      </c>
      <c r="P1021" s="14">
        <v>0.150660562063411</v>
      </c>
      <c r="Q1021" s="14"/>
      <c r="R1021" s="14">
        <v>0.18095005604756501</v>
      </c>
      <c r="S1021" s="14">
        <v>0.31582701112244199</v>
      </c>
      <c r="T1021" s="14">
        <v>0.32874284840879098</v>
      </c>
      <c r="U1021" s="14">
        <v>0.32417534715479002</v>
      </c>
      <c r="V1021" s="14">
        <v>0.31696868567613101</v>
      </c>
      <c r="W1021" s="14">
        <v>0.26191657164252202</v>
      </c>
      <c r="X1021" s="14">
        <v>0.29341481508768902</v>
      </c>
      <c r="Y1021" s="14">
        <v>0.36391668435118901</v>
      </c>
      <c r="Z1021" s="14">
        <v>0.26161061565643301</v>
      </c>
      <c r="AA1021" s="14"/>
      <c r="AB1021" s="14">
        <v>0.34379956183171101</v>
      </c>
      <c r="AC1021" s="14">
        <v>0.178204139540969</v>
      </c>
      <c r="AD1021" s="14">
        <v>0.30837115082036398</v>
      </c>
      <c r="AE1021" s="14">
        <v>0.31141631371627998</v>
      </c>
      <c r="AF1021" s="14"/>
      <c r="AG1021" s="14">
        <v>0.211351462376722</v>
      </c>
      <c r="AH1021" s="14">
        <v>0.29660077656714801</v>
      </c>
      <c r="AI1021" s="14"/>
      <c r="AJ1021" s="14">
        <v>0.239732695053791</v>
      </c>
      <c r="AK1021" s="14">
        <v>0.38253693982578901</v>
      </c>
      <c r="AL1021" s="14"/>
      <c r="AM1021" s="14">
        <v>0.16908478372477201</v>
      </c>
      <c r="AN1021" s="14">
        <v>0.39043912740986197</v>
      </c>
    </row>
    <row r="1022" spans="2:40" x14ac:dyDescent="0.35">
      <c r="B1022" t="s">
        <v>169</v>
      </c>
      <c r="C1022" s="14">
        <v>0.122717666207991</v>
      </c>
      <c r="D1022" s="14">
        <v>0.111483142613736</v>
      </c>
      <c r="E1022" s="14">
        <v>0.13479329939714799</v>
      </c>
      <c r="F1022" s="14"/>
      <c r="G1022" s="14" t="s">
        <v>76</v>
      </c>
      <c r="H1022" s="14" t="s">
        <v>76</v>
      </c>
      <c r="I1022" s="14">
        <v>0.122717666207991</v>
      </c>
      <c r="J1022" s="14"/>
      <c r="K1022" s="14" t="s">
        <v>76</v>
      </c>
      <c r="L1022" s="14">
        <v>0.112901735122547</v>
      </c>
      <c r="M1022" s="14">
        <v>0.13919350066584299</v>
      </c>
      <c r="N1022" s="14"/>
      <c r="O1022" s="14">
        <v>0.14208429595647301</v>
      </c>
      <c r="P1022" s="14">
        <v>3.1127928291213101E-2</v>
      </c>
      <c r="Q1022" s="14"/>
      <c r="R1022" s="14">
        <v>4.53855625394037E-2</v>
      </c>
      <c r="S1022" s="14">
        <v>0.18065247740297599</v>
      </c>
      <c r="T1022" s="14">
        <v>0.11988202912634301</v>
      </c>
      <c r="U1022" s="14">
        <v>0.11076519847425099</v>
      </c>
      <c r="V1022" s="14">
        <v>0.120334451316421</v>
      </c>
      <c r="W1022" s="14">
        <v>0.216716839267898</v>
      </c>
      <c r="X1022" s="14">
        <v>0.116614379707602</v>
      </c>
      <c r="Y1022" s="14">
        <v>8.1781521694525697E-2</v>
      </c>
      <c r="Z1022" s="14">
        <v>0.113035560014196</v>
      </c>
      <c r="AA1022" s="14"/>
      <c r="AB1022" s="14">
        <v>0.13758363540123</v>
      </c>
      <c r="AC1022" s="14">
        <v>5.0500258243193603E-2</v>
      </c>
      <c r="AD1022" s="14">
        <v>0.22294458302818801</v>
      </c>
      <c r="AE1022" s="14">
        <v>1.45374301771132E-2</v>
      </c>
      <c r="AF1022" s="14"/>
      <c r="AG1022" s="14">
        <v>0</v>
      </c>
      <c r="AH1022" s="14">
        <v>0.27493341332575699</v>
      </c>
      <c r="AI1022" s="14"/>
      <c r="AJ1022" s="14">
        <v>9.1530931930656395E-2</v>
      </c>
      <c r="AK1022" s="14">
        <v>0.16184397741300899</v>
      </c>
      <c r="AL1022" s="14"/>
      <c r="AM1022" s="14">
        <v>2.8242188577544999E-2</v>
      </c>
      <c r="AN1022" s="14">
        <v>0.35042237133780602</v>
      </c>
    </row>
    <row r="1023" spans="2:40" x14ac:dyDescent="0.35">
      <c r="B1023" t="s">
        <v>70</v>
      </c>
      <c r="C1023" s="14">
        <v>5.2656833200434997E-3</v>
      </c>
      <c r="D1023" s="14">
        <v>3.1689777426226998E-3</v>
      </c>
      <c r="E1023" s="14">
        <v>7.3584743195327798E-3</v>
      </c>
      <c r="F1023" s="14"/>
      <c r="G1023" s="14" t="s">
        <v>76</v>
      </c>
      <c r="H1023" s="14" t="s">
        <v>76</v>
      </c>
      <c r="I1023" s="14">
        <v>5.2656833200434997E-3</v>
      </c>
      <c r="J1023" s="14"/>
      <c r="K1023" s="14" t="s">
        <v>76</v>
      </c>
      <c r="L1023" s="14">
        <v>8.4028588433557698E-3</v>
      </c>
      <c r="M1023" s="14">
        <v>0</v>
      </c>
      <c r="N1023" s="14"/>
      <c r="O1023" s="14">
        <v>6.5136592390456598E-3</v>
      </c>
      <c r="P1023" s="14">
        <v>0</v>
      </c>
      <c r="Q1023" s="14"/>
      <c r="R1023" s="14">
        <v>1.5962631401172999E-2</v>
      </c>
      <c r="S1023" s="14">
        <v>0</v>
      </c>
      <c r="T1023" s="14">
        <v>0</v>
      </c>
      <c r="U1023" s="14">
        <v>0</v>
      </c>
      <c r="V1023" s="14">
        <v>0</v>
      </c>
      <c r="W1023" s="14">
        <v>0</v>
      </c>
      <c r="X1023" s="14">
        <v>1.6618344717294099E-2</v>
      </c>
      <c r="Y1023" s="14">
        <v>2.03062658785952E-2</v>
      </c>
      <c r="Z1023" s="14">
        <v>0</v>
      </c>
      <c r="AA1023" s="14"/>
      <c r="AB1023" s="14">
        <v>0</v>
      </c>
      <c r="AC1023" s="14">
        <v>0</v>
      </c>
      <c r="AD1023" s="14">
        <v>0</v>
      </c>
      <c r="AE1023" s="14">
        <v>0</v>
      </c>
      <c r="AF1023" s="14"/>
      <c r="AG1023" s="14">
        <v>0</v>
      </c>
      <c r="AH1023" s="14">
        <v>0</v>
      </c>
      <c r="AI1023" s="14"/>
      <c r="AJ1023" s="14">
        <v>0</v>
      </c>
      <c r="AK1023" s="14">
        <v>0</v>
      </c>
      <c r="AL1023" s="14"/>
      <c r="AM1023" s="14">
        <v>0</v>
      </c>
      <c r="AN1023" s="14">
        <v>4.6775015189237596E-3</v>
      </c>
    </row>
    <row r="1024" spans="2:40" x14ac:dyDescent="0.35">
      <c r="C1024" s="14"/>
      <c r="D1024" s="14"/>
      <c r="E1024" s="14"/>
      <c r="F1024" s="14"/>
      <c r="G1024" s="14"/>
      <c r="H1024" s="14"/>
      <c r="I1024" s="14"/>
      <c r="J1024" s="14"/>
      <c r="K1024" s="14"/>
      <c r="L1024" s="14"/>
      <c r="M1024" s="14"/>
      <c r="N1024" s="14"/>
      <c r="O1024" s="14"/>
      <c r="P1024" s="14"/>
      <c r="Q1024" s="14"/>
      <c r="R1024" s="14"/>
      <c r="S1024" s="14"/>
      <c r="T1024" s="14"/>
      <c r="U1024" s="14"/>
      <c r="V1024" s="14"/>
      <c r="W1024" s="14"/>
      <c r="X1024" s="14"/>
      <c r="Y1024" s="14"/>
      <c r="Z1024" s="14"/>
      <c r="AA1024" s="14"/>
      <c r="AB1024" s="14"/>
      <c r="AC1024" s="14"/>
      <c r="AD1024" s="14"/>
      <c r="AE1024" s="14"/>
      <c r="AF1024" s="14"/>
      <c r="AG1024" s="14"/>
      <c r="AH1024" s="14"/>
      <c r="AI1024" s="14"/>
      <c r="AJ1024" s="14"/>
      <c r="AK1024" s="14"/>
      <c r="AL1024" s="14"/>
      <c r="AM1024" s="14"/>
      <c r="AN1024" s="14"/>
    </row>
    <row r="1025" spans="2:40" x14ac:dyDescent="0.35">
      <c r="B1025" s="6" t="s">
        <v>281</v>
      </c>
      <c r="C1025" s="14"/>
      <c r="D1025" s="14"/>
      <c r="E1025" s="14"/>
      <c r="F1025" s="14"/>
      <c r="G1025" s="14"/>
      <c r="H1025" s="14"/>
      <c r="I1025" s="14"/>
      <c r="J1025" s="14"/>
      <c r="K1025" s="14"/>
      <c r="L1025" s="14"/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 s="14"/>
      <c r="X1025" s="14"/>
      <c r="Y1025" s="14"/>
      <c r="Z1025" s="14"/>
      <c r="AA1025" s="14"/>
      <c r="AB1025" s="14"/>
      <c r="AC1025" s="14"/>
      <c r="AD1025" s="14"/>
      <c r="AE1025" s="14"/>
      <c r="AF1025" s="14"/>
      <c r="AG1025" s="14"/>
      <c r="AH1025" s="14"/>
      <c r="AI1025" s="14"/>
      <c r="AJ1025" s="14"/>
      <c r="AK1025" s="14"/>
      <c r="AL1025" s="14"/>
      <c r="AM1025" s="14"/>
      <c r="AN1025" s="14"/>
    </row>
    <row r="1026" spans="2:40" x14ac:dyDescent="0.35">
      <c r="B1026" s="26" t="s">
        <v>395</v>
      </c>
      <c r="C1026" s="14"/>
      <c r="D1026" s="14"/>
      <c r="E1026" s="14"/>
      <c r="F1026" s="14"/>
      <c r="G1026" s="14"/>
      <c r="H1026" s="14"/>
      <c r="I1026" s="14"/>
      <c r="J1026" s="14"/>
      <c r="K1026" s="14"/>
      <c r="L1026" s="14"/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 s="14"/>
      <c r="X1026" s="14"/>
      <c r="Y1026" s="14"/>
      <c r="Z1026" s="14"/>
      <c r="AA1026" s="14"/>
      <c r="AB1026" s="14"/>
      <c r="AC1026" s="14"/>
      <c r="AD1026" s="14"/>
      <c r="AE1026" s="14"/>
      <c r="AF1026" s="14"/>
      <c r="AG1026" s="14"/>
      <c r="AH1026" s="14"/>
      <c r="AI1026" s="14"/>
      <c r="AJ1026" s="14"/>
      <c r="AK1026" s="14"/>
      <c r="AL1026" s="14"/>
      <c r="AM1026" s="14"/>
      <c r="AN1026" s="14"/>
    </row>
    <row r="1027" spans="2:40" x14ac:dyDescent="0.35">
      <c r="B1027" t="s">
        <v>242</v>
      </c>
      <c r="C1027" s="14">
        <v>0.26705530618898998</v>
      </c>
      <c r="D1027" s="14">
        <v>0.288561271870868</v>
      </c>
      <c r="E1027" s="14">
        <v>0.24628721906881201</v>
      </c>
      <c r="F1027" s="14"/>
      <c r="G1027" s="14" t="s">
        <v>76</v>
      </c>
      <c r="H1027" s="14" t="s">
        <v>76</v>
      </c>
      <c r="I1027" s="14">
        <v>0.26705530618898998</v>
      </c>
      <c r="J1027" s="14"/>
      <c r="K1027" s="14" t="s">
        <v>76</v>
      </c>
      <c r="L1027" s="14">
        <v>0.28853041633115201</v>
      </c>
      <c r="M1027" s="14">
        <v>0.231009784211856</v>
      </c>
      <c r="N1027" s="14"/>
      <c r="O1027" s="14">
        <v>0.22610743271391001</v>
      </c>
      <c r="P1027" s="14">
        <v>0.452508501720843</v>
      </c>
      <c r="Q1027" s="14"/>
      <c r="R1027" s="14">
        <v>0.41803438645820601</v>
      </c>
      <c r="S1027" s="14">
        <v>0.21767844323916999</v>
      </c>
      <c r="T1027" s="14">
        <v>0.273504099832523</v>
      </c>
      <c r="U1027" s="14">
        <v>0.25899045002113003</v>
      </c>
      <c r="V1027" s="14">
        <v>0.22585725961835501</v>
      </c>
      <c r="W1027" s="14">
        <v>0.14363720734386001</v>
      </c>
      <c r="X1027" s="14">
        <v>0.177985868159485</v>
      </c>
      <c r="Y1027" s="14">
        <v>0.291367049996898</v>
      </c>
      <c r="Z1027" s="14">
        <v>0.30796144686585902</v>
      </c>
      <c r="AA1027" s="14"/>
      <c r="AB1027" s="14">
        <v>0.30614558604189801</v>
      </c>
      <c r="AC1027" s="14">
        <v>0.39784170803868202</v>
      </c>
      <c r="AD1027" s="14">
        <v>0.162548247775332</v>
      </c>
      <c r="AE1027" s="14">
        <v>0.30246638727026098</v>
      </c>
      <c r="AF1027" s="14"/>
      <c r="AG1027" s="14">
        <v>0.41902567128669899</v>
      </c>
      <c r="AH1027" s="14">
        <v>0.14635622151671701</v>
      </c>
      <c r="AI1027" s="14"/>
      <c r="AJ1027" s="14">
        <v>0.32824845892621202</v>
      </c>
      <c r="AK1027" s="14">
        <v>0.130613726713001</v>
      </c>
      <c r="AL1027" s="14"/>
      <c r="AM1027" s="14">
        <v>0.395160732261435</v>
      </c>
      <c r="AN1027" s="14">
        <v>9.8251551733706505E-2</v>
      </c>
    </row>
    <row r="1028" spans="2:40" x14ac:dyDescent="0.35">
      <c r="B1028" t="s">
        <v>243</v>
      </c>
      <c r="C1028" s="14">
        <v>0.51713013629801396</v>
      </c>
      <c r="D1028" s="14">
        <v>0.52546302028772296</v>
      </c>
      <c r="E1028" s="14">
        <v>0.50682996355240495</v>
      </c>
      <c r="F1028" s="14"/>
      <c r="G1028" s="14" t="s">
        <v>76</v>
      </c>
      <c r="H1028" s="14" t="s">
        <v>76</v>
      </c>
      <c r="I1028" s="14">
        <v>0.51713013629801396</v>
      </c>
      <c r="J1028" s="14"/>
      <c r="K1028" s="14" t="s">
        <v>76</v>
      </c>
      <c r="L1028" s="14">
        <v>0.51439627330244797</v>
      </c>
      <c r="M1028" s="14">
        <v>0.521718867998889</v>
      </c>
      <c r="N1028" s="14"/>
      <c r="O1028" s="14">
        <v>0.53795396883289603</v>
      </c>
      <c r="P1028" s="14">
        <v>0.432833105387392</v>
      </c>
      <c r="Q1028" s="14"/>
      <c r="R1028" s="14">
        <v>0.467824453989795</v>
      </c>
      <c r="S1028" s="14">
        <v>0.51951083946148102</v>
      </c>
      <c r="T1028" s="14">
        <v>0.56309055615906101</v>
      </c>
      <c r="U1028" s="14">
        <v>0.57672250771262301</v>
      </c>
      <c r="V1028" s="14">
        <v>0.53259201780737897</v>
      </c>
      <c r="W1028" s="14">
        <v>0.54273129906441597</v>
      </c>
      <c r="X1028" s="14">
        <v>0.52547018292584702</v>
      </c>
      <c r="Y1028" s="14">
        <v>0.48266350272140401</v>
      </c>
      <c r="Z1028" s="14">
        <v>0.47310187394238201</v>
      </c>
      <c r="AA1028" s="14"/>
      <c r="AB1028" s="14">
        <v>0.432650954071569</v>
      </c>
      <c r="AC1028" s="14">
        <v>0.48570733316296499</v>
      </c>
      <c r="AD1028" s="14">
        <v>0.55851013475990197</v>
      </c>
      <c r="AE1028" s="14">
        <v>0.51902473781995195</v>
      </c>
      <c r="AF1028" s="14"/>
      <c r="AG1028" s="14">
        <v>0.46733683111063101</v>
      </c>
      <c r="AH1028" s="14">
        <v>0.51046809275218696</v>
      </c>
      <c r="AI1028" s="14"/>
      <c r="AJ1028" s="14">
        <v>0.48169610641893601</v>
      </c>
      <c r="AK1028" s="14">
        <v>0.58894885861615598</v>
      </c>
      <c r="AL1028" s="14"/>
      <c r="AM1028" s="14">
        <v>0.48832418076818301</v>
      </c>
      <c r="AN1028" s="14">
        <v>0.47087279140259097</v>
      </c>
    </row>
    <row r="1029" spans="2:40" x14ac:dyDescent="0.35">
      <c r="B1029" t="s">
        <v>244</v>
      </c>
      <c r="C1029" s="14">
        <v>0.15825044118138601</v>
      </c>
      <c r="D1029" s="14">
        <v>0.134636654517689</v>
      </c>
      <c r="E1029" s="14">
        <v>0.18272275906938901</v>
      </c>
      <c r="F1029" s="14"/>
      <c r="G1029" s="14" t="s">
        <v>76</v>
      </c>
      <c r="H1029" s="14" t="s">
        <v>76</v>
      </c>
      <c r="I1029" s="14">
        <v>0.15825044118138601</v>
      </c>
      <c r="J1029" s="14"/>
      <c r="K1029" s="14" t="s">
        <v>76</v>
      </c>
      <c r="L1029" s="14">
        <v>0.136988600911402</v>
      </c>
      <c r="M1029" s="14">
        <v>0.19393799415096699</v>
      </c>
      <c r="N1029" s="14"/>
      <c r="O1029" s="14">
        <v>0.16905230718118999</v>
      </c>
      <c r="P1029" s="14">
        <v>9.5386357150269399E-2</v>
      </c>
      <c r="Q1029" s="14"/>
      <c r="R1029" s="14">
        <v>9.9505703384067307E-2</v>
      </c>
      <c r="S1029" s="14">
        <v>0.175601579017124</v>
      </c>
      <c r="T1029" s="14">
        <v>0.12042525492850201</v>
      </c>
      <c r="U1029" s="14">
        <v>0.16428704226624599</v>
      </c>
      <c r="V1029" s="14">
        <v>0.166520561350114</v>
      </c>
      <c r="W1029" s="14">
        <v>0.14393870751853899</v>
      </c>
      <c r="X1029" s="14">
        <v>0.237063394445964</v>
      </c>
      <c r="Y1029" s="14">
        <v>0.16083223386536999</v>
      </c>
      <c r="Z1029" s="14">
        <v>0.18340877474784101</v>
      </c>
      <c r="AA1029" s="14"/>
      <c r="AB1029" s="14">
        <v>0.20265158228697</v>
      </c>
      <c r="AC1029" s="14">
        <v>9.7010133135959797E-2</v>
      </c>
      <c r="AD1029" s="14">
        <v>0.22766593900516199</v>
      </c>
      <c r="AE1029" s="14">
        <v>0.14208310197578999</v>
      </c>
      <c r="AF1029" s="14"/>
      <c r="AG1029" s="14">
        <v>0.11363749760267</v>
      </c>
      <c r="AH1029" s="14">
        <v>0.31000788421341202</v>
      </c>
      <c r="AI1029" s="14"/>
      <c r="AJ1029" s="14">
        <v>0.17901319811371699</v>
      </c>
      <c r="AK1029" s="14">
        <v>0.194846274128019</v>
      </c>
      <c r="AL1029" s="14"/>
      <c r="AM1029" s="14">
        <v>8.2106937458656604E-2</v>
      </c>
      <c r="AN1029" s="14">
        <v>0.31347063477821202</v>
      </c>
    </row>
    <row r="1030" spans="2:40" x14ac:dyDescent="0.35">
      <c r="B1030" t="s">
        <v>245</v>
      </c>
      <c r="C1030" s="14">
        <v>2.8492508711706301E-2</v>
      </c>
      <c r="D1030" s="14">
        <v>2.5776003887616999E-2</v>
      </c>
      <c r="E1030" s="14">
        <v>3.1401623936115099E-2</v>
      </c>
      <c r="F1030" s="14"/>
      <c r="G1030" s="14" t="s">
        <v>76</v>
      </c>
      <c r="H1030" s="14" t="s">
        <v>76</v>
      </c>
      <c r="I1030" s="14">
        <v>2.8492508711706301E-2</v>
      </c>
      <c r="J1030" s="14"/>
      <c r="K1030" s="14" t="s">
        <v>76</v>
      </c>
      <c r="L1030" s="14">
        <v>2.4933356881300502E-2</v>
      </c>
      <c r="M1030" s="14">
        <v>3.4466470413116797E-2</v>
      </c>
      <c r="N1030" s="14"/>
      <c r="O1030" s="14">
        <v>3.3962677707771602E-2</v>
      </c>
      <c r="P1030" s="14">
        <v>5.7210307182706203E-3</v>
      </c>
      <c r="Q1030" s="14"/>
      <c r="R1030" s="14">
        <v>0</v>
      </c>
      <c r="S1030" s="14">
        <v>5.90188107812082E-2</v>
      </c>
      <c r="T1030" s="14">
        <v>2.1200896982936202E-2</v>
      </c>
      <c r="U1030" s="14">
        <v>0</v>
      </c>
      <c r="V1030" s="14">
        <v>0</v>
      </c>
      <c r="W1030" s="14">
        <v>5.77487094936701E-2</v>
      </c>
      <c r="X1030" s="14">
        <v>3.9653705217300599E-2</v>
      </c>
      <c r="Y1030" s="14">
        <v>6.5137213416328305E-2</v>
      </c>
      <c r="Z1030" s="14">
        <v>2.85701732007781E-2</v>
      </c>
      <c r="AA1030" s="14"/>
      <c r="AB1030" s="14">
        <v>3.9335198364970098E-2</v>
      </c>
      <c r="AC1030" s="14">
        <v>9.4341160633313499E-3</v>
      </c>
      <c r="AD1030" s="14">
        <v>2.7862260603331E-2</v>
      </c>
      <c r="AE1030" s="14">
        <v>3.6425772933997201E-2</v>
      </c>
      <c r="AF1030" s="14"/>
      <c r="AG1030" s="14">
        <v>0</v>
      </c>
      <c r="AH1030" s="14">
        <v>3.3167801517684802E-2</v>
      </c>
      <c r="AI1030" s="14"/>
      <c r="AJ1030" s="14">
        <v>1.10422365411353E-2</v>
      </c>
      <c r="AK1030" s="14">
        <v>6.06123273702339E-2</v>
      </c>
      <c r="AL1030" s="14"/>
      <c r="AM1030" s="14">
        <v>1.6488276927039899E-2</v>
      </c>
      <c r="AN1030" s="14">
        <v>6.8482599904976293E-2</v>
      </c>
    </row>
    <row r="1031" spans="2:40" x14ac:dyDescent="0.35">
      <c r="B1031" t="s">
        <v>70</v>
      </c>
      <c r="C1031" s="14">
        <v>2.9071607619904499E-2</v>
      </c>
      <c r="D1031" s="14">
        <v>2.55630494361022E-2</v>
      </c>
      <c r="E1031" s="14">
        <v>3.2758434373278897E-2</v>
      </c>
      <c r="F1031" s="14"/>
      <c r="G1031" s="14" t="s">
        <v>76</v>
      </c>
      <c r="H1031" s="14" t="s">
        <v>76</v>
      </c>
      <c r="I1031" s="14">
        <v>2.9071607619904499E-2</v>
      </c>
      <c r="J1031" s="14"/>
      <c r="K1031" s="14" t="s">
        <v>76</v>
      </c>
      <c r="L1031" s="14">
        <v>3.51513525736976E-2</v>
      </c>
      <c r="M1031" s="14">
        <v>1.8866883225170598E-2</v>
      </c>
      <c r="N1031" s="14"/>
      <c r="O1031" s="14">
        <v>3.29236135642322E-2</v>
      </c>
      <c r="P1031" s="14">
        <v>1.3551005023225E-2</v>
      </c>
      <c r="Q1031" s="14"/>
      <c r="R1031" s="14">
        <v>1.46354561679323E-2</v>
      </c>
      <c r="S1031" s="14">
        <v>2.8190327501016601E-2</v>
      </c>
      <c r="T1031" s="14">
        <v>2.17791920969783E-2</v>
      </c>
      <c r="U1031" s="14">
        <v>0</v>
      </c>
      <c r="V1031" s="14">
        <v>7.5030161224152001E-2</v>
      </c>
      <c r="W1031" s="14">
        <v>0.11194407657951599</v>
      </c>
      <c r="X1031" s="14">
        <v>1.9826849251403999E-2</v>
      </c>
      <c r="Y1031" s="14">
        <v>0</v>
      </c>
      <c r="Z1031" s="14">
        <v>6.9577312431399699E-3</v>
      </c>
      <c r="AA1031" s="14"/>
      <c r="AB1031" s="14">
        <v>1.92166792345933E-2</v>
      </c>
      <c r="AC1031" s="14">
        <v>1.0006709599062E-2</v>
      </c>
      <c r="AD1031" s="14">
        <v>2.3413417856272298E-2</v>
      </c>
      <c r="AE1031" s="14">
        <v>0</v>
      </c>
      <c r="AF1031" s="14"/>
      <c r="AG1031" s="14">
        <v>0</v>
      </c>
      <c r="AH1031" s="14">
        <v>0</v>
      </c>
      <c r="AI1031" s="14"/>
      <c r="AJ1031" s="14">
        <v>0</v>
      </c>
      <c r="AK1031" s="14">
        <v>2.4978813172590399E-2</v>
      </c>
      <c r="AL1031" s="14"/>
      <c r="AM1031" s="14">
        <v>1.7919872584686199E-2</v>
      </c>
      <c r="AN1031" s="14">
        <v>4.8922422180514097E-2</v>
      </c>
    </row>
    <row r="1032" spans="2:40" x14ac:dyDescent="0.35">
      <c r="C1032" s="14"/>
      <c r="D1032" s="14"/>
      <c r="E1032" s="14"/>
      <c r="F1032" s="14"/>
      <c r="G1032" s="14"/>
      <c r="H1032" s="14"/>
      <c r="I1032" s="14"/>
      <c r="J1032" s="14"/>
      <c r="K1032" s="14"/>
      <c r="L1032" s="14"/>
      <c r="M1032" s="14"/>
      <c r="N1032" s="14"/>
      <c r="O1032" s="14"/>
      <c r="P1032" s="14"/>
      <c r="Q1032" s="14"/>
      <c r="R1032" s="14"/>
      <c r="S1032" s="14"/>
      <c r="T1032" s="14"/>
      <c r="U1032" s="14"/>
      <c r="V1032" s="14"/>
      <c r="W1032" s="14"/>
      <c r="X1032" s="14"/>
      <c r="Y1032" s="14"/>
      <c r="Z1032" s="14"/>
      <c r="AA1032" s="14"/>
      <c r="AB1032" s="14"/>
      <c r="AC1032" s="14"/>
      <c r="AD1032" s="14"/>
      <c r="AE1032" s="14"/>
      <c r="AF1032" s="14"/>
      <c r="AG1032" s="14"/>
      <c r="AH1032" s="14"/>
      <c r="AI1032" s="14"/>
      <c r="AJ1032" s="14"/>
      <c r="AK1032" s="14"/>
      <c r="AL1032" s="14"/>
      <c r="AM1032" s="14"/>
      <c r="AN1032" s="14"/>
    </row>
    <row r="1033" spans="2:40" x14ac:dyDescent="0.35">
      <c r="B1033" s="6" t="s">
        <v>282</v>
      </c>
      <c r="C1033" s="14"/>
      <c r="D1033" s="14"/>
      <c r="E1033" s="14"/>
      <c r="F1033" s="14"/>
      <c r="G1033" s="14"/>
      <c r="H1033" s="14"/>
      <c r="I1033" s="14"/>
      <c r="J1033" s="14"/>
      <c r="K1033" s="14"/>
      <c r="L1033" s="14"/>
      <c r="M1033" s="14"/>
      <c r="N1033" s="14"/>
      <c r="O1033" s="14"/>
      <c r="P1033" s="14"/>
      <c r="Q1033" s="14"/>
      <c r="R1033" s="14"/>
      <c r="S1033" s="14"/>
      <c r="T1033" s="14"/>
      <c r="U1033" s="14"/>
      <c r="V1033" s="14"/>
      <c r="W1033" s="14"/>
      <c r="X1033" s="14"/>
      <c r="Y1033" s="14"/>
      <c r="Z1033" s="14"/>
      <c r="AA1033" s="14"/>
      <c r="AB1033" s="14"/>
      <c r="AC1033" s="14"/>
      <c r="AD1033" s="14"/>
      <c r="AE1033" s="14"/>
      <c r="AF1033" s="14"/>
      <c r="AG1033" s="14"/>
      <c r="AH1033" s="14"/>
      <c r="AI1033" s="14"/>
      <c r="AJ1033" s="14"/>
      <c r="AK1033" s="14"/>
      <c r="AL1033" s="14"/>
      <c r="AM1033" s="14"/>
      <c r="AN1033" s="14"/>
    </row>
    <row r="1034" spans="2:40" x14ac:dyDescent="0.35">
      <c r="B1034" s="24" t="s">
        <v>74</v>
      </c>
      <c r="C1034" s="14"/>
      <c r="D1034" s="14"/>
      <c r="E1034" s="14"/>
      <c r="F1034" s="14"/>
      <c r="G1034" s="14"/>
      <c r="H1034" s="14"/>
      <c r="I1034" s="14"/>
      <c r="J1034" s="14"/>
      <c r="K1034" s="14"/>
      <c r="L1034" s="14"/>
      <c r="M1034" s="14"/>
      <c r="N1034" s="14"/>
      <c r="O1034" s="14"/>
      <c r="P1034" s="14"/>
      <c r="Q1034" s="14"/>
      <c r="R1034" s="14"/>
      <c r="S1034" s="14"/>
      <c r="T1034" s="14"/>
      <c r="U1034" s="14"/>
      <c r="V1034" s="14"/>
      <c r="W1034" s="14"/>
      <c r="X1034" s="14"/>
      <c r="Y1034" s="14"/>
      <c r="Z1034" s="14"/>
      <c r="AA1034" s="14"/>
      <c r="AB1034" s="14"/>
      <c r="AC1034" s="14"/>
      <c r="AD1034" s="14"/>
      <c r="AE1034" s="14"/>
      <c r="AF1034" s="14"/>
      <c r="AG1034" s="14"/>
      <c r="AH1034" s="14"/>
      <c r="AI1034" s="14"/>
      <c r="AJ1034" s="14"/>
      <c r="AK1034" s="14"/>
      <c r="AL1034" s="14"/>
      <c r="AM1034" s="14"/>
      <c r="AN1034" s="14"/>
    </row>
    <row r="1035" spans="2:40" x14ac:dyDescent="0.35">
      <c r="B1035" t="s">
        <v>44</v>
      </c>
      <c r="C1035" s="14">
        <v>0.49307348685729602</v>
      </c>
      <c r="D1035" s="14">
        <v>0.51888970759108999</v>
      </c>
      <c r="E1035" s="14">
        <v>0.47218403665801201</v>
      </c>
      <c r="F1035" s="14"/>
      <c r="G1035" s="14" t="s">
        <v>76</v>
      </c>
      <c r="H1035" s="14" t="s">
        <v>76</v>
      </c>
      <c r="I1035" s="14">
        <v>0.49307348685729602</v>
      </c>
      <c r="J1035" s="14"/>
      <c r="K1035" s="14" t="s">
        <v>76</v>
      </c>
      <c r="L1035" s="14">
        <v>0.45937362273459598</v>
      </c>
      <c r="M1035" s="14">
        <v>0.55716171052410102</v>
      </c>
      <c r="N1035" s="14"/>
      <c r="O1035" s="14">
        <v>0.46995873619645701</v>
      </c>
      <c r="P1035" s="14">
        <v>0.65268322711867599</v>
      </c>
      <c r="Q1035" s="14"/>
      <c r="R1035" s="14">
        <v>0.57665814073109001</v>
      </c>
      <c r="S1035" s="14">
        <v>0.49558308286126401</v>
      </c>
      <c r="T1035" s="14">
        <v>0.54094254553752497</v>
      </c>
      <c r="U1035" s="14">
        <v>0.53088057256809695</v>
      </c>
      <c r="V1035" s="14">
        <v>0.42680499439771502</v>
      </c>
      <c r="W1035" s="14">
        <v>0.49227414650901702</v>
      </c>
      <c r="X1035" s="14">
        <v>0.38711933523702302</v>
      </c>
      <c r="Y1035" s="14">
        <v>0.389667840239379</v>
      </c>
      <c r="Z1035" s="14">
        <v>0.48731714431157902</v>
      </c>
      <c r="AA1035" s="14"/>
      <c r="AB1035" s="14">
        <v>0.51189830877235298</v>
      </c>
      <c r="AC1035" s="14">
        <v>0.64064877898946104</v>
      </c>
      <c r="AD1035" s="14">
        <v>0.55046710797189102</v>
      </c>
      <c r="AE1035" s="14">
        <v>0.53783013170187299</v>
      </c>
      <c r="AF1035" s="14"/>
      <c r="AG1035" s="14">
        <v>0.65675016428038102</v>
      </c>
      <c r="AH1035" s="14">
        <v>0.540249418820273</v>
      </c>
      <c r="AI1035" s="14"/>
      <c r="AJ1035" s="14">
        <v>0.61603316116481999</v>
      </c>
      <c r="AK1035" s="14">
        <v>0.49932800517570097</v>
      </c>
      <c r="AL1035" s="14"/>
      <c r="AM1035" s="14">
        <v>0.58806604792887096</v>
      </c>
      <c r="AN1035" s="14">
        <v>0.38939825411238999</v>
      </c>
    </row>
    <row r="1036" spans="2:40" x14ac:dyDescent="0.35">
      <c r="B1036" t="s">
        <v>45</v>
      </c>
      <c r="C1036" s="14">
        <v>0.45290866100845201</v>
      </c>
      <c r="D1036" s="14">
        <v>0.44191043517156198</v>
      </c>
      <c r="E1036" s="14">
        <v>0.459791957199785</v>
      </c>
      <c r="F1036" s="14"/>
      <c r="G1036" s="14" t="s">
        <v>76</v>
      </c>
      <c r="H1036" s="14" t="s">
        <v>76</v>
      </c>
      <c r="I1036" s="14">
        <v>0.45290866100845201</v>
      </c>
      <c r="J1036" s="14"/>
      <c r="K1036" s="14" t="s">
        <v>76</v>
      </c>
      <c r="L1036" s="14">
        <v>0.487370226500213</v>
      </c>
      <c r="M1036" s="14">
        <v>0.38737188290445401</v>
      </c>
      <c r="N1036" s="14"/>
      <c r="O1036" s="14">
        <v>0.47407576944880397</v>
      </c>
      <c r="P1036" s="14">
        <v>0.31348706096784401</v>
      </c>
      <c r="Q1036" s="14"/>
      <c r="R1036" s="14">
        <v>0.39092551751117899</v>
      </c>
      <c r="S1036" s="14">
        <v>0.44654457888974602</v>
      </c>
      <c r="T1036" s="14">
        <v>0.43412864931686501</v>
      </c>
      <c r="U1036" s="14">
        <v>0.41611055570373601</v>
      </c>
      <c r="V1036" s="14">
        <v>0.51069956231215197</v>
      </c>
      <c r="W1036" s="14">
        <v>0.45747283799895599</v>
      </c>
      <c r="X1036" s="14">
        <v>0.54090248915751105</v>
      </c>
      <c r="Y1036" s="14">
        <v>0.53085529774218698</v>
      </c>
      <c r="Z1036" s="14">
        <v>0.44316250941726099</v>
      </c>
      <c r="AA1036" s="14"/>
      <c r="AB1036" s="14">
        <v>0.43808587845942898</v>
      </c>
      <c r="AC1036" s="14">
        <v>0.32485573320296601</v>
      </c>
      <c r="AD1036" s="14">
        <v>0.37446722640000102</v>
      </c>
      <c r="AE1036" s="14">
        <v>0.42518093272909102</v>
      </c>
      <c r="AF1036" s="14"/>
      <c r="AG1036" s="14">
        <v>0.31596525041402002</v>
      </c>
      <c r="AH1036" s="14">
        <v>0.41710266039608102</v>
      </c>
      <c r="AI1036" s="14"/>
      <c r="AJ1036" s="14">
        <v>0.35131276875886502</v>
      </c>
      <c r="AK1036" s="14">
        <v>0.42709003020816799</v>
      </c>
      <c r="AL1036" s="14"/>
      <c r="AM1036" s="14">
        <v>0.384931465391812</v>
      </c>
      <c r="AN1036" s="14">
        <v>0.54686185686050304</v>
      </c>
    </row>
    <row r="1037" spans="2:40" x14ac:dyDescent="0.35">
      <c r="B1037" t="s">
        <v>70</v>
      </c>
      <c r="C1037" s="14">
        <v>5.4017852134252399E-2</v>
      </c>
      <c r="D1037" s="14">
        <v>3.9199857237348097E-2</v>
      </c>
      <c r="E1037" s="14">
        <v>6.8024006142202095E-2</v>
      </c>
      <c r="F1037" s="14"/>
      <c r="G1037" s="14" t="s">
        <v>76</v>
      </c>
      <c r="H1037" s="14" t="s">
        <v>76</v>
      </c>
      <c r="I1037" s="14">
        <v>5.4017852134252399E-2</v>
      </c>
      <c r="J1037" s="14"/>
      <c r="K1037" s="14" t="s">
        <v>76</v>
      </c>
      <c r="L1037" s="14">
        <v>5.3256150765191301E-2</v>
      </c>
      <c r="M1037" s="14">
        <v>5.5466406571444402E-2</v>
      </c>
      <c r="N1037" s="14"/>
      <c r="O1037" s="14">
        <v>5.5965494354739298E-2</v>
      </c>
      <c r="P1037" s="14">
        <v>3.3829711913480297E-2</v>
      </c>
      <c r="Q1037" s="14"/>
      <c r="R1037" s="14">
        <v>3.2416341757731303E-2</v>
      </c>
      <c r="S1037" s="14">
        <v>5.78723382489892E-2</v>
      </c>
      <c r="T1037" s="14">
        <v>2.4928805145609599E-2</v>
      </c>
      <c r="U1037" s="14">
        <v>5.3008871728167303E-2</v>
      </c>
      <c r="V1037" s="14">
        <v>6.2495443290133602E-2</v>
      </c>
      <c r="W1037" s="14">
        <v>5.0253015492026903E-2</v>
      </c>
      <c r="X1037" s="14">
        <v>7.1978175605466599E-2</v>
      </c>
      <c r="Y1037" s="14">
        <v>7.9476862018434E-2</v>
      </c>
      <c r="Z1037" s="14">
        <v>6.95203462711598E-2</v>
      </c>
      <c r="AA1037" s="14"/>
      <c r="AB1037" s="14">
        <v>5.0015812768217698E-2</v>
      </c>
      <c r="AC1037" s="14">
        <v>3.4495487807572799E-2</v>
      </c>
      <c r="AD1037" s="14">
        <v>7.5065665628108499E-2</v>
      </c>
      <c r="AE1037" s="14">
        <v>3.6988935569035798E-2</v>
      </c>
      <c r="AF1037" s="14"/>
      <c r="AG1037" s="14">
        <v>2.7284585305599601E-2</v>
      </c>
      <c r="AH1037" s="14">
        <v>4.2647920783646001E-2</v>
      </c>
      <c r="AI1037" s="14"/>
      <c r="AJ1037" s="14">
        <v>3.2654070076314802E-2</v>
      </c>
      <c r="AK1037" s="14">
        <v>7.3581964616130605E-2</v>
      </c>
      <c r="AL1037" s="14"/>
      <c r="AM1037" s="14">
        <v>2.70024866793168E-2</v>
      </c>
      <c r="AN1037" s="14">
        <v>6.3739889027107505E-2</v>
      </c>
    </row>
    <row r="1038" spans="2:40" x14ac:dyDescent="0.35">
      <c r="C1038" s="14"/>
      <c r="D1038" s="14"/>
      <c r="E1038" s="14"/>
      <c r="F1038" s="14"/>
      <c r="G1038" s="14"/>
      <c r="H1038" s="14"/>
      <c r="I1038" s="14"/>
      <c r="J1038" s="14"/>
      <c r="K1038" s="14"/>
      <c r="L1038" s="14"/>
      <c r="M1038" s="14"/>
      <c r="N1038" s="14"/>
      <c r="O1038" s="14"/>
      <c r="P1038" s="14"/>
      <c r="Q1038" s="14"/>
      <c r="R1038" s="14"/>
      <c r="S1038" s="14"/>
      <c r="T1038" s="14"/>
      <c r="U1038" s="14"/>
      <c r="V1038" s="14"/>
      <c r="W1038" s="14"/>
      <c r="X1038" s="14"/>
      <c r="Y1038" s="14"/>
      <c r="Z1038" s="14"/>
      <c r="AA1038" s="14"/>
      <c r="AB1038" s="14"/>
      <c r="AC1038" s="14"/>
      <c r="AD1038" s="14"/>
      <c r="AE1038" s="14"/>
      <c r="AF1038" s="14"/>
      <c r="AG1038" s="14"/>
      <c r="AH1038" s="14"/>
      <c r="AI1038" s="14"/>
      <c r="AJ1038" s="14"/>
      <c r="AK1038" s="14"/>
      <c r="AL1038" s="14"/>
      <c r="AM1038" s="14"/>
      <c r="AN1038" s="14"/>
    </row>
    <row r="1039" spans="2:40" x14ac:dyDescent="0.35">
      <c r="B1039" s="6" t="s">
        <v>283</v>
      </c>
      <c r="C1039" s="14"/>
      <c r="D1039" s="14"/>
      <c r="E1039" s="14"/>
      <c r="F1039" s="14"/>
      <c r="G1039" s="14"/>
      <c r="H1039" s="14"/>
      <c r="I1039" s="14"/>
      <c r="J1039" s="14"/>
      <c r="K1039" s="14"/>
      <c r="L1039" s="14"/>
      <c r="M1039" s="14"/>
      <c r="N1039" s="14"/>
      <c r="O1039" s="14"/>
      <c r="P1039" s="14"/>
      <c r="Q1039" s="14"/>
      <c r="R1039" s="14"/>
      <c r="S1039" s="14"/>
      <c r="T1039" s="14"/>
      <c r="U1039" s="14"/>
      <c r="V1039" s="14"/>
      <c r="W1039" s="14"/>
      <c r="X1039" s="14"/>
      <c r="Y1039" s="14"/>
      <c r="Z1039" s="14"/>
      <c r="AA1039" s="14"/>
      <c r="AB1039" s="14"/>
      <c r="AC1039" s="14"/>
      <c r="AD1039" s="14"/>
      <c r="AE1039" s="14"/>
      <c r="AF1039" s="14"/>
      <c r="AG1039" s="14"/>
      <c r="AH1039" s="14"/>
      <c r="AI1039" s="14"/>
      <c r="AJ1039" s="14"/>
      <c r="AK1039" s="14"/>
      <c r="AL1039" s="14"/>
      <c r="AM1039" s="14"/>
      <c r="AN1039" s="14"/>
    </row>
    <row r="1040" spans="2:40" x14ac:dyDescent="0.35">
      <c r="B1040" s="24" t="s">
        <v>284</v>
      </c>
      <c r="C1040" s="14"/>
      <c r="D1040" s="14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  <c r="W1040" s="14"/>
      <c r="X1040" s="14"/>
      <c r="Y1040" s="14"/>
      <c r="Z1040" s="14"/>
      <c r="AA1040" s="14"/>
      <c r="AB1040" s="14"/>
      <c r="AC1040" s="14"/>
      <c r="AD1040" s="14"/>
      <c r="AE1040" s="14"/>
      <c r="AF1040" s="14"/>
      <c r="AG1040" s="14"/>
      <c r="AH1040" s="14"/>
      <c r="AI1040" s="14"/>
      <c r="AJ1040" s="14"/>
      <c r="AK1040" s="14"/>
      <c r="AL1040" s="14"/>
      <c r="AM1040" s="14"/>
      <c r="AN1040" s="14"/>
    </row>
    <row r="1041" spans="2:40" x14ac:dyDescent="0.35">
      <c r="B1041" t="s">
        <v>155</v>
      </c>
      <c r="C1041" s="14">
        <v>0.14530713575424101</v>
      </c>
      <c r="D1041" s="14">
        <v>0.158998714741512</v>
      </c>
      <c r="E1041" s="14">
        <v>0.13196490657764501</v>
      </c>
      <c r="F1041" s="14"/>
      <c r="G1041" s="14" t="s">
        <v>76</v>
      </c>
      <c r="H1041" s="14" t="s">
        <v>76</v>
      </c>
      <c r="I1041" s="14">
        <v>0.14530713575424101</v>
      </c>
      <c r="J1041" s="14"/>
      <c r="K1041" s="14" t="s">
        <v>76</v>
      </c>
      <c r="L1041" s="14">
        <v>0.15081600816395799</v>
      </c>
      <c r="M1041" s="14">
        <v>0.13666944622593599</v>
      </c>
      <c r="N1041" s="14"/>
      <c r="O1041" s="14">
        <v>0.124662846332076</v>
      </c>
      <c r="P1041" s="14">
        <v>0.24673061030146701</v>
      </c>
      <c r="Q1041" s="14"/>
      <c r="R1041" s="14">
        <v>0.26929186932640398</v>
      </c>
      <c r="S1041" s="14">
        <v>0.13084630460107999</v>
      </c>
      <c r="T1041" s="14">
        <v>0.14500568731878999</v>
      </c>
      <c r="U1041" s="14">
        <v>0.104081804729257</v>
      </c>
      <c r="V1041" s="14">
        <v>9.8598499267545506E-2</v>
      </c>
      <c r="W1041" s="14">
        <v>9.3250200274068801E-2</v>
      </c>
      <c r="X1041" s="14">
        <v>0.11568061230299299</v>
      </c>
      <c r="Y1041" s="14">
        <v>6.3709747602647998E-2</v>
      </c>
      <c r="Z1041" s="14">
        <v>0.13233940792968499</v>
      </c>
      <c r="AA1041" s="14"/>
      <c r="AB1041" s="14">
        <v>0.18039556653289399</v>
      </c>
      <c r="AC1041" s="14">
        <v>0.15468003880727699</v>
      </c>
      <c r="AD1041" s="14">
        <v>7.4299218598151195E-2</v>
      </c>
      <c r="AE1041" s="14">
        <v>0.18989374826384001</v>
      </c>
      <c r="AF1041" s="14"/>
      <c r="AG1041" s="14">
        <v>0.22073997948384899</v>
      </c>
      <c r="AH1041" s="14">
        <v>0.147878089996239</v>
      </c>
      <c r="AI1041" s="14"/>
      <c r="AJ1041" s="14">
        <v>0.19840745865545201</v>
      </c>
      <c r="AK1041" s="14">
        <v>5.9311794002198798E-2</v>
      </c>
      <c r="AL1041" s="14"/>
      <c r="AM1041" s="14">
        <v>0.20614537453190401</v>
      </c>
      <c r="AN1041" s="14">
        <v>5.8189157660520303E-2</v>
      </c>
    </row>
    <row r="1042" spans="2:40" x14ac:dyDescent="0.35">
      <c r="B1042" t="s">
        <v>156</v>
      </c>
      <c r="C1042" s="14">
        <v>0.47215083309394901</v>
      </c>
      <c r="D1042" s="14">
        <v>0.46214442720520899</v>
      </c>
      <c r="E1042" s="14">
        <v>0.48067483593619698</v>
      </c>
      <c r="F1042" s="14"/>
      <c r="G1042" s="14" t="s">
        <v>76</v>
      </c>
      <c r="H1042" s="14" t="s">
        <v>76</v>
      </c>
      <c r="I1042" s="14">
        <v>0.47215083309394901</v>
      </c>
      <c r="J1042" s="14"/>
      <c r="K1042" s="14" t="s">
        <v>76</v>
      </c>
      <c r="L1042" s="14">
        <v>0.46810391383378203</v>
      </c>
      <c r="M1042" s="14">
        <v>0.47849623910730599</v>
      </c>
      <c r="N1042" s="14"/>
      <c r="O1042" s="14">
        <v>0.47125624871952199</v>
      </c>
      <c r="P1042" s="14">
        <v>0.45466684755261899</v>
      </c>
      <c r="Q1042" s="14"/>
      <c r="R1042" s="14">
        <v>0.48133888646633199</v>
      </c>
      <c r="S1042" s="14">
        <v>0.45942757013111502</v>
      </c>
      <c r="T1042" s="14">
        <v>0.41833506214890798</v>
      </c>
      <c r="U1042" s="14">
        <v>0.52293621376593302</v>
      </c>
      <c r="V1042" s="14">
        <v>0.31074711008075401</v>
      </c>
      <c r="W1042" s="14">
        <v>0.45770090540837799</v>
      </c>
      <c r="X1042" s="14">
        <v>0.512269782655288</v>
      </c>
      <c r="Y1042" s="14">
        <v>0.47000927845443802</v>
      </c>
      <c r="Z1042" s="14">
        <v>0.55067371284742095</v>
      </c>
      <c r="AA1042" s="14"/>
      <c r="AB1042" s="14">
        <v>0.442122020949891</v>
      </c>
      <c r="AC1042" s="14">
        <v>0.48830432189727402</v>
      </c>
      <c r="AD1042" s="14">
        <v>0.60848194485064</v>
      </c>
      <c r="AE1042" s="14">
        <v>0.34482887738736101</v>
      </c>
      <c r="AF1042" s="14"/>
      <c r="AG1042" s="14">
        <v>0.46580528266827198</v>
      </c>
      <c r="AH1042" s="14">
        <v>0.47330642104568899</v>
      </c>
      <c r="AI1042" s="14"/>
      <c r="AJ1042" s="14">
        <v>0.468104417788544</v>
      </c>
      <c r="AK1042" s="14">
        <v>0.51679354079573603</v>
      </c>
      <c r="AL1042" s="14"/>
      <c r="AM1042" s="14">
        <v>0.49769664284808202</v>
      </c>
      <c r="AN1042" s="14">
        <v>0.40676848365102097</v>
      </c>
    </row>
    <row r="1043" spans="2:40" x14ac:dyDescent="0.35">
      <c r="B1043" t="s">
        <v>157</v>
      </c>
      <c r="C1043" s="14">
        <v>0.23650548966111401</v>
      </c>
      <c r="D1043" s="14">
        <v>0.226561460063534</v>
      </c>
      <c r="E1043" s="14">
        <v>0.24719118850418201</v>
      </c>
      <c r="F1043" s="14"/>
      <c r="G1043" s="14" t="s">
        <v>76</v>
      </c>
      <c r="H1043" s="14" t="s">
        <v>76</v>
      </c>
      <c r="I1043" s="14">
        <v>0.23650548966111401</v>
      </c>
      <c r="J1043" s="14"/>
      <c r="K1043" s="14" t="s">
        <v>76</v>
      </c>
      <c r="L1043" s="14">
        <v>0.24315844409314299</v>
      </c>
      <c r="M1043" s="14">
        <v>0.22607392571193599</v>
      </c>
      <c r="N1043" s="14"/>
      <c r="O1043" s="14">
        <v>0.23702900950636299</v>
      </c>
      <c r="P1043" s="14">
        <v>0.235117913650913</v>
      </c>
      <c r="Q1043" s="14"/>
      <c r="R1043" s="14">
        <v>0.187654422356341</v>
      </c>
      <c r="S1043" s="14">
        <v>0.27229058124302202</v>
      </c>
      <c r="T1043" s="14">
        <v>0.243731708232761</v>
      </c>
      <c r="U1043" s="14">
        <v>0.133694166650622</v>
      </c>
      <c r="V1043" s="14">
        <v>0.38816728364678599</v>
      </c>
      <c r="W1043" s="14">
        <v>0.29489552885070802</v>
      </c>
      <c r="X1043" s="14">
        <v>0.19498084033277099</v>
      </c>
      <c r="Y1043" s="14">
        <v>0.26785513393569699</v>
      </c>
      <c r="Z1043" s="14">
        <v>0.22686731317834799</v>
      </c>
      <c r="AA1043" s="14"/>
      <c r="AB1043" s="14">
        <v>0.20879726402117099</v>
      </c>
      <c r="AC1043" s="14">
        <v>0.27250446024657998</v>
      </c>
      <c r="AD1043" s="14">
        <v>0.164049610259968</v>
      </c>
      <c r="AE1043" s="14">
        <v>0.28949886453467899</v>
      </c>
      <c r="AF1043" s="14"/>
      <c r="AG1043" s="14">
        <v>0.15988205255527099</v>
      </c>
      <c r="AH1043" s="14">
        <v>0.13251191497280701</v>
      </c>
      <c r="AI1043" s="14"/>
      <c r="AJ1043" s="14">
        <v>0.15149297327205499</v>
      </c>
      <c r="AK1043" s="14">
        <v>0.31485872144932098</v>
      </c>
      <c r="AL1043" s="14"/>
      <c r="AM1043" s="14">
        <v>0.19894362640747501</v>
      </c>
      <c r="AN1043" s="14">
        <v>0.303933165762934</v>
      </c>
    </row>
    <row r="1044" spans="2:40" x14ac:dyDescent="0.35">
      <c r="B1044" t="s">
        <v>158</v>
      </c>
      <c r="C1044" s="14">
        <v>0.14009109374283199</v>
      </c>
      <c r="D1044" s="14">
        <v>0.14882853186818301</v>
      </c>
      <c r="E1044" s="14">
        <v>0.13171442806692801</v>
      </c>
      <c r="F1044" s="14"/>
      <c r="G1044" s="14" t="s">
        <v>76</v>
      </c>
      <c r="H1044" s="14" t="s">
        <v>76</v>
      </c>
      <c r="I1044" s="14">
        <v>0.14009109374283199</v>
      </c>
      <c r="J1044" s="14"/>
      <c r="K1044" s="14" t="s">
        <v>76</v>
      </c>
      <c r="L1044" s="14">
        <v>0.13037293927516</v>
      </c>
      <c r="M1044" s="14">
        <v>0.15532876759634101</v>
      </c>
      <c r="N1044" s="14"/>
      <c r="O1044" s="14">
        <v>0.15956221240125101</v>
      </c>
      <c r="P1044" s="14">
        <v>6.3484628495000903E-2</v>
      </c>
      <c r="Q1044" s="14"/>
      <c r="R1044" s="14">
        <v>6.1714821850922599E-2</v>
      </c>
      <c r="S1044" s="14">
        <v>0.121750891132583</v>
      </c>
      <c r="T1044" s="14">
        <v>0.19292754229954201</v>
      </c>
      <c r="U1044" s="14">
        <v>0.22410261057441</v>
      </c>
      <c r="V1044" s="14">
        <v>0.20248710700491401</v>
      </c>
      <c r="W1044" s="14">
        <v>0.15415336546684499</v>
      </c>
      <c r="X1044" s="14">
        <v>0.177068764708948</v>
      </c>
      <c r="Y1044" s="14">
        <v>0.162759881656733</v>
      </c>
      <c r="Z1044" s="14">
        <v>9.0119566044545907E-2</v>
      </c>
      <c r="AA1044" s="14"/>
      <c r="AB1044" s="14">
        <v>0.16868514849604399</v>
      </c>
      <c r="AC1044" s="14">
        <v>8.4511179048869303E-2</v>
      </c>
      <c r="AD1044" s="14">
        <v>0.146734762919316</v>
      </c>
      <c r="AE1044" s="14">
        <v>0.17577850981411999</v>
      </c>
      <c r="AF1044" s="14"/>
      <c r="AG1044" s="14">
        <v>0.15357268529260701</v>
      </c>
      <c r="AH1044" s="14">
        <v>0.24630357398526501</v>
      </c>
      <c r="AI1044" s="14"/>
      <c r="AJ1044" s="14">
        <v>0.181995150283948</v>
      </c>
      <c r="AK1044" s="14">
        <v>0.10092817862534301</v>
      </c>
      <c r="AL1044" s="14"/>
      <c r="AM1044" s="14">
        <v>9.1701517526763199E-2</v>
      </c>
      <c r="AN1044" s="14">
        <v>0.22493485959539999</v>
      </c>
    </row>
    <row r="1045" spans="2:40" x14ac:dyDescent="0.35">
      <c r="B1045" t="s">
        <v>70</v>
      </c>
      <c r="C1045" s="14">
        <v>5.9454477478642102E-3</v>
      </c>
      <c r="D1045" s="14">
        <v>3.4668661215629701E-3</v>
      </c>
      <c r="E1045" s="14">
        <v>8.4546409150484392E-3</v>
      </c>
      <c r="F1045" s="14"/>
      <c r="G1045" s="14" t="s">
        <v>76</v>
      </c>
      <c r="H1045" s="14" t="s">
        <v>76</v>
      </c>
      <c r="I1045" s="14">
        <v>5.9454477478642102E-3</v>
      </c>
      <c r="J1045" s="14"/>
      <c r="K1045" s="14" t="s">
        <v>76</v>
      </c>
      <c r="L1045" s="14">
        <v>7.54869463395684E-3</v>
      </c>
      <c r="M1045" s="14">
        <v>3.4316213584813602E-3</v>
      </c>
      <c r="N1045" s="14"/>
      <c r="O1045" s="14">
        <v>7.4896830407874598E-3</v>
      </c>
      <c r="P1045" s="14">
        <v>0</v>
      </c>
      <c r="Q1045" s="14"/>
      <c r="R1045" s="14">
        <v>0</v>
      </c>
      <c r="S1045" s="14">
        <v>1.5684652892200501E-2</v>
      </c>
      <c r="T1045" s="14">
        <v>0</v>
      </c>
      <c r="U1045" s="14">
        <v>1.51852042797786E-2</v>
      </c>
      <c r="V1045" s="14">
        <v>0</v>
      </c>
      <c r="W1045" s="14">
        <v>0</v>
      </c>
      <c r="X1045" s="14">
        <v>0</v>
      </c>
      <c r="Y1045" s="14">
        <v>3.5665958350483903E-2</v>
      </c>
      <c r="Z1045" s="14">
        <v>0</v>
      </c>
      <c r="AA1045" s="14"/>
      <c r="AB1045" s="14">
        <v>0</v>
      </c>
      <c r="AC1045" s="14">
        <v>0</v>
      </c>
      <c r="AD1045" s="14">
        <v>6.4344633719252203E-3</v>
      </c>
      <c r="AE1045" s="14">
        <v>0</v>
      </c>
      <c r="AF1045" s="14"/>
      <c r="AG1045" s="14">
        <v>0</v>
      </c>
      <c r="AH1045" s="14">
        <v>0</v>
      </c>
      <c r="AI1045" s="14"/>
      <c r="AJ1045" s="14">
        <v>0</v>
      </c>
      <c r="AK1045" s="14">
        <v>8.1077651274003692E-3</v>
      </c>
      <c r="AL1045" s="14"/>
      <c r="AM1045" s="14">
        <v>5.5128386857754199E-3</v>
      </c>
      <c r="AN1045" s="14">
        <v>6.1743333301245602E-3</v>
      </c>
    </row>
    <row r="1046" spans="2:40" x14ac:dyDescent="0.35">
      <c r="C1046" s="14"/>
      <c r="D1046" s="14"/>
      <c r="E1046" s="14"/>
      <c r="F1046" s="14"/>
      <c r="G1046" s="14"/>
      <c r="H1046" s="14"/>
      <c r="I1046" s="14"/>
      <c r="J1046" s="14"/>
      <c r="K1046" s="14"/>
      <c r="L1046" s="14"/>
      <c r="M1046" s="14"/>
      <c r="N1046" s="14"/>
      <c r="O1046" s="14"/>
      <c r="P1046" s="14"/>
      <c r="Q1046" s="14"/>
      <c r="R1046" s="14"/>
      <c r="S1046" s="14"/>
      <c r="T1046" s="14"/>
      <c r="U1046" s="14"/>
      <c r="V1046" s="14"/>
      <c r="W1046" s="14"/>
      <c r="X1046" s="14"/>
      <c r="Y1046" s="14"/>
      <c r="Z1046" s="14"/>
      <c r="AA1046" s="14"/>
      <c r="AB1046" s="14"/>
      <c r="AC1046" s="14"/>
      <c r="AD1046" s="14"/>
      <c r="AE1046" s="14"/>
      <c r="AF1046" s="14"/>
      <c r="AG1046" s="14"/>
      <c r="AH1046" s="14"/>
      <c r="AI1046" s="14"/>
      <c r="AJ1046" s="14"/>
      <c r="AK1046" s="14"/>
      <c r="AL1046" s="14"/>
      <c r="AM1046" s="14"/>
      <c r="AN1046" s="14"/>
    </row>
    <row r="1047" spans="2:40" x14ac:dyDescent="0.35">
      <c r="B1047" s="6" t="s">
        <v>285</v>
      </c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  <c r="AA1047" s="14"/>
      <c r="AB1047" s="14"/>
      <c r="AC1047" s="14"/>
      <c r="AD1047" s="14"/>
      <c r="AE1047" s="14"/>
      <c r="AF1047" s="14"/>
      <c r="AG1047" s="14"/>
      <c r="AH1047" s="14"/>
      <c r="AI1047" s="14"/>
      <c r="AJ1047" s="14"/>
      <c r="AK1047" s="14"/>
      <c r="AL1047" s="14"/>
      <c r="AM1047" s="14"/>
      <c r="AN1047" s="14"/>
    </row>
    <row r="1048" spans="2:40" x14ac:dyDescent="0.35">
      <c r="B1048" s="26" t="s">
        <v>395</v>
      </c>
      <c r="C1048" s="14"/>
      <c r="D1048" s="14"/>
      <c r="E1048" s="14"/>
      <c r="F1048" s="14"/>
      <c r="G1048" s="14"/>
      <c r="H1048" s="14"/>
      <c r="I1048" s="14"/>
      <c r="J1048" s="14"/>
      <c r="K1048" s="14"/>
      <c r="L1048" s="14"/>
      <c r="M1048" s="14"/>
      <c r="N1048" s="14"/>
      <c r="O1048" s="14"/>
      <c r="P1048" s="14"/>
      <c r="Q1048" s="14"/>
      <c r="R1048" s="14"/>
      <c r="S1048" s="14"/>
      <c r="T1048" s="14"/>
      <c r="U1048" s="14"/>
      <c r="V1048" s="14"/>
      <c r="W1048" s="14"/>
      <c r="X1048" s="14"/>
      <c r="Y1048" s="14"/>
      <c r="Z1048" s="14"/>
      <c r="AA1048" s="14"/>
      <c r="AB1048" s="14"/>
      <c r="AC1048" s="14"/>
      <c r="AD1048" s="14"/>
      <c r="AE1048" s="14"/>
      <c r="AF1048" s="14"/>
      <c r="AG1048" s="14"/>
      <c r="AH1048" s="14"/>
      <c r="AI1048" s="14"/>
      <c r="AJ1048" s="14"/>
      <c r="AK1048" s="14"/>
      <c r="AL1048" s="14"/>
      <c r="AM1048" s="14"/>
      <c r="AN1048" s="14"/>
    </row>
    <row r="1049" spans="2:40" x14ac:dyDescent="0.35">
      <c r="B1049" t="s">
        <v>160</v>
      </c>
      <c r="C1049" s="14">
        <v>0.19693284602689901</v>
      </c>
      <c r="D1049" s="14">
        <v>0.240118251609656</v>
      </c>
      <c r="E1049" s="14">
        <v>0.154088657241155</v>
      </c>
      <c r="F1049" s="14"/>
      <c r="G1049" s="14" t="s">
        <v>76</v>
      </c>
      <c r="H1049" s="14" t="s">
        <v>76</v>
      </c>
      <c r="I1049" s="14">
        <v>0.19693284602689901</v>
      </c>
      <c r="J1049" s="14"/>
      <c r="K1049" s="14" t="s">
        <v>76</v>
      </c>
      <c r="L1049" s="14">
        <v>0.20263478121992001</v>
      </c>
      <c r="M1049" s="14">
        <v>0.18799244184891301</v>
      </c>
      <c r="N1049" s="14"/>
      <c r="O1049" s="14">
        <v>0.15099444199438</v>
      </c>
      <c r="P1049" s="14">
        <v>0.39477041046282502</v>
      </c>
      <c r="Q1049" s="14"/>
      <c r="R1049" s="14">
        <v>0.394845601568872</v>
      </c>
      <c r="S1049" s="14">
        <v>0.120423401960927</v>
      </c>
      <c r="T1049" s="14">
        <v>0.17258771538196399</v>
      </c>
      <c r="U1049" s="14">
        <v>7.5593348065763899E-2</v>
      </c>
      <c r="V1049" s="14">
        <v>0.19319307170196201</v>
      </c>
      <c r="W1049" s="14">
        <v>0.16419761168713401</v>
      </c>
      <c r="X1049" s="14">
        <v>0.140598094241914</v>
      </c>
      <c r="Y1049" s="14">
        <v>0.26333950005918699</v>
      </c>
      <c r="Z1049" s="14">
        <v>0.17377655183575899</v>
      </c>
      <c r="AA1049" s="14"/>
      <c r="AB1049" s="14">
        <v>0.20005106569730099</v>
      </c>
      <c r="AC1049" s="14">
        <v>0.24374868592710699</v>
      </c>
      <c r="AD1049" s="14">
        <v>0.11520559224499601</v>
      </c>
      <c r="AE1049" s="14">
        <v>0.25660003714772101</v>
      </c>
      <c r="AF1049" s="14"/>
      <c r="AG1049" s="14">
        <v>0.31745249246695001</v>
      </c>
      <c r="AH1049" s="14">
        <v>0.137946884275371</v>
      </c>
      <c r="AI1049" s="14"/>
      <c r="AJ1049" s="14">
        <v>0.26243315709225801</v>
      </c>
      <c r="AK1049" s="14">
        <v>9.0851801224954495E-2</v>
      </c>
      <c r="AL1049" s="14"/>
      <c r="AM1049" s="14">
        <v>0.30868863079500403</v>
      </c>
      <c r="AN1049" s="14">
        <v>1.8817220509634799E-2</v>
      </c>
    </row>
    <row r="1050" spans="2:40" x14ac:dyDescent="0.35">
      <c r="B1050" t="s">
        <v>161</v>
      </c>
      <c r="C1050" s="14">
        <v>0.46717776430704699</v>
      </c>
      <c r="D1050" s="14">
        <v>0.44692142425164599</v>
      </c>
      <c r="E1050" s="14">
        <v>0.48599226786397598</v>
      </c>
      <c r="F1050" s="14"/>
      <c r="G1050" s="14" t="s">
        <v>76</v>
      </c>
      <c r="H1050" s="14" t="s">
        <v>76</v>
      </c>
      <c r="I1050" s="14">
        <v>0.46717776430704699</v>
      </c>
      <c r="J1050" s="14"/>
      <c r="K1050" s="14" t="s">
        <v>76</v>
      </c>
      <c r="L1050" s="14">
        <v>0.459179088332416</v>
      </c>
      <c r="M1050" s="14">
        <v>0.47971936530410503</v>
      </c>
      <c r="N1050" s="14"/>
      <c r="O1050" s="14">
        <v>0.47200268507382498</v>
      </c>
      <c r="P1050" s="14">
        <v>0.44165077766982203</v>
      </c>
      <c r="Q1050" s="14"/>
      <c r="R1050" s="14">
        <v>0.386891311399437</v>
      </c>
      <c r="S1050" s="14">
        <v>0.47508768608572699</v>
      </c>
      <c r="T1050" s="14">
        <v>0.42606161241104601</v>
      </c>
      <c r="U1050" s="14">
        <v>0.646711482713483</v>
      </c>
      <c r="V1050" s="14">
        <v>0.38531389186116199</v>
      </c>
      <c r="W1050" s="14">
        <v>0.46077088718471498</v>
      </c>
      <c r="X1050" s="14">
        <v>0.39519748681623801</v>
      </c>
      <c r="Y1050" s="14">
        <v>0.48271086731997298</v>
      </c>
      <c r="Z1050" s="14">
        <v>0.53166467826419495</v>
      </c>
      <c r="AA1050" s="14"/>
      <c r="AB1050" s="14">
        <v>0.34910186776493202</v>
      </c>
      <c r="AC1050" s="14">
        <v>0.54332037151556201</v>
      </c>
      <c r="AD1050" s="14">
        <v>0.50632471292645997</v>
      </c>
      <c r="AE1050" s="14">
        <v>0.53590343845535404</v>
      </c>
      <c r="AF1050" s="14"/>
      <c r="AG1050" s="14">
        <v>0.48616219127980598</v>
      </c>
      <c r="AH1050" s="14">
        <v>0.325593116559033</v>
      </c>
      <c r="AI1050" s="14"/>
      <c r="AJ1050" s="14">
        <v>0.43694699481955102</v>
      </c>
      <c r="AK1050" s="14">
        <v>0.56225199198387099</v>
      </c>
      <c r="AL1050" s="14"/>
      <c r="AM1050" s="14">
        <v>0.49884711513604801</v>
      </c>
      <c r="AN1050" s="14">
        <v>0.35704859559108798</v>
      </c>
    </row>
    <row r="1051" spans="2:40" x14ac:dyDescent="0.35">
      <c r="B1051" t="s">
        <v>162</v>
      </c>
      <c r="C1051" s="14">
        <v>0.263956724975488</v>
      </c>
      <c r="D1051" s="14">
        <v>0.23594028310020701</v>
      </c>
      <c r="E1051" s="14">
        <v>0.29289176745395601</v>
      </c>
      <c r="F1051" s="14"/>
      <c r="G1051" s="14" t="s">
        <v>76</v>
      </c>
      <c r="H1051" s="14" t="s">
        <v>76</v>
      </c>
      <c r="I1051" s="14">
        <v>0.263956724975488</v>
      </c>
      <c r="J1051" s="14"/>
      <c r="K1051" s="14" t="s">
        <v>76</v>
      </c>
      <c r="L1051" s="14">
        <v>0.26584062347663001</v>
      </c>
      <c r="M1051" s="14">
        <v>0.261002848184476</v>
      </c>
      <c r="N1051" s="14"/>
      <c r="O1051" s="14">
        <v>0.28770906734985602</v>
      </c>
      <c r="P1051" s="14">
        <v>0.15799124816510199</v>
      </c>
      <c r="Q1051" s="14"/>
      <c r="R1051" s="14">
        <v>0.182362861004915</v>
      </c>
      <c r="S1051" s="14">
        <v>0.35722572518776402</v>
      </c>
      <c r="T1051" s="14">
        <v>0.24985857579552201</v>
      </c>
      <c r="U1051" s="14">
        <v>0.192274736914294</v>
      </c>
      <c r="V1051" s="14">
        <v>0.38371342791250301</v>
      </c>
      <c r="W1051" s="14">
        <v>0.25831869829481402</v>
      </c>
      <c r="X1051" s="14">
        <v>0.31484985305568902</v>
      </c>
      <c r="Y1051" s="14">
        <v>0.15666430003221901</v>
      </c>
      <c r="Z1051" s="14">
        <v>0.27542453811678103</v>
      </c>
      <c r="AA1051" s="14"/>
      <c r="AB1051" s="14">
        <v>0.34533319997322998</v>
      </c>
      <c r="AC1051" s="14">
        <v>0.152983286183446</v>
      </c>
      <c r="AD1051" s="14">
        <v>0.297838361184387</v>
      </c>
      <c r="AE1051" s="14">
        <v>0.187950988493821</v>
      </c>
      <c r="AF1051" s="14"/>
      <c r="AG1051" s="14">
        <v>0.177168077493155</v>
      </c>
      <c r="AH1051" s="14">
        <v>0.35900115001518301</v>
      </c>
      <c r="AI1051" s="14"/>
      <c r="AJ1051" s="14">
        <v>0.232900791919675</v>
      </c>
      <c r="AK1051" s="14">
        <v>0.29015634241793298</v>
      </c>
      <c r="AL1051" s="14"/>
      <c r="AM1051" s="14">
        <v>0.166383070505429</v>
      </c>
      <c r="AN1051" s="14">
        <v>0.44364274317605101</v>
      </c>
    </row>
    <row r="1052" spans="2:40" x14ac:dyDescent="0.35">
      <c r="B1052" t="s">
        <v>163</v>
      </c>
      <c r="C1052" s="14">
        <v>6.4170329676270302E-2</v>
      </c>
      <c r="D1052" s="14">
        <v>6.68128737915826E-2</v>
      </c>
      <c r="E1052" s="14">
        <v>6.1700342903851901E-2</v>
      </c>
      <c r="F1052" s="14"/>
      <c r="G1052" s="14" t="s">
        <v>76</v>
      </c>
      <c r="H1052" s="14" t="s">
        <v>76</v>
      </c>
      <c r="I1052" s="14">
        <v>6.4170329676270302E-2</v>
      </c>
      <c r="J1052" s="14"/>
      <c r="K1052" s="14" t="s">
        <v>76</v>
      </c>
      <c r="L1052" s="14">
        <v>6.5158872075816304E-2</v>
      </c>
      <c r="M1052" s="14">
        <v>6.2620335104280694E-2</v>
      </c>
      <c r="N1052" s="14"/>
      <c r="O1052" s="14">
        <v>7.9515327765131497E-2</v>
      </c>
      <c r="P1052" s="14">
        <v>5.5875637022509399E-3</v>
      </c>
      <c r="Q1052" s="14"/>
      <c r="R1052" s="14">
        <v>3.5900226026776401E-2</v>
      </c>
      <c r="S1052" s="14">
        <v>4.7263186765581902E-2</v>
      </c>
      <c r="T1052" s="14">
        <v>0.11780677962958901</v>
      </c>
      <c r="U1052" s="14">
        <v>7.0235228026680196E-2</v>
      </c>
      <c r="V1052" s="14">
        <v>3.7779608524372899E-2</v>
      </c>
      <c r="W1052" s="14">
        <v>0.10549383193892201</v>
      </c>
      <c r="X1052" s="14">
        <v>0.149354565886159</v>
      </c>
      <c r="Y1052" s="14">
        <v>6.1619374238136897E-2</v>
      </c>
      <c r="Z1052" s="14">
        <v>1.91342317832645E-2</v>
      </c>
      <c r="AA1052" s="14"/>
      <c r="AB1052" s="14">
        <v>0.105513866564538</v>
      </c>
      <c r="AC1052" s="14">
        <v>5.1649883290213798E-2</v>
      </c>
      <c r="AD1052" s="14">
        <v>8.0631333644156603E-2</v>
      </c>
      <c r="AE1052" s="14">
        <v>1.95455359031044E-2</v>
      </c>
      <c r="AF1052" s="14"/>
      <c r="AG1052" s="14">
        <v>1.9217238760089898E-2</v>
      </c>
      <c r="AH1052" s="14">
        <v>0.17745884915041299</v>
      </c>
      <c r="AI1052" s="14"/>
      <c r="AJ1052" s="14">
        <v>6.7719056168516201E-2</v>
      </c>
      <c r="AK1052" s="14">
        <v>3.6267366103252097E-2</v>
      </c>
      <c r="AL1052" s="14"/>
      <c r="AM1052" s="14">
        <v>1.30387285435506E-2</v>
      </c>
      <c r="AN1052" s="14">
        <v>0.18049144072322601</v>
      </c>
    </row>
    <row r="1053" spans="2:40" x14ac:dyDescent="0.35">
      <c r="B1053" t="s">
        <v>70</v>
      </c>
      <c r="C1053" s="14">
        <v>7.7623350142957803E-3</v>
      </c>
      <c r="D1053" s="14">
        <v>1.0207167246909E-2</v>
      </c>
      <c r="E1053" s="14">
        <v>5.32696453706075E-3</v>
      </c>
      <c r="F1053" s="14"/>
      <c r="G1053" s="14" t="s">
        <v>76</v>
      </c>
      <c r="H1053" s="14" t="s">
        <v>76</v>
      </c>
      <c r="I1053" s="14">
        <v>7.7623350142957803E-3</v>
      </c>
      <c r="J1053" s="14"/>
      <c r="K1053" s="14" t="s">
        <v>76</v>
      </c>
      <c r="L1053" s="14">
        <v>7.18663489521746E-3</v>
      </c>
      <c r="M1053" s="14">
        <v>8.6650095582251896E-3</v>
      </c>
      <c r="N1053" s="14"/>
      <c r="O1053" s="14">
        <v>9.7784778168080802E-3</v>
      </c>
      <c r="P1053" s="14">
        <v>0</v>
      </c>
      <c r="Q1053" s="14"/>
      <c r="R1053" s="14">
        <v>0</v>
      </c>
      <c r="S1053" s="14">
        <v>0</v>
      </c>
      <c r="T1053" s="14">
        <v>3.3685316781878603E-2</v>
      </c>
      <c r="U1053" s="14">
        <v>1.51852042797786E-2</v>
      </c>
      <c r="V1053" s="14">
        <v>0</v>
      </c>
      <c r="W1053" s="14">
        <v>1.12189708944153E-2</v>
      </c>
      <c r="X1053" s="14">
        <v>0</v>
      </c>
      <c r="Y1053" s="14">
        <v>3.5665958350483903E-2</v>
      </c>
      <c r="Z1053" s="14">
        <v>0</v>
      </c>
      <c r="AA1053" s="14"/>
      <c r="AB1053" s="14">
        <v>0</v>
      </c>
      <c r="AC1053" s="14">
        <v>8.2977730836705198E-3</v>
      </c>
      <c r="AD1053" s="14">
        <v>0</v>
      </c>
      <c r="AE1053" s="14">
        <v>0</v>
      </c>
      <c r="AF1053" s="14"/>
      <c r="AG1053" s="14">
        <v>0</v>
      </c>
      <c r="AH1053" s="14">
        <v>0</v>
      </c>
      <c r="AI1053" s="14"/>
      <c r="AJ1053" s="14">
        <v>0</v>
      </c>
      <c r="AK1053" s="14">
        <v>2.0472498269989599E-2</v>
      </c>
      <c r="AL1053" s="14"/>
      <c r="AM1053" s="14">
        <v>1.30424550199682E-2</v>
      </c>
      <c r="AN1053" s="14">
        <v>0</v>
      </c>
    </row>
    <row r="1054" spans="2:40" x14ac:dyDescent="0.35">
      <c r="B1054" t="s">
        <v>164</v>
      </c>
      <c r="C1054" s="14">
        <v>0.66411061033394603</v>
      </c>
      <c r="D1054" s="14">
        <v>0.68703967586130199</v>
      </c>
      <c r="E1054" s="14">
        <v>0.64008092510513204</v>
      </c>
      <c r="F1054" s="14"/>
      <c r="G1054" s="14" t="s">
        <v>76</v>
      </c>
      <c r="H1054" s="14" t="s">
        <v>76</v>
      </c>
      <c r="I1054" s="14">
        <v>0.66411061033394603</v>
      </c>
      <c r="J1054" s="14"/>
      <c r="K1054" s="14" t="s">
        <v>76</v>
      </c>
      <c r="L1054" s="14">
        <v>0.66181386955233601</v>
      </c>
      <c r="M1054" s="14">
        <v>0.66771180715301703</v>
      </c>
      <c r="N1054" s="14"/>
      <c r="O1054" s="14">
        <v>0.62299712706820498</v>
      </c>
      <c r="P1054" s="14">
        <v>0.83642118813264699</v>
      </c>
      <c r="Q1054" s="14"/>
      <c r="R1054" s="14">
        <v>0.78173691296830905</v>
      </c>
      <c r="S1054" s="14">
        <v>0.59551108804665398</v>
      </c>
      <c r="T1054" s="14">
        <v>0.59864932779301006</v>
      </c>
      <c r="U1054" s="14">
        <v>0.72230483077924701</v>
      </c>
      <c r="V1054" s="14">
        <v>0.57850696356312403</v>
      </c>
      <c r="W1054" s="14">
        <v>0.62496849887184902</v>
      </c>
      <c r="X1054" s="14">
        <v>0.53579558105815195</v>
      </c>
      <c r="Y1054" s="14">
        <v>0.74605036737915997</v>
      </c>
      <c r="Z1054" s="14">
        <v>0.70544123009995496</v>
      </c>
      <c r="AA1054" s="14"/>
      <c r="AB1054" s="14">
        <v>0.54915293346223204</v>
      </c>
      <c r="AC1054" s="14">
        <v>0.78706905744266997</v>
      </c>
      <c r="AD1054" s="14">
        <v>0.62153030517145602</v>
      </c>
      <c r="AE1054" s="14">
        <v>0.79250347560307499</v>
      </c>
      <c r="AF1054" s="14"/>
      <c r="AG1054" s="14">
        <v>0.80361468374675504</v>
      </c>
      <c r="AH1054" s="14">
        <v>0.463540000834404</v>
      </c>
      <c r="AI1054" s="14"/>
      <c r="AJ1054" s="14">
        <v>0.69938015191180902</v>
      </c>
      <c r="AK1054" s="14">
        <v>0.65310379320882495</v>
      </c>
      <c r="AL1054" s="14"/>
      <c r="AM1054" s="14">
        <v>0.80753574593105204</v>
      </c>
      <c r="AN1054" s="14">
        <v>0.375865816100723</v>
      </c>
    </row>
    <row r="1055" spans="2:40" x14ac:dyDescent="0.35">
      <c r="C1055" s="14"/>
      <c r="D1055" s="14"/>
      <c r="E1055" s="14"/>
      <c r="F1055" s="14"/>
      <c r="G1055" s="14"/>
      <c r="H1055" s="14"/>
      <c r="I1055" s="14"/>
      <c r="J1055" s="14"/>
      <c r="K1055" s="14"/>
      <c r="L1055" s="14"/>
      <c r="M1055" s="14"/>
      <c r="N1055" s="14"/>
      <c r="O1055" s="14"/>
      <c r="P1055" s="14"/>
      <c r="Q1055" s="14"/>
      <c r="R1055" s="14"/>
      <c r="S1055" s="14"/>
      <c r="T1055" s="14"/>
      <c r="U1055" s="14"/>
      <c r="V1055" s="14"/>
      <c r="W1055" s="14"/>
      <c r="X1055" s="14"/>
      <c r="Y1055" s="14"/>
      <c r="Z1055" s="14"/>
      <c r="AA1055" s="14"/>
      <c r="AB1055" s="14"/>
      <c r="AC1055" s="14"/>
      <c r="AD1055" s="14"/>
      <c r="AE1055" s="14"/>
      <c r="AF1055" s="14"/>
      <c r="AG1055" s="14"/>
      <c r="AH1055" s="14"/>
      <c r="AI1055" s="14"/>
      <c r="AJ1055" s="14"/>
      <c r="AK1055" s="14"/>
      <c r="AL1055" s="14"/>
      <c r="AM1055" s="14"/>
      <c r="AN1055" s="14"/>
    </row>
    <row r="1056" spans="2:40" x14ac:dyDescent="0.35">
      <c r="B1056" s="6" t="s">
        <v>286</v>
      </c>
      <c r="C1056" s="14"/>
      <c r="D1056" s="14"/>
      <c r="E1056" s="14"/>
      <c r="F1056" s="14"/>
      <c r="G1056" s="14"/>
      <c r="H1056" s="14"/>
      <c r="I1056" s="14"/>
      <c r="J1056" s="14"/>
      <c r="K1056" s="14"/>
      <c r="L1056" s="14"/>
      <c r="M1056" s="14"/>
      <c r="N1056" s="14"/>
      <c r="O1056" s="14"/>
      <c r="P1056" s="14"/>
      <c r="Q1056" s="14"/>
      <c r="R1056" s="14"/>
      <c r="S1056" s="14"/>
      <c r="T1056" s="14"/>
      <c r="U1056" s="14"/>
      <c r="V1056" s="14"/>
      <c r="W1056" s="14"/>
      <c r="X1056" s="14"/>
      <c r="Y1056" s="14"/>
      <c r="Z1056" s="14"/>
      <c r="AA1056" s="14"/>
      <c r="AB1056" s="14"/>
      <c r="AC1056" s="14"/>
      <c r="AD1056" s="14"/>
      <c r="AE1056" s="14"/>
      <c r="AF1056" s="14"/>
      <c r="AG1056" s="14"/>
      <c r="AH1056" s="14"/>
      <c r="AI1056" s="14"/>
      <c r="AJ1056" s="14"/>
      <c r="AK1056" s="14"/>
      <c r="AL1056" s="14"/>
      <c r="AM1056" s="14"/>
      <c r="AN1056" s="14"/>
    </row>
    <row r="1057" spans="2:40" x14ac:dyDescent="0.35">
      <c r="B1057" s="26" t="s">
        <v>395</v>
      </c>
      <c r="C1057" s="14"/>
      <c r="D1057" s="14"/>
      <c r="E1057" s="14"/>
      <c r="F1057" s="14"/>
      <c r="G1057" s="14"/>
      <c r="H1057" s="14"/>
      <c r="I1057" s="14"/>
      <c r="J1057" s="14"/>
      <c r="K1057" s="14"/>
      <c r="L1057" s="14"/>
      <c r="M1057" s="14"/>
      <c r="N1057" s="14"/>
      <c r="O1057" s="14"/>
      <c r="P1057" s="14"/>
      <c r="Q1057" s="14"/>
      <c r="R1057" s="14"/>
      <c r="S1057" s="14"/>
      <c r="T1057" s="14"/>
      <c r="U1057" s="14"/>
      <c r="V1057" s="14"/>
      <c r="W1057" s="14"/>
      <c r="X1057" s="14"/>
      <c r="Y1057" s="14"/>
      <c r="Z1057" s="14"/>
      <c r="AA1057" s="14"/>
      <c r="AB1057" s="14"/>
      <c r="AC1057" s="14"/>
      <c r="AD1057" s="14"/>
      <c r="AE1057" s="14"/>
      <c r="AF1057" s="14"/>
      <c r="AG1057" s="14"/>
      <c r="AH1057" s="14"/>
      <c r="AI1057" s="14"/>
      <c r="AJ1057" s="14"/>
      <c r="AK1057" s="14"/>
      <c r="AL1057" s="14"/>
      <c r="AM1057" s="14"/>
      <c r="AN1057" s="14"/>
    </row>
    <row r="1058" spans="2:40" x14ac:dyDescent="0.35">
      <c r="B1058" t="s">
        <v>166</v>
      </c>
      <c r="C1058" s="14">
        <v>0.19222685198329101</v>
      </c>
      <c r="D1058" s="14">
        <v>0.21440826057176701</v>
      </c>
      <c r="E1058" s="14">
        <v>0.17048575005130301</v>
      </c>
      <c r="F1058" s="14"/>
      <c r="G1058" s="14" t="s">
        <v>76</v>
      </c>
      <c r="H1058" s="14" t="s">
        <v>76</v>
      </c>
      <c r="I1058" s="14">
        <v>0.19222685198329101</v>
      </c>
      <c r="J1058" s="14"/>
      <c r="K1058" s="14" t="s">
        <v>76</v>
      </c>
      <c r="L1058" s="14">
        <v>0.19824961814387701</v>
      </c>
      <c r="M1058" s="14">
        <v>0.18278339780109701</v>
      </c>
      <c r="N1058" s="14"/>
      <c r="O1058" s="14">
        <v>0.154834397257964</v>
      </c>
      <c r="P1058" s="14">
        <v>0.36129124120214601</v>
      </c>
      <c r="Q1058" s="14"/>
      <c r="R1058" s="14">
        <v>0.352036341871795</v>
      </c>
      <c r="S1058" s="14">
        <v>0.15163978263578601</v>
      </c>
      <c r="T1058" s="14">
        <v>0.15845367535718</v>
      </c>
      <c r="U1058" s="14">
        <v>0.13019131710005899</v>
      </c>
      <c r="V1058" s="14">
        <v>0.18959231633380799</v>
      </c>
      <c r="W1058" s="14">
        <v>0.127928175494465</v>
      </c>
      <c r="X1058" s="14">
        <v>0.14953191131794599</v>
      </c>
      <c r="Y1058" s="14">
        <v>0.15666430003221901</v>
      </c>
      <c r="Z1058" s="14">
        <v>0.18138435836320599</v>
      </c>
      <c r="AA1058" s="14"/>
      <c r="AB1058" s="14">
        <v>0.14162722963653701</v>
      </c>
      <c r="AC1058" s="14">
        <v>0.26996053234003697</v>
      </c>
      <c r="AD1058" s="14">
        <v>0.15223066812179001</v>
      </c>
      <c r="AE1058" s="14">
        <v>0.197283813994307</v>
      </c>
      <c r="AF1058" s="14"/>
      <c r="AG1058" s="14">
        <v>0.29900901039966898</v>
      </c>
      <c r="AH1058" s="14">
        <v>0.15714693138410399</v>
      </c>
      <c r="AI1058" s="14"/>
      <c r="AJ1058" s="14">
        <v>0.25552759842072797</v>
      </c>
      <c r="AK1058" s="14">
        <v>8.2951895932876593E-2</v>
      </c>
      <c r="AL1058" s="14"/>
      <c r="AM1058" s="14">
        <v>0.29139674946516397</v>
      </c>
      <c r="AN1058" s="14">
        <v>5.9710287292219097E-2</v>
      </c>
    </row>
    <row r="1059" spans="2:40" x14ac:dyDescent="0.35">
      <c r="B1059" t="s">
        <v>167</v>
      </c>
      <c r="C1059" s="14">
        <v>0.37473801621250102</v>
      </c>
      <c r="D1059" s="14">
        <v>0.39973039509010899</v>
      </c>
      <c r="E1059" s="14">
        <v>0.34779181283537097</v>
      </c>
      <c r="F1059" s="14"/>
      <c r="G1059" s="14" t="s">
        <v>76</v>
      </c>
      <c r="H1059" s="14" t="s">
        <v>76</v>
      </c>
      <c r="I1059" s="14">
        <v>0.37473801621250102</v>
      </c>
      <c r="J1059" s="14"/>
      <c r="K1059" s="14" t="s">
        <v>76</v>
      </c>
      <c r="L1059" s="14">
        <v>0.38034928571455501</v>
      </c>
      <c r="M1059" s="14">
        <v>0.36593977217749801</v>
      </c>
      <c r="N1059" s="14"/>
      <c r="O1059" s="14">
        <v>0.36693557133344401</v>
      </c>
      <c r="P1059" s="14">
        <v>0.39355008743670999</v>
      </c>
      <c r="Q1059" s="14"/>
      <c r="R1059" s="14">
        <v>0.389376630782511</v>
      </c>
      <c r="S1059" s="14">
        <v>0.37491409116326002</v>
      </c>
      <c r="T1059" s="14">
        <v>0.325266097151443</v>
      </c>
      <c r="U1059" s="14">
        <v>0.42006551252971203</v>
      </c>
      <c r="V1059" s="14">
        <v>0.36964093724235803</v>
      </c>
      <c r="W1059" s="14">
        <v>0.35501172686397298</v>
      </c>
      <c r="X1059" s="14">
        <v>0.24173557635224799</v>
      </c>
      <c r="Y1059" s="14">
        <v>0.36273158689000301</v>
      </c>
      <c r="Z1059" s="14">
        <v>0.44553741484645798</v>
      </c>
      <c r="AA1059" s="14"/>
      <c r="AB1059" s="14">
        <v>0.36946409446584599</v>
      </c>
      <c r="AC1059" s="14">
        <v>0.42226649989340298</v>
      </c>
      <c r="AD1059" s="14">
        <v>0.385901318193344</v>
      </c>
      <c r="AE1059" s="14">
        <v>0.40854902982907199</v>
      </c>
      <c r="AF1059" s="14"/>
      <c r="AG1059" s="14">
        <v>0.43895386289882199</v>
      </c>
      <c r="AH1059" s="14">
        <v>0.28199865865305801</v>
      </c>
      <c r="AI1059" s="14"/>
      <c r="AJ1059" s="14">
        <v>0.39084633518311701</v>
      </c>
      <c r="AK1059" s="14">
        <v>0.381036619320263</v>
      </c>
      <c r="AL1059" s="14"/>
      <c r="AM1059" s="14">
        <v>0.44497080816060502</v>
      </c>
      <c r="AN1059" s="14">
        <v>0.22665862678106799</v>
      </c>
    </row>
    <row r="1060" spans="2:40" x14ac:dyDescent="0.35">
      <c r="B1060" t="s">
        <v>168</v>
      </c>
      <c r="C1060" s="14">
        <v>0.31492585504086701</v>
      </c>
      <c r="D1060" s="14">
        <v>0.27423299826495001</v>
      </c>
      <c r="E1060" s="14">
        <v>0.35675371013088902</v>
      </c>
      <c r="F1060" s="14"/>
      <c r="G1060" s="14" t="s">
        <v>76</v>
      </c>
      <c r="H1060" s="14" t="s">
        <v>76</v>
      </c>
      <c r="I1060" s="14">
        <v>0.31492585504086701</v>
      </c>
      <c r="J1060" s="14"/>
      <c r="K1060" s="14" t="s">
        <v>76</v>
      </c>
      <c r="L1060" s="14">
        <v>0.29002314098834903</v>
      </c>
      <c r="M1060" s="14">
        <v>0.35397230527601498</v>
      </c>
      <c r="N1060" s="14"/>
      <c r="O1060" s="14">
        <v>0.34154525303685002</v>
      </c>
      <c r="P1060" s="14">
        <v>0.20263389420376501</v>
      </c>
      <c r="Q1060" s="14"/>
      <c r="R1060" s="14">
        <v>0.164574383187649</v>
      </c>
      <c r="S1060" s="14">
        <v>0.37704292988207699</v>
      </c>
      <c r="T1060" s="14">
        <v>0.40418713238269699</v>
      </c>
      <c r="U1060" s="14">
        <v>0.28698314630899702</v>
      </c>
      <c r="V1060" s="14">
        <v>0.234771062584649</v>
      </c>
      <c r="W1060" s="14">
        <v>0.38903936228151897</v>
      </c>
      <c r="X1060" s="14">
        <v>0.44077491012867698</v>
      </c>
      <c r="Y1060" s="14">
        <v>0.347867403077182</v>
      </c>
      <c r="Z1060" s="14">
        <v>0.31491433266921798</v>
      </c>
      <c r="AA1060" s="14"/>
      <c r="AB1060" s="14">
        <v>0.32122503879848902</v>
      </c>
      <c r="AC1060" s="14">
        <v>0.24558502407382901</v>
      </c>
      <c r="AD1060" s="14">
        <v>0.39830724518303601</v>
      </c>
      <c r="AE1060" s="14">
        <v>0.31107800793886697</v>
      </c>
      <c r="AF1060" s="14"/>
      <c r="AG1060" s="14">
        <v>0.22626017700189799</v>
      </c>
      <c r="AH1060" s="14">
        <v>0.44540694726705399</v>
      </c>
      <c r="AI1060" s="14"/>
      <c r="AJ1060" s="14">
        <v>0.293429719897911</v>
      </c>
      <c r="AK1060" s="14">
        <v>0.441552958965029</v>
      </c>
      <c r="AL1060" s="14"/>
      <c r="AM1060" s="14">
        <v>0.22683176516655301</v>
      </c>
      <c r="AN1060" s="14">
        <v>0.437157916737137</v>
      </c>
    </row>
    <row r="1061" spans="2:40" x14ac:dyDescent="0.35">
      <c r="B1061" t="s">
        <v>169</v>
      </c>
      <c r="C1061" s="14">
        <v>0.110949873756906</v>
      </c>
      <c r="D1061" s="14">
        <v>0.10563060086662</v>
      </c>
      <c r="E1061" s="14">
        <v>0.116620593294839</v>
      </c>
      <c r="F1061" s="14"/>
      <c r="G1061" s="14" t="s">
        <v>76</v>
      </c>
      <c r="H1061" s="14" t="s">
        <v>76</v>
      </c>
      <c r="I1061" s="14">
        <v>0.110949873756906</v>
      </c>
      <c r="J1061" s="14"/>
      <c r="K1061" s="14" t="s">
        <v>76</v>
      </c>
      <c r="L1061" s="14">
        <v>0.12172752780424299</v>
      </c>
      <c r="M1061" s="14">
        <v>9.4050947337742996E-2</v>
      </c>
      <c r="N1061" s="14"/>
      <c r="O1061" s="14">
        <v>0.12766583454220101</v>
      </c>
      <c r="P1061" s="14">
        <v>4.2524777157379498E-2</v>
      </c>
      <c r="Q1061" s="14"/>
      <c r="R1061" s="14">
        <v>9.4012644158045805E-2</v>
      </c>
      <c r="S1061" s="14">
        <v>8.8944838262240797E-2</v>
      </c>
      <c r="T1061" s="14">
        <v>0.11209309510868</v>
      </c>
      <c r="U1061" s="14">
        <v>0.14757481978145301</v>
      </c>
      <c r="V1061" s="14">
        <v>0.186721973852227</v>
      </c>
      <c r="W1061" s="14">
        <v>0.12802073536004299</v>
      </c>
      <c r="X1061" s="14">
        <v>0.16795760220112901</v>
      </c>
      <c r="Y1061" s="14">
        <v>9.7070751650112502E-2</v>
      </c>
      <c r="Z1061" s="14">
        <v>4.9643648201926599E-2</v>
      </c>
      <c r="AA1061" s="14"/>
      <c r="AB1061" s="14">
        <v>0.154170794451192</v>
      </c>
      <c r="AC1061" s="14">
        <v>5.3476536670407603E-2</v>
      </c>
      <c r="AD1061" s="14">
        <v>5.7460146530387203E-2</v>
      </c>
      <c r="AE1061" s="14">
        <v>8.3089148237753194E-2</v>
      </c>
      <c r="AF1061" s="14"/>
      <c r="AG1061" s="14">
        <v>3.57769496996116E-2</v>
      </c>
      <c r="AH1061" s="14">
        <v>0.115447462695783</v>
      </c>
      <c r="AI1061" s="14"/>
      <c r="AJ1061" s="14">
        <v>6.0196346498244603E-2</v>
      </c>
      <c r="AK1061" s="14">
        <v>8.6771418525718E-2</v>
      </c>
      <c r="AL1061" s="14"/>
      <c r="AM1061" s="14">
        <v>3.12878385219027E-2</v>
      </c>
      <c r="AN1061" s="14">
        <v>0.26392343708973398</v>
      </c>
    </row>
    <row r="1062" spans="2:40" x14ac:dyDescent="0.35">
      <c r="B1062" t="s">
        <v>70</v>
      </c>
      <c r="C1062" s="14">
        <v>7.1594030064345698E-3</v>
      </c>
      <c r="D1062" s="14">
        <v>5.9977452065539697E-3</v>
      </c>
      <c r="E1062" s="14">
        <v>8.3481336875984805E-3</v>
      </c>
      <c r="F1062" s="14"/>
      <c r="G1062" s="14" t="s">
        <v>76</v>
      </c>
      <c r="H1062" s="14" t="s">
        <v>76</v>
      </c>
      <c r="I1062" s="14">
        <v>7.1594030064345698E-3</v>
      </c>
      <c r="J1062" s="14"/>
      <c r="K1062" s="14" t="s">
        <v>76</v>
      </c>
      <c r="L1062" s="14">
        <v>9.6504273489769303E-3</v>
      </c>
      <c r="M1062" s="14">
        <v>3.2535774076463899E-3</v>
      </c>
      <c r="N1062" s="14"/>
      <c r="O1062" s="14">
        <v>9.0189438295405593E-3</v>
      </c>
      <c r="P1062" s="14">
        <v>0</v>
      </c>
      <c r="Q1062" s="14"/>
      <c r="R1062" s="14">
        <v>0</v>
      </c>
      <c r="S1062" s="14">
        <v>7.4583580566369096E-3</v>
      </c>
      <c r="T1062" s="14">
        <v>0</v>
      </c>
      <c r="U1062" s="14">
        <v>1.51852042797786E-2</v>
      </c>
      <c r="V1062" s="14">
        <v>1.92737099869577E-2</v>
      </c>
      <c r="W1062" s="14">
        <v>0</v>
      </c>
      <c r="X1062" s="14">
        <v>0</v>
      </c>
      <c r="Y1062" s="14">
        <v>3.5665958350483903E-2</v>
      </c>
      <c r="Z1062" s="14">
        <v>8.5202459191906898E-3</v>
      </c>
      <c r="AA1062" s="14"/>
      <c r="AB1062" s="14">
        <v>1.35128426479359E-2</v>
      </c>
      <c r="AC1062" s="14">
        <v>8.7114070223246395E-3</v>
      </c>
      <c r="AD1062" s="14">
        <v>6.1006219714428902E-3</v>
      </c>
      <c r="AE1062" s="14">
        <v>0</v>
      </c>
      <c r="AF1062" s="14"/>
      <c r="AG1062" s="14">
        <v>0</v>
      </c>
      <c r="AH1062" s="14">
        <v>0</v>
      </c>
      <c r="AI1062" s="14"/>
      <c r="AJ1062" s="14">
        <v>0</v>
      </c>
      <c r="AK1062" s="14">
        <v>7.6871072561126097E-3</v>
      </c>
      <c r="AL1062" s="14"/>
      <c r="AM1062" s="14">
        <v>5.5128386857754199E-3</v>
      </c>
      <c r="AN1062" s="14">
        <v>1.2549732099841801E-2</v>
      </c>
    </row>
    <row r="1063" spans="2:40" x14ac:dyDescent="0.35">
      <c r="C1063" s="14"/>
      <c r="D1063" s="14"/>
      <c r="E1063" s="14"/>
      <c r="F1063" s="14"/>
      <c r="G1063" s="14"/>
      <c r="H1063" s="14"/>
      <c r="I1063" s="14"/>
      <c r="J1063" s="14"/>
      <c r="K1063" s="14"/>
      <c r="L1063" s="14"/>
      <c r="M1063" s="14"/>
      <c r="N1063" s="14"/>
      <c r="O1063" s="14"/>
      <c r="P1063" s="14"/>
      <c r="Q1063" s="14"/>
      <c r="R1063" s="14"/>
      <c r="S1063" s="14"/>
      <c r="T1063" s="14"/>
      <c r="U1063" s="14"/>
      <c r="V1063" s="14"/>
      <c r="W1063" s="14"/>
      <c r="X1063" s="14"/>
      <c r="Y1063" s="14"/>
      <c r="Z1063" s="14"/>
      <c r="AA1063" s="14"/>
      <c r="AB1063" s="14"/>
      <c r="AC1063" s="14"/>
      <c r="AD1063" s="14"/>
      <c r="AE1063" s="14"/>
      <c r="AF1063" s="14"/>
      <c r="AG1063" s="14"/>
      <c r="AH1063" s="14"/>
      <c r="AI1063" s="14"/>
      <c r="AJ1063" s="14"/>
      <c r="AK1063" s="14"/>
      <c r="AL1063" s="14"/>
      <c r="AM1063" s="14"/>
      <c r="AN1063" s="14"/>
    </row>
    <row r="1064" spans="2:40" x14ac:dyDescent="0.35">
      <c r="B1064" s="6" t="s">
        <v>287</v>
      </c>
      <c r="C1064" s="14"/>
      <c r="D1064" s="14"/>
      <c r="E1064" s="14"/>
      <c r="F1064" s="14"/>
      <c r="G1064" s="14"/>
      <c r="H1064" s="14"/>
      <c r="I1064" s="14"/>
      <c r="J1064" s="14"/>
      <c r="K1064" s="14"/>
      <c r="L1064" s="14"/>
      <c r="M1064" s="14"/>
      <c r="N1064" s="14"/>
      <c r="O1064" s="14"/>
      <c r="P1064" s="14"/>
      <c r="Q1064" s="14"/>
      <c r="R1064" s="14"/>
      <c r="S1064" s="14"/>
      <c r="T1064" s="14"/>
      <c r="U1064" s="14"/>
      <c r="V1064" s="14"/>
      <c r="W1064" s="14"/>
      <c r="X1064" s="14"/>
      <c r="Y1064" s="14"/>
      <c r="Z1064" s="14"/>
      <c r="AA1064" s="14"/>
      <c r="AB1064" s="14"/>
      <c r="AC1064" s="14"/>
      <c r="AD1064" s="14"/>
      <c r="AE1064" s="14"/>
      <c r="AF1064" s="14"/>
      <c r="AG1064" s="14"/>
      <c r="AH1064" s="14"/>
      <c r="AI1064" s="14"/>
      <c r="AJ1064" s="14"/>
      <c r="AK1064" s="14"/>
      <c r="AL1064" s="14"/>
      <c r="AM1064" s="14"/>
      <c r="AN1064" s="14"/>
    </row>
    <row r="1065" spans="2:40" x14ac:dyDescent="0.35">
      <c r="B1065" s="26" t="s">
        <v>395</v>
      </c>
      <c r="C1065" s="14"/>
      <c r="D1065" s="14"/>
      <c r="E1065" s="14"/>
      <c r="F1065" s="14"/>
      <c r="G1065" s="14"/>
      <c r="H1065" s="14"/>
      <c r="I1065" s="14"/>
      <c r="J1065" s="14"/>
      <c r="K1065" s="14"/>
      <c r="L1065" s="14"/>
      <c r="M1065" s="14"/>
      <c r="N1065" s="14"/>
      <c r="O1065" s="14"/>
      <c r="P1065" s="14"/>
      <c r="Q1065" s="14"/>
      <c r="R1065" s="14"/>
      <c r="S1065" s="14"/>
      <c r="T1065" s="14"/>
      <c r="U1065" s="14"/>
      <c r="V1065" s="14"/>
      <c r="W1065" s="14"/>
      <c r="X1065" s="14"/>
      <c r="Y1065" s="14"/>
      <c r="Z1065" s="14"/>
      <c r="AA1065" s="14"/>
      <c r="AB1065" s="14"/>
      <c r="AC1065" s="14"/>
      <c r="AD1065" s="14"/>
      <c r="AE1065" s="14"/>
      <c r="AF1065" s="14"/>
      <c r="AG1065" s="14"/>
      <c r="AH1065" s="14"/>
      <c r="AI1065" s="14"/>
      <c r="AJ1065" s="14"/>
      <c r="AK1065" s="14"/>
      <c r="AL1065" s="14"/>
      <c r="AM1065" s="14"/>
      <c r="AN1065" s="14"/>
    </row>
    <row r="1066" spans="2:40" x14ac:dyDescent="0.35">
      <c r="B1066" t="s">
        <v>242</v>
      </c>
      <c r="C1066" s="14">
        <v>0.47392866637584902</v>
      </c>
      <c r="D1066" s="14">
        <v>0.47375137581369198</v>
      </c>
      <c r="E1066" s="14">
        <v>0.47548612517276101</v>
      </c>
      <c r="F1066" s="14"/>
      <c r="G1066" s="14" t="s">
        <v>76</v>
      </c>
      <c r="H1066" s="14" t="s">
        <v>76</v>
      </c>
      <c r="I1066" s="14">
        <v>0.47392866637584902</v>
      </c>
      <c r="J1066" s="14"/>
      <c r="K1066" s="14" t="s">
        <v>76</v>
      </c>
      <c r="L1066" s="14">
        <v>0.46764728426206098</v>
      </c>
      <c r="M1066" s="14">
        <v>0.483777619931542</v>
      </c>
      <c r="N1066" s="14"/>
      <c r="O1066" s="14">
        <v>0.43932341207847803</v>
      </c>
      <c r="P1066" s="14">
        <v>0.64299852148423697</v>
      </c>
      <c r="Q1066" s="14"/>
      <c r="R1066" s="14">
        <v>0.48236128895015801</v>
      </c>
      <c r="S1066" s="14">
        <v>0.50582536285018698</v>
      </c>
      <c r="T1066" s="14">
        <v>0.54202443702013403</v>
      </c>
      <c r="U1066" s="14">
        <v>0.37280894878556697</v>
      </c>
      <c r="V1066" s="14">
        <v>0.44133494773432402</v>
      </c>
      <c r="W1066" s="14">
        <v>0.38411846930786803</v>
      </c>
      <c r="X1066" s="14">
        <v>0.62538772241709095</v>
      </c>
      <c r="Y1066" s="14">
        <v>0.40446663098193503</v>
      </c>
      <c r="Z1066" s="14">
        <v>0.48032473419615201</v>
      </c>
      <c r="AA1066" s="14"/>
      <c r="AB1066" s="14">
        <v>0.45797998428608899</v>
      </c>
      <c r="AC1066" s="14">
        <v>0.56670781969718098</v>
      </c>
      <c r="AD1066" s="14">
        <v>0.43129877894204199</v>
      </c>
      <c r="AE1066" s="14">
        <v>0.54985771821099005</v>
      </c>
      <c r="AF1066" s="14"/>
      <c r="AG1066" s="14">
        <v>0.60242560707540604</v>
      </c>
      <c r="AH1066" s="14">
        <v>0.58558067678492798</v>
      </c>
      <c r="AI1066" s="14"/>
      <c r="AJ1066" s="14">
        <v>0.597262554631797</v>
      </c>
      <c r="AK1066" s="14">
        <v>0.33740530736934998</v>
      </c>
      <c r="AL1066" s="14"/>
      <c r="AM1066" s="14">
        <v>0.54627429028419505</v>
      </c>
      <c r="AN1066" s="14">
        <v>0.35030132338772801</v>
      </c>
    </row>
    <row r="1067" spans="2:40" x14ac:dyDescent="0.35">
      <c r="B1067" t="s">
        <v>243</v>
      </c>
      <c r="C1067" s="14">
        <v>0.441715378364403</v>
      </c>
      <c r="D1067" s="14">
        <v>0.44379277781075599</v>
      </c>
      <c r="E1067" s="14">
        <v>0.43800211692222901</v>
      </c>
      <c r="F1067" s="14"/>
      <c r="G1067" s="14" t="s">
        <v>76</v>
      </c>
      <c r="H1067" s="14" t="s">
        <v>76</v>
      </c>
      <c r="I1067" s="14">
        <v>0.441715378364403</v>
      </c>
      <c r="J1067" s="14"/>
      <c r="K1067" s="14" t="s">
        <v>76</v>
      </c>
      <c r="L1067" s="14">
        <v>0.43479196753932398</v>
      </c>
      <c r="M1067" s="14">
        <v>0.45257100701872799</v>
      </c>
      <c r="N1067" s="14"/>
      <c r="O1067" s="14">
        <v>0.47207419742866402</v>
      </c>
      <c r="P1067" s="14">
        <v>0.28235674113227099</v>
      </c>
      <c r="Q1067" s="14"/>
      <c r="R1067" s="14">
        <v>0.41646228002188901</v>
      </c>
      <c r="S1067" s="14">
        <v>0.41009421537658602</v>
      </c>
      <c r="T1067" s="14">
        <v>0.36153217757763501</v>
      </c>
      <c r="U1067" s="14">
        <v>0.55675627455810095</v>
      </c>
      <c r="V1067" s="14">
        <v>0.48445099045117201</v>
      </c>
      <c r="W1067" s="14">
        <v>0.49398188136302401</v>
      </c>
      <c r="X1067" s="14">
        <v>0.29120471700308498</v>
      </c>
      <c r="Y1067" s="14">
        <v>0.56171787984266397</v>
      </c>
      <c r="Z1067" s="14">
        <v>0.460400638917349</v>
      </c>
      <c r="AA1067" s="14"/>
      <c r="AB1067" s="14">
        <v>0.44339912628913503</v>
      </c>
      <c r="AC1067" s="14">
        <v>0.38473809135426101</v>
      </c>
      <c r="AD1067" s="14">
        <v>0.53587332636848695</v>
      </c>
      <c r="AE1067" s="14">
        <v>0.397762040137836</v>
      </c>
      <c r="AF1067" s="14"/>
      <c r="AG1067" s="14">
        <v>0.36648736758662398</v>
      </c>
      <c r="AH1067" s="14">
        <v>0.370938564845602</v>
      </c>
      <c r="AI1067" s="14"/>
      <c r="AJ1067" s="14">
        <v>0.36785168103219201</v>
      </c>
      <c r="AK1067" s="14">
        <v>0.57606614068446105</v>
      </c>
      <c r="AL1067" s="14"/>
      <c r="AM1067" s="14">
        <v>0.39248895376693499</v>
      </c>
      <c r="AN1067" s="14">
        <v>0.53988486814398795</v>
      </c>
    </row>
    <row r="1068" spans="2:40" x14ac:dyDescent="0.35">
      <c r="B1068" t="s">
        <v>244</v>
      </c>
      <c r="C1068" s="14">
        <v>6.6984481174400395E-2</v>
      </c>
      <c r="D1068" s="14">
        <v>6.5950958447340002E-2</v>
      </c>
      <c r="E1068" s="14">
        <v>6.8218490294108106E-2</v>
      </c>
      <c r="F1068" s="14"/>
      <c r="G1068" s="14" t="s">
        <v>76</v>
      </c>
      <c r="H1068" s="14" t="s">
        <v>76</v>
      </c>
      <c r="I1068" s="14">
        <v>6.6984481174400395E-2</v>
      </c>
      <c r="J1068" s="14"/>
      <c r="K1068" s="14" t="s">
        <v>76</v>
      </c>
      <c r="L1068" s="14">
        <v>7.5036861273360803E-2</v>
      </c>
      <c r="M1068" s="14">
        <v>5.43586742785944E-2</v>
      </c>
      <c r="N1068" s="14"/>
      <c r="O1068" s="14">
        <v>6.67189528834288E-2</v>
      </c>
      <c r="P1068" s="14">
        <v>7.4644737383492005E-2</v>
      </c>
      <c r="Q1068" s="14"/>
      <c r="R1068" s="14">
        <v>8.1952474690432806E-2</v>
      </c>
      <c r="S1068" s="14">
        <v>6.8444112024184198E-2</v>
      </c>
      <c r="T1068" s="14">
        <v>9.6443385402230505E-2</v>
      </c>
      <c r="U1068" s="14">
        <v>2.7666291117696199E-2</v>
      </c>
      <c r="V1068" s="14">
        <v>3.6547449358819699E-2</v>
      </c>
      <c r="W1068" s="14">
        <v>9.9461707540276806E-2</v>
      </c>
      <c r="X1068" s="14">
        <v>8.3407560579824097E-2</v>
      </c>
      <c r="Y1068" s="14">
        <v>3.3815489175401198E-2</v>
      </c>
      <c r="Z1068" s="14">
        <v>5.0754380967308797E-2</v>
      </c>
      <c r="AA1068" s="14"/>
      <c r="AB1068" s="14">
        <v>9.8620889424776495E-2</v>
      </c>
      <c r="AC1068" s="14">
        <v>3.1544908842562697E-2</v>
      </c>
      <c r="AD1068" s="14">
        <v>3.28278946894709E-2</v>
      </c>
      <c r="AE1068" s="14">
        <v>5.2380241651173803E-2</v>
      </c>
      <c r="AF1068" s="14"/>
      <c r="AG1068" s="14">
        <v>3.1087025337970201E-2</v>
      </c>
      <c r="AH1068" s="14">
        <v>4.3480758369470199E-2</v>
      </c>
      <c r="AI1068" s="14"/>
      <c r="AJ1068" s="14">
        <v>3.48857643360116E-2</v>
      </c>
      <c r="AK1068" s="14">
        <v>8.65285519461894E-2</v>
      </c>
      <c r="AL1068" s="14"/>
      <c r="AM1068" s="14">
        <v>5.22918820709651E-2</v>
      </c>
      <c r="AN1068" s="14">
        <v>7.2743407173778099E-2</v>
      </c>
    </row>
    <row r="1069" spans="2:40" x14ac:dyDescent="0.35">
      <c r="B1069" t="s">
        <v>245</v>
      </c>
      <c r="C1069" s="14">
        <v>5.7177381338484696E-3</v>
      </c>
      <c r="D1069" s="14">
        <v>3.0648496973827298E-3</v>
      </c>
      <c r="E1069" s="14">
        <v>8.4015114109922302E-3</v>
      </c>
      <c r="F1069" s="14"/>
      <c r="G1069" s="14" t="s">
        <v>76</v>
      </c>
      <c r="H1069" s="14" t="s">
        <v>76</v>
      </c>
      <c r="I1069" s="14">
        <v>5.7177381338484696E-3</v>
      </c>
      <c r="J1069" s="14"/>
      <c r="K1069" s="14" t="s">
        <v>76</v>
      </c>
      <c r="L1069" s="14">
        <v>9.3643486942683492E-3</v>
      </c>
      <c r="M1069" s="14">
        <v>0</v>
      </c>
      <c r="N1069" s="14"/>
      <c r="O1069" s="14">
        <v>7.2028294838067299E-3</v>
      </c>
      <c r="P1069" s="14">
        <v>0</v>
      </c>
      <c r="Q1069" s="14"/>
      <c r="R1069" s="14">
        <v>0</v>
      </c>
      <c r="S1069" s="14">
        <v>0</v>
      </c>
      <c r="T1069" s="14">
        <v>0</v>
      </c>
      <c r="U1069" s="14">
        <v>2.7583281258857499E-2</v>
      </c>
      <c r="V1069" s="14">
        <v>1.9392887776274199E-2</v>
      </c>
      <c r="W1069" s="14">
        <v>1.12189708944153E-2</v>
      </c>
      <c r="X1069" s="14">
        <v>0</v>
      </c>
      <c r="Y1069" s="14">
        <v>0</v>
      </c>
      <c r="Z1069" s="14">
        <v>0</v>
      </c>
      <c r="AA1069" s="14"/>
      <c r="AB1069" s="14">
        <v>0</v>
      </c>
      <c r="AC1069" s="14">
        <v>0</v>
      </c>
      <c r="AD1069" s="14">
        <v>0</v>
      </c>
      <c r="AE1069" s="14">
        <v>0</v>
      </c>
      <c r="AF1069" s="14"/>
      <c r="AG1069" s="14">
        <v>0</v>
      </c>
      <c r="AH1069" s="14">
        <v>0</v>
      </c>
      <c r="AI1069" s="14"/>
      <c r="AJ1069" s="14">
        <v>0</v>
      </c>
      <c r="AK1069" s="14">
        <v>0</v>
      </c>
      <c r="AL1069" s="14"/>
      <c r="AM1069" s="14">
        <v>1.86007638638865E-3</v>
      </c>
      <c r="AN1069" s="14">
        <v>1.42141546034501E-2</v>
      </c>
    </row>
    <row r="1070" spans="2:40" x14ac:dyDescent="0.35">
      <c r="B1070" t="s">
        <v>70</v>
      </c>
      <c r="C1070" s="14">
        <v>1.1653735951499201E-2</v>
      </c>
      <c r="D1070" s="14">
        <v>1.34400382308294E-2</v>
      </c>
      <c r="E1070" s="14">
        <v>9.8917561999104196E-3</v>
      </c>
      <c r="F1070" s="14"/>
      <c r="G1070" s="14" t="s">
        <v>76</v>
      </c>
      <c r="H1070" s="14" t="s">
        <v>76</v>
      </c>
      <c r="I1070" s="14">
        <v>1.1653735951499201E-2</v>
      </c>
      <c r="J1070" s="14"/>
      <c r="K1070" s="14" t="s">
        <v>76</v>
      </c>
      <c r="L1070" s="14">
        <v>1.31595382309861E-2</v>
      </c>
      <c r="M1070" s="14">
        <v>9.2926987711354995E-3</v>
      </c>
      <c r="N1070" s="14"/>
      <c r="O1070" s="14">
        <v>1.4680608125622399E-2</v>
      </c>
      <c r="P1070" s="14">
        <v>0</v>
      </c>
      <c r="Q1070" s="14"/>
      <c r="R1070" s="14">
        <v>1.9223956337519801E-2</v>
      </c>
      <c r="S1070" s="14">
        <v>1.5636309749043099E-2</v>
      </c>
      <c r="T1070" s="14">
        <v>0</v>
      </c>
      <c r="U1070" s="14">
        <v>1.51852042797786E-2</v>
      </c>
      <c r="V1070" s="14">
        <v>1.8273724679409801E-2</v>
      </c>
      <c r="W1070" s="14">
        <v>1.12189708944153E-2</v>
      </c>
      <c r="X1070" s="14">
        <v>0</v>
      </c>
      <c r="Y1070" s="14">
        <v>0</v>
      </c>
      <c r="Z1070" s="14">
        <v>8.5202459191906898E-3</v>
      </c>
      <c r="AA1070" s="14"/>
      <c r="AB1070" s="14">
        <v>0</v>
      </c>
      <c r="AC1070" s="14">
        <v>1.7009180105995201E-2</v>
      </c>
      <c r="AD1070" s="14">
        <v>0</v>
      </c>
      <c r="AE1070" s="14">
        <v>0</v>
      </c>
      <c r="AF1070" s="14"/>
      <c r="AG1070" s="14">
        <v>0</v>
      </c>
      <c r="AH1070" s="14">
        <v>0</v>
      </c>
      <c r="AI1070" s="14"/>
      <c r="AJ1070" s="14">
        <v>0</v>
      </c>
      <c r="AK1070" s="14">
        <v>0</v>
      </c>
      <c r="AL1070" s="14"/>
      <c r="AM1070" s="14">
        <v>7.0847974915158101E-3</v>
      </c>
      <c r="AN1070" s="14">
        <v>2.2856246691056299E-2</v>
      </c>
    </row>
    <row r="1071" spans="2:40" x14ac:dyDescent="0.35">
      <c r="C1071" s="14"/>
      <c r="D1071" s="14"/>
      <c r="E1071" s="14"/>
      <c r="F1071" s="14"/>
      <c r="G1071" s="14"/>
      <c r="H1071" s="14"/>
      <c r="I1071" s="14"/>
      <c r="J1071" s="14"/>
      <c r="K1071" s="14"/>
      <c r="L1071" s="14"/>
      <c r="M1071" s="14"/>
      <c r="N1071" s="14"/>
      <c r="O1071" s="14"/>
      <c r="P1071" s="14"/>
      <c r="Q1071" s="14"/>
      <c r="R1071" s="14"/>
      <c r="S1071" s="14"/>
      <c r="T1071" s="14"/>
      <c r="U1071" s="14"/>
      <c r="V1071" s="14"/>
      <c r="W1071" s="14"/>
      <c r="X1071" s="14"/>
      <c r="Y1071" s="14"/>
      <c r="Z1071" s="14"/>
      <c r="AA1071" s="14"/>
      <c r="AB1071" s="14"/>
      <c r="AC1071" s="14"/>
      <c r="AD1071" s="14"/>
      <c r="AE1071" s="14"/>
      <c r="AF1071" s="14"/>
      <c r="AG1071" s="14"/>
      <c r="AH1071" s="14"/>
      <c r="AI1071" s="14"/>
      <c r="AJ1071" s="14"/>
      <c r="AK1071" s="14"/>
      <c r="AL1071" s="14"/>
      <c r="AM1071" s="14"/>
      <c r="AN1071" s="14"/>
    </row>
    <row r="1072" spans="2:40" x14ac:dyDescent="0.35">
      <c r="B1072" s="6" t="s">
        <v>288</v>
      </c>
      <c r="C1072" s="14"/>
      <c r="D1072" s="14"/>
      <c r="E1072" s="14"/>
      <c r="F1072" s="14"/>
      <c r="G1072" s="14"/>
      <c r="H1072" s="14"/>
      <c r="I1072" s="14"/>
      <c r="J1072" s="14"/>
      <c r="K1072" s="14"/>
      <c r="L1072" s="14"/>
      <c r="M1072" s="14"/>
      <c r="N1072" s="14"/>
      <c r="O1072" s="14"/>
      <c r="P1072" s="14"/>
      <c r="Q1072" s="14"/>
      <c r="R1072" s="14"/>
      <c r="S1072" s="14"/>
      <c r="T1072" s="14"/>
      <c r="U1072" s="14"/>
      <c r="V1072" s="14"/>
      <c r="W1072" s="14"/>
      <c r="X1072" s="14"/>
      <c r="Y1072" s="14"/>
      <c r="Z1072" s="14"/>
      <c r="AA1072" s="14"/>
      <c r="AB1072" s="14"/>
      <c r="AC1072" s="14"/>
      <c r="AD1072" s="14"/>
      <c r="AE1072" s="14"/>
      <c r="AF1072" s="14"/>
      <c r="AG1072" s="14"/>
      <c r="AH1072" s="14"/>
      <c r="AI1072" s="14"/>
      <c r="AJ1072" s="14"/>
      <c r="AK1072" s="14"/>
      <c r="AL1072" s="14"/>
      <c r="AM1072" s="14"/>
      <c r="AN1072" s="14"/>
    </row>
    <row r="1073" spans="2:40" x14ac:dyDescent="0.35">
      <c r="B1073" s="24" t="s">
        <v>74</v>
      </c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  <c r="AA1073" s="14"/>
      <c r="AB1073" s="14"/>
      <c r="AC1073" s="14"/>
      <c r="AD1073" s="14"/>
      <c r="AE1073" s="14"/>
      <c r="AF1073" s="14"/>
      <c r="AG1073" s="14"/>
      <c r="AH1073" s="14"/>
      <c r="AI1073" s="14"/>
      <c r="AJ1073" s="14"/>
      <c r="AK1073" s="14"/>
      <c r="AL1073" s="14"/>
      <c r="AM1073" s="14"/>
      <c r="AN1073" s="14"/>
    </row>
    <row r="1074" spans="2:40" x14ac:dyDescent="0.35">
      <c r="B1074" t="s">
        <v>44</v>
      </c>
      <c r="C1074" s="14">
        <v>0.43963449940087501</v>
      </c>
      <c r="D1074" s="14">
        <v>0.49594268242963202</v>
      </c>
      <c r="E1074" s="14">
        <v>0.38600657694207202</v>
      </c>
      <c r="F1074" s="14"/>
      <c r="G1074" s="14" t="s">
        <v>76</v>
      </c>
      <c r="H1074" s="14" t="s">
        <v>76</v>
      </c>
      <c r="I1074" s="14">
        <v>0.43963449940087501</v>
      </c>
      <c r="J1074" s="14"/>
      <c r="K1074" s="14" t="s">
        <v>76</v>
      </c>
      <c r="L1074" s="14">
        <v>0.44544610970315202</v>
      </c>
      <c r="M1074" s="14">
        <v>0.428582354515051</v>
      </c>
      <c r="N1074" s="14"/>
      <c r="O1074" s="14">
        <v>0.43529036545820199</v>
      </c>
      <c r="P1074" s="14">
        <v>0.49065782606359398</v>
      </c>
      <c r="Q1074" s="14"/>
      <c r="R1074" s="14">
        <v>0.48556773182554003</v>
      </c>
      <c r="S1074" s="14">
        <v>0.45406551290285402</v>
      </c>
      <c r="T1074" s="14">
        <v>0.414771750510044</v>
      </c>
      <c r="U1074" s="14">
        <v>0.480384043869165</v>
      </c>
      <c r="V1074" s="14">
        <v>0.41284687458041502</v>
      </c>
      <c r="W1074" s="14">
        <v>0.39643941529263099</v>
      </c>
      <c r="X1074" s="14">
        <v>0.439942028201045</v>
      </c>
      <c r="Y1074" s="14">
        <v>0.42492002249114802</v>
      </c>
      <c r="Z1074" s="14">
        <v>0.40693013593680799</v>
      </c>
      <c r="AA1074" s="14"/>
      <c r="AB1074" s="14">
        <v>0.50138844279411898</v>
      </c>
      <c r="AC1074" s="14">
        <v>0.50562899505820602</v>
      </c>
      <c r="AD1074" s="14">
        <v>0.38936504431688401</v>
      </c>
      <c r="AE1074" s="14">
        <v>0.47828294155607598</v>
      </c>
      <c r="AF1074" s="14"/>
      <c r="AG1074" s="14">
        <v>0.50691903818702799</v>
      </c>
      <c r="AH1074" s="14">
        <v>0.43237023444365702</v>
      </c>
      <c r="AI1074" s="14"/>
      <c r="AJ1074" s="14">
        <v>0.48086423602853501</v>
      </c>
      <c r="AK1074" s="14">
        <v>0.38026292179986798</v>
      </c>
      <c r="AL1074" s="14"/>
      <c r="AM1074" s="14">
        <v>0.54128827859837803</v>
      </c>
      <c r="AN1074" s="14">
        <v>0.28169611556701601</v>
      </c>
    </row>
    <row r="1075" spans="2:40" x14ac:dyDescent="0.35">
      <c r="B1075" t="s">
        <v>45</v>
      </c>
      <c r="C1075" s="14">
        <v>0.48282626948201901</v>
      </c>
      <c r="D1075" s="14">
        <v>0.44192897450480101</v>
      </c>
      <c r="E1075" s="14">
        <v>0.52170987139672598</v>
      </c>
      <c r="F1075" s="14"/>
      <c r="G1075" s="14" t="s">
        <v>76</v>
      </c>
      <c r="H1075" s="14" t="s">
        <v>76</v>
      </c>
      <c r="I1075" s="14">
        <v>0.48282626948201901</v>
      </c>
      <c r="J1075" s="14"/>
      <c r="K1075" s="14" t="s">
        <v>76</v>
      </c>
      <c r="L1075" s="14">
        <v>0.469751614161461</v>
      </c>
      <c r="M1075" s="14">
        <v>0.50769080399466304</v>
      </c>
      <c r="N1075" s="14"/>
      <c r="O1075" s="14">
        <v>0.486411162791</v>
      </c>
      <c r="P1075" s="14">
        <v>0.47326385387206699</v>
      </c>
      <c r="Q1075" s="14"/>
      <c r="R1075" s="14">
        <v>0.46313545380651</v>
      </c>
      <c r="S1075" s="14">
        <v>0.49434142030478501</v>
      </c>
      <c r="T1075" s="14">
        <v>0.47551013822964699</v>
      </c>
      <c r="U1075" s="14">
        <v>0.43393535384611098</v>
      </c>
      <c r="V1075" s="14">
        <v>0.51044606910627799</v>
      </c>
      <c r="W1075" s="14">
        <v>0.47741517361213198</v>
      </c>
      <c r="X1075" s="14">
        <v>0.46306083875682202</v>
      </c>
      <c r="Y1075" s="14">
        <v>0.53724698450831998</v>
      </c>
      <c r="Z1075" s="14">
        <v>0.51246844633864697</v>
      </c>
      <c r="AA1075" s="14"/>
      <c r="AB1075" s="14">
        <v>0.41482200160378702</v>
      </c>
      <c r="AC1075" s="14">
        <v>0.45066977442565498</v>
      </c>
      <c r="AD1075" s="14">
        <v>0.51534989954074095</v>
      </c>
      <c r="AE1075" s="14">
        <v>0.52171705844392402</v>
      </c>
      <c r="AF1075" s="14"/>
      <c r="AG1075" s="14">
        <v>0.46788531059152899</v>
      </c>
      <c r="AH1075" s="14">
        <v>0.46190896576906199</v>
      </c>
      <c r="AI1075" s="14"/>
      <c r="AJ1075" s="14">
        <v>0.46579657845685501</v>
      </c>
      <c r="AK1075" s="14">
        <v>0.55152449070637799</v>
      </c>
      <c r="AL1075" s="14"/>
      <c r="AM1075" s="14">
        <v>0.412258706488773</v>
      </c>
      <c r="AN1075" s="14">
        <v>0.59420141113801594</v>
      </c>
    </row>
    <row r="1076" spans="2:40" x14ac:dyDescent="0.35">
      <c r="B1076" t="s">
        <v>70</v>
      </c>
      <c r="C1076" s="14">
        <v>7.7539231117106699E-2</v>
      </c>
      <c r="D1076" s="14">
        <v>6.21283430655672E-2</v>
      </c>
      <c r="E1076" s="14">
        <v>9.2283551661201793E-2</v>
      </c>
      <c r="F1076" s="14"/>
      <c r="G1076" s="14" t="s">
        <v>76</v>
      </c>
      <c r="H1076" s="14" t="s">
        <v>76</v>
      </c>
      <c r="I1076" s="14">
        <v>7.7539231117106699E-2</v>
      </c>
      <c r="J1076" s="14"/>
      <c r="K1076" s="14" t="s">
        <v>76</v>
      </c>
      <c r="L1076" s="14">
        <v>8.4802276135387405E-2</v>
      </c>
      <c r="M1076" s="14">
        <v>6.3726841490285804E-2</v>
      </c>
      <c r="N1076" s="14"/>
      <c r="O1076" s="14">
        <v>7.8298471750797904E-2</v>
      </c>
      <c r="P1076" s="14">
        <v>3.6078320064338802E-2</v>
      </c>
      <c r="Q1076" s="14"/>
      <c r="R1076" s="14">
        <v>5.129681436795E-2</v>
      </c>
      <c r="S1076" s="14">
        <v>5.1593066792361503E-2</v>
      </c>
      <c r="T1076" s="14">
        <v>0.109718111260309</v>
      </c>
      <c r="U1076" s="14">
        <v>8.5680602284724003E-2</v>
      </c>
      <c r="V1076" s="14">
        <v>7.6707056313307195E-2</v>
      </c>
      <c r="W1076" s="14">
        <v>0.126145411095237</v>
      </c>
      <c r="X1076" s="14">
        <v>9.6997133042132699E-2</v>
      </c>
      <c r="Y1076" s="14">
        <v>3.7832993000532E-2</v>
      </c>
      <c r="Z1076" s="14">
        <v>8.0601417724544794E-2</v>
      </c>
      <c r="AA1076" s="14"/>
      <c r="AB1076" s="14">
        <v>8.3789555602094307E-2</v>
      </c>
      <c r="AC1076" s="14">
        <v>4.3701230516137897E-2</v>
      </c>
      <c r="AD1076" s="14">
        <v>9.5285056142375299E-2</v>
      </c>
      <c r="AE1076" s="14">
        <v>0</v>
      </c>
      <c r="AF1076" s="14"/>
      <c r="AG1076" s="14">
        <v>2.51956512214426E-2</v>
      </c>
      <c r="AH1076" s="14">
        <v>0.10572079978728</v>
      </c>
      <c r="AI1076" s="14"/>
      <c r="AJ1076" s="14">
        <v>5.3339185514610601E-2</v>
      </c>
      <c r="AK1076" s="14">
        <v>6.8212587493753696E-2</v>
      </c>
      <c r="AL1076" s="14"/>
      <c r="AM1076" s="14">
        <v>4.64530149128492E-2</v>
      </c>
      <c r="AN1076" s="14">
        <v>0.124102473294969</v>
      </c>
    </row>
    <row r="1077" spans="2:40" x14ac:dyDescent="0.35">
      <c r="C1077" s="14"/>
      <c r="D1077" s="14"/>
      <c r="E1077" s="14"/>
      <c r="F1077" s="14"/>
      <c r="G1077" s="14"/>
      <c r="H1077" s="14"/>
      <c r="I1077" s="14"/>
      <c r="J1077" s="14"/>
      <c r="K1077" s="14"/>
      <c r="L1077" s="14"/>
      <c r="M1077" s="14"/>
      <c r="N1077" s="14"/>
      <c r="O1077" s="14"/>
      <c r="P1077" s="14"/>
      <c r="Q1077" s="14"/>
      <c r="R1077" s="14"/>
      <c r="S1077" s="14"/>
      <c r="T1077" s="14"/>
      <c r="U1077" s="14"/>
      <c r="V1077" s="14"/>
      <c r="W1077" s="14"/>
      <c r="X1077" s="14"/>
      <c r="Y1077" s="14"/>
      <c r="Z1077" s="14"/>
      <c r="AA1077" s="14"/>
      <c r="AB1077" s="14"/>
      <c r="AC1077" s="14"/>
      <c r="AD1077" s="14"/>
      <c r="AE1077" s="14"/>
      <c r="AF1077" s="14"/>
      <c r="AG1077" s="14"/>
      <c r="AH1077" s="14"/>
      <c r="AI1077" s="14"/>
      <c r="AJ1077" s="14"/>
      <c r="AK1077" s="14"/>
      <c r="AL1077" s="14"/>
      <c r="AM1077" s="14"/>
      <c r="AN1077" s="14"/>
    </row>
    <row r="1078" spans="2:40" x14ac:dyDescent="0.35">
      <c r="B1078" s="6" t="s">
        <v>289</v>
      </c>
      <c r="C1078" s="14"/>
      <c r="D1078" s="14"/>
      <c r="E1078" s="14"/>
      <c r="F1078" s="14"/>
      <c r="G1078" s="14"/>
      <c r="H1078" s="14"/>
      <c r="I1078" s="14"/>
      <c r="J1078" s="14"/>
      <c r="K1078" s="14"/>
      <c r="L1078" s="14"/>
      <c r="M1078" s="14"/>
      <c r="N1078" s="14"/>
      <c r="O1078" s="14"/>
      <c r="P1078" s="14"/>
      <c r="Q1078" s="14"/>
      <c r="R1078" s="14"/>
      <c r="S1078" s="14"/>
      <c r="T1078" s="14"/>
      <c r="U1078" s="14"/>
      <c r="V1078" s="14"/>
      <c r="W1078" s="14"/>
      <c r="X1078" s="14"/>
      <c r="Y1078" s="14"/>
      <c r="Z1078" s="14"/>
      <c r="AA1078" s="14"/>
      <c r="AB1078" s="14"/>
      <c r="AC1078" s="14"/>
      <c r="AD1078" s="14"/>
      <c r="AE1078" s="14"/>
      <c r="AF1078" s="14"/>
      <c r="AG1078" s="14"/>
      <c r="AH1078" s="14"/>
      <c r="AI1078" s="14"/>
      <c r="AJ1078" s="14"/>
      <c r="AK1078" s="14"/>
      <c r="AL1078" s="14"/>
      <c r="AM1078" s="14"/>
      <c r="AN1078" s="14"/>
    </row>
    <row r="1079" spans="2:40" x14ac:dyDescent="0.35">
      <c r="B1079" s="26" t="s">
        <v>395</v>
      </c>
      <c r="C1079" s="14"/>
      <c r="D1079" s="14"/>
      <c r="E1079" s="14"/>
      <c r="F1079" s="14"/>
      <c r="G1079" s="14"/>
      <c r="H1079" s="14"/>
      <c r="I1079" s="14"/>
      <c r="J1079" s="14"/>
      <c r="K1079" s="14"/>
      <c r="L1079" s="14"/>
      <c r="M1079" s="14"/>
      <c r="N1079" s="14"/>
      <c r="O1079" s="14"/>
      <c r="P1079" s="14"/>
      <c r="Q1079" s="14"/>
      <c r="R1079" s="14"/>
      <c r="S1079" s="14"/>
      <c r="T1079" s="14"/>
      <c r="U1079" s="14"/>
      <c r="V1079" s="14"/>
      <c r="W1079" s="14"/>
      <c r="X1079" s="14"/>
      <c r="Y1079" s="14"/>
      <c r="Z1079" s="14"/>
      <c r="AA1079" s="14"/>
      <c r="AB1079" s="14"/>
      <c r="AC1079" s="14"/>
      <c r="AD1079" s="14"/>
      <c r="AE1079" s="14"/>
      <c r="AF1079" s="14"/>
      <c r="AG1079" s="14"/>
      <c r="AH1079" s="14"/>
      <c r="AI1079" s="14"/>
      <c r="AJ1079" s="14"/>
      <c r="AK1079" s="14"/>
      <c r="AL1079" s="14"/>
      <c r="AM1079" s="14"/>
      <c r="AN1079" s="14"/>
    </row>
    <row r="1080" spans="2:40" x14ac:dyDescent="0.35">
      <c r="B1080" t="s">
        <v>155</v>
      </c>
      <c r="C1080" s="14">
        <v>0.171725824235924</v>
      </c>
      <c r="D1080" s="14">
        <v>0.191325408338752</v>
      </c>
      <c r="E1080" s="14">
        <v>0.151255409538715</v>
      </c>
      <c r="F1080" s="14"/>
      <c r="G1080" s="14" t="s">
        <v>76</v>
      </c>
      <c r="H1080" s="14" t="s">
        <v>76</v>
      </c>
      <c r="I1080" s="14">
        <v>0.171725824235924</v>
      </c>
      <c r="J1080" s="14"/>
      <c r="K1080" s="14" t="s">
        <v>76</v>
      </c>
      <c r="L1080" s="14">
        <v>0.17892652768328299</v>
      </c>
      <c r="M1080" s="14">
        <v>0.15749317016074799</v>
      </c>
      <c r="N1080" s="14"/>
      <c r="O1080" s="14">
        <v>0.14641219312386</v>
      </c>
      <c r="P1080" s="14">
        <v>0.30134562980617202</v>
      </c>
      <c r="Q1080" s="14"/>
      <c r="R1080" s="14">
        <v>0.23389078589467899</v>
      </c>
      <c r="S1080" s="14">
        <v>9.7046311684637995E-2</v>
      </c>
      <c r="T1080" s="14">
        <v>0.23344807144729299</v>
      </c>
      <c r="U1080" s="14">
        <v>0.189291606256526</v>
      </c>
      <c r="V1080" s="14">
        <v>0.1737221857697</v>
      </c>
      <c r="W1080" s="14">
        <v>0.141731092219848</v>
      </c>
      <c r="X1080" s="14">
        <v>0.12900411526272701</v>
      </c>
      <c r="Y1080" s="14">
        <v>0.181964050164095</v>
      </c>
      <c r="Z1080" s="14">
        <v>0.176564542028669</v>
      </c>
      <c r="AA1080" s="14"/>
      <c r="AB1080" s="14">
        <v>0.14497308237549</v>
      </c>
      <c r="AC1080" s="14">
        <v>0.27111332528450599</v>
      </c>
      <c r="AD1080" s="14">
        <v>0.13576164000680399</v>
      </c>
      <c r="AE1080" s="14">
        <v>0.13629467244844701</v>
      </c>
      <c r="AF1080" s="14"/>
      <c r="AG1080" s="14">
        <v>0.23172809817180301</v>
      </c>
      <c r="AH1080" s="14">
        <v>0.180754114974498</v>
      </c>
      <c r="AI1080" s="14"/>
      <c r="AJ1080" s="14">
        <v>0.21570933492213901</v>
      </c>
      <c r="AK1080" s="14">
        <v>8.0847347557702801E-2</v>
      </c>
      <c r="AL1080" s="14"/>
      <c r="AM1080" s="14">
        <v>0.22020647040146499</v>
      </c>
      <c r="AN1080" s="14">
        <v>9.7378436978867694E-2</v>
      </c>
    </row>
    <row r="1081" spans="2:40" x14ac:dyDescent="0.35">
      <c r="B1081" t="s">
        <v>156</v>
      </c>
      <c r="C1081" s="14">
        <v>0.48556982768970502</v>
      </c>
      <c r="D1081" s="14">
        <v>0.47336545667282298</v>
      </c>
      <c r="E1081" s="14">
        <v>0.50361560167303099</v>
      </c>
      <c r="F1081" s="14"/>
      <c r="G1081" s="14" t="s">
        <v>76</v>
      </c>
      <c r="H1081" s="14" t="s">
        <v>76</v>
      </c>
      <c r="I1081" s="14">
        <v>0.48556982768970502</v>
      </c>
      <c r="J1081" s="14"/>
      <c r="K1081" s="14" t="s">
        <v>76</v>
      </c>
      <c r="L1081" s="14">
        <v>0.46298257439186802</v>
      </c>
      <c r="M1081" s="14">
        <v>0.53021498840860903</v>
      </c>
      <c r="N1081" s="14"/>
      <c r="O1081" s="14">
        <v>0.478882263129079</v>
      </c>
      <c r="P1081" s="14">
        <v>0.51777276531274496</v>
      </c>
      <c r="Q1081" s="14"/>
      <c r="R1081" s="14">
        <v>0.51782484313680999</v>
      </c>
      <c r="S1081" s="14">
        <v>0.51411630609249803</v>
      </c>
      <c r="T1081" s="14">
        <v>0.436840810003636</v>
      </c>
      <c r="U1081" s="14">
        <v>0.40324488593005398</v>
      </c>
      <c r="V1081" s="14">
        <v>0.40108576672972202</v>
      </c>
      <c r="W1081" s="14">
        <v>0.55718272209728503</v>
      </c>
      <c r="X1081" s="14">
        <v>0.52095530161422499</v>
      </c>
      <c r="Y1081" s="14">
        <v>0.42667119143445598</v>
      </c>
      <c r="Z1081" s="14">
        <v>0.51163949899723504</v>
      </c>
      <c r="AA1081" s="14"/>
      <c r="AB1081" s="14">
        <v>0.46296777869866101</v>
      </c>
      <c r="AC1081" s="14">
        <v>0.46993553513514502</v>
      </c>
      <c r="AD1081" s="14">
        <v>0.60399064285697102</v>
      </c>
      <c r="AE1081" s="14">
        <v>0.50672289787617097</v>
      </c>
      <c r="AF1081" s="14"/>
      <c r="AG1081" s="14">
        <v>0.53679290548938996</v>
      </c>
      <c r="AH1081" s="14">
        <v>0.67691502607397902</v>
      </c>
      <c r="AI1081" s="14"/>
      <c r="AJ1081" s="14">
        <v>0.58082680150644805</v>
      </c>
      <c r="AK1081" s="14">
        <v>0.49504282034710201</v>
      </c>
      <c r="AL1081" s="14"/>
      <c r="AM1081" s="14">
        <v>0.51278827298926</v>
      </c>
      <c r="AN1081" s="14">
        <v>0.36164105856526602</v>
      </c>
    </row>
    <row r="1082" spans="2:40" x14ac:dyDescent="0.35">
      <c r="B1082" t="s">
        <v>157</v>
      </c>
      <c r="C1082" s="14">
        <v>0.21884962113450801</v>
      </c>
      <c r="D1082" s="14">
        <v>0.231637666006967</v>
      </c>
      <c r="E1082" s="14">
        <v>0.19949592865966201</v>
      </c>
      <c r="F1082" s="14"/>
      <c r="G1082" s="14" t="s">
        <v>76</v>
      </c>
      <c r="H1082" s="14" t="s">
        <v>76</v>
      </c>
      <c r="I1082" s="14">
        <v>0.21884962113450801</v>
      </c>
      <c r="J1082" s="14"/>
      <c r="K1082" s="14" t="s">
        <v>76</v>
      </c>
      <c r="L1082" s="14">
        <v>0.219445239205423</v>
      </c>
      <c r="M1082" s="14">
        <v>0.217672343660684</v>
      </c>
      <c r="N1082" s="14"/>
      <c r="O1082" s="14">
        <v>0.23036999795548399</v>
      </c>
      <c r="P1082" s="14">
        <v>0.171964654137929</v>
      </c>
      <c r="Q1082" s="14"/>
      <c r="R1082" s="14">
        <v>0.18464441047225699</v>
      </c>
      <c r="S1082" s="14">
        <v>0.25882376837569598</v>
      </c>
      <c r="T1082" s="14">
        <v>0.228139968848042</v>
      </c>
      <c r="U1082" s="14">
        <v>0.27452136575243202</v>
      </c>
      <c r="V1082" s="14">
        <v>0.287931956794095</v>
      </c>
      <c r="W1082" s="14">
        <v>0.180236868896687</v>
      </c>
      <c r="X1082" s="14">
        <v>0.17040863249624899</v>
      </c>
      <c r="Y1082" s="14">
        <v>0.209439255908348</v>
      </c>
      <c r="Z1082" s="14">
        <v>0.177422474226274</v>
      </c>
      <c r="AA1082" s="14"/>
      <c r="AB1082" s="14">
        <v>0.21806464640811599</v>
      </c>
      <c r="AC1082" s="14">
        <v>0.150170970640923</v>
      </c>
      <c r="AD1082" s="14">
        <v>0.19298927937456201</v>
      </c>
      <c r="AE1082" s="14">
        <v>0.243007208020355</v>
      </c>
      <c r="AF1082" s="14"/>
      <c r="AG1082" s="14">
        <v>0.18736434974742899</v>
      </c>
      <c r="AH1082" s="14">
        <v>0.142330858951523</v>
      </c>
      <c r="AI1082" s="14"/>
      <c r="AJ1082" s="14">
        <v>0.17321240826439299</v>
      </c>
      <c r="AK1082" s="14">
        <v>0.26437722564740002</v>
      </c>
      <c r="AL1082" s="14"/>
      <c r="AM1082" s="14">
        <v>0.182857809652855</v>
      </c>
      <c r="AN1082" s="14">
        <v>0.27566641321848401</v>
      </c>
    </row>
    <row r="1083" spans="2:40" x14ac:dyDescent="0.35">
      <c r="B1083" t="s">
        <v>158</v>
      </c>
      <c r="C1083" s="14">
        <v>0.11400364929349099</v>
      </c>
      <c r="D1083" s="14">
        <v>9.1684954423714604E-2</v>
      </c>
      <c r="E1083" s="14">
        <v>0.14194241142331099</v>
      </c>
      <c r="F1083" s="14"/>
      <c r="G1083" s="14" t="s">
        <v>76</v>
      </c>
      <c r="H1083" s="14" t="s">
        <v>76</v>
      </c>
      <c r="I1083" s="14">
        <v>0.11400364929349099</v>
      </c>
      <c r="J1083" s="14"/>
      <c r="K1083" s="14" t="s">
        <v>76</v>
      </c>
      <c r="L1083" s="14">
        <v>0.123810641437217</v>
      </c>
      <c r="M1083" s="14">
        <v>9.4619497769958899E-2</v>
      </c>
      <c r="N1083" s="14"/>
      <c r="O1083" s="14">
        <v>0.13449201161434499</v>
      </c>
      <c r="P1083" s="14">
        <v>8.9169507431539792E-3</v>
      </c>
      <c r="Q1083" s="14"/>
      <c r="R1083" s="14">
        <v>5.4001351917111001E-2</v>
      </c>
      <c r="S1083" s="14">
        <v>0.120361329479336</v>
      </c>
      <c r="T1083" s="14">
        <v>8.3137629143435698E-2</v>
      </c>
      <c r="U1083" s="14">
        <v>0.101213346367319</v>
      </c>
      <c r="V1083" s="14">
        <v>0.13726009070648301</v>
      </c>
      <c r="W1083" s="14">
        <v>0.107559402073987</v>
      </c>
      <c r="X1083" s="14">
        <v>0.17963195062679799</v>
      </c>
      <c r="Y1083" s="14">
        <v>0.18192550249310099</v>
      </c>
      <c r="Z1083" s="14">
        <v>0.13437348474782199</v>
      </c>
      <c r="AA1083" s="14"/>
      <c r="AB1083" s="14">
        <v>0.14939619146585301</v>
      </c>
      <c r="AC1083" s="14">
        <v>0.10878016893942601</v>
      </c>
      <c r="AD1083" s="14">
        <v>6.7258437761662807E-2</v>
      </c>
      <c r="AE1083" s="14">
        <v>0.11397522165502701</v>
      </c>
      <c r="AF1083" s="14"/>
      <c r="AG1083" s="14">
        <v>4.4114646591377399E-2</v>
      </c>
      <c r="AH1083" s="14">
        <v>0</v>
      </c>
      <c r="AI1083" s="14"/>
      <c r="AJ1083" s="14">
        <v>3.025145530702E-2</v>
      </c>
      <c r="AK1083" s="14">
        <v>0.15973260644779499</v>
      </c>
      <c r="AL1083" s="14"/>
      <c r="AM1083" s="14">
        <v>8.4147446956419694E-2</v>
      </c>
      <c r="AN1083" s="14">
        <v>0.23976845455587001</v>
      </c>
    </row>
    <row r="1084" spans="2:40" x14ac:dyDescent="0.35">
      <c r="B1084" t="s">
        <v>70</v>
      </c>
      <c r="C1084" s="14">
        <v>9.8510776463717302E-3</v>
      </c>
      <c r="D1084" s="14">
        <v>1.19865145577434E-2</v>
      </c>
      <c r="E1084" s="14">
        <v>3.6906487052811299E-3</v>
      </c>
      <c r="F1084" s="14"/>
      <c r="G1084" s="14" t="s">
        <v>76</v>
      </c>
      <c r="H1084" s="14" t="s">
        <v>76</v>
      </c>
      <c r="I1084" s="14">
        <v>9.8510776463717302E-3</v>
      </c>
      <c r="J1084" s="14"/>
      <c r="K1084" s="14" t="s">
        <v>76</v>
      </c>
      <c r="L1084" s="14">
        <v>1.48350172822088E-2</v>
      </c>
      <c r="M1084" s="14">
        <v>0</v>
      </c>
      <c r="N1084" s="14"/>
      <c r="O1084" s="14">
        <v>9.8435341772312498E-3</v>
      </c>
      <c r="P1084" s="14">
        <v>0</v>
      </c>
      <c r="Q1084" s="14"/>
      <c r="R1084" s="14">
        <v>9.6386085791437294E-3</v>
      </c>
      <c r="S1084" s="14">
        <v>9.6522843678320206E-3</v>
      </c>
      <c r="T1084" s="14">
        <v>1.8433520557593099E-2</v>
      </c>
      <c r="U1084" s="14">
        <v>3.1728795693669098E-2</v>
      </c>
      <c r="V1084" s="14">
        <v>0</v>
      </c>
      <c r="W1084" s="14">
        <v>1.3289914712192701E-2</v>
      </c>
      <c r="X1084" s="14">
        <v>0</v>
      </c>
      <c r="Y1084" s="14">
        <v>0</v>
      </c>
      <c r="Z1084" s="14">
        <v>0</v>
      </c>
      <c r="AA1084" s="14"/>
      <c r="AB1084" s="14">
        <v>2.4598301051880701E-2</v>
      </c>
      <c r="AC1084" s="14">
        <v>0</v>
      </c>
      <c r="AD1084" s="14">
        <v>0</v>
      </c>
      <c r="AE1084" s="14">
        <v>0</v>
      </c>
      <c r="AF1084" s="14"/>
      <c r="AG1084" s="14">
        <v>0</v>
      </c>
      <c r="AH1084" s="14">
        <v>0</v>
      </c>
      <c r="AI1084" s="14"/>
      <c r="AJ1084" s="14">
        <v>0</v>
      </c>
      <c r="AK1084" s="14">
        <v>0</v>
      </c>
      <c r="AL1084" s="14"/>
      <c r="AM1084" s="14">
        <v>0</v>
      </c>
      <c r="AN1084" s="14">
        <v>2.55456366815127E-2</v>
      </c>
    </row>
    <row r="1085" spans="2:40" x14ac:dyDescent="0.35">
      <c r="C1085" s="14"/>
      <c r="D1085" s="14"/>
      <c r="E1085" s="14"/>
      <c r="F1085" s="14"/>
      <c r="G1085" s="14"/>
      <c r="H1085" s="14"/>
      <c r="I1085" s="14"/>
      <c r="J1085" s="14"/>
      <c r="K1085" s="14"/>
      <c r="L1085" s="14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  <c r="W1085" s="14"/>
      <c r="X1085" s="14"/>
      <c r="Y1085" s="14"/>
      <c r="Z1085" s="14"/>
      <c r="AA1085" s="14"/>
      <c r="AB1085" s="14"/>
      <c r="AC1085" s="14"/>
      <c r="AD1085" s="14"/>
      <c r="AE1085" s="14"/>
      <c r="AF1085" s="14"/>
      <c r="AG1085" s="14"/>
      <c r="AH1085" s="14"/>
      <c r="AI1085" s="14"/>
      <c r="AJ1085" s="14"/>
      <c r="AK1085" s="14"/>
      <c r="AL1085" s="14"/>
      <c r="AM1085" s="14"/>
      <c r="AN1085" s="14"/>
    </row>
    <row r="1086" spans="2:40" x14ac:dyDescent="0.35">
      <c r="B1086" s="6" t="s">
        <v>291</v>
      </c>
      <c r="C1086" s="14"/>
      <c r="D1086" s="14"/>
      <c r="E1086" s="14"/>
      <c r="F1086" s="14"/>
      <c r="G1086" s="14"/>
      <c r="H1086" s="14"/>
      <c r="I1086" s="14"/>
      <c r="J1086" s="14"/>
      <c r="K1086" s="14"/>
      <c r="L1086" s="14"/>
      <c r="M1086" s="14"/>
      <c r="N1086" s="14"/>
      <c r="O1086" s="14"/>
      <c r="P1086" s="14"/>
      <c r="Q1086" s="14"/>
      <c r="R1086" s="14"/>
      <c r="S1086" s="14"/>
      <c r="T1086" s="14"/>
      <c r="U1086" s="14"/>
      <c r="V1086" s="14"/>
      <c r="W1086" s="14"/>
      <c r="X1086" s="14"/>
      <c r="Y1086" s="14"/>
      <c r="Z1086" s="14"/>
      <c r="AA1086" s="14"/>
      <c r="AB1086" s="14"/>
      <c r="AC1086" s="14"/>
      <c r="AD1086" s="14"/>
      <c r="AE1086" s="14"/>
      <c r="AF1086" s="14"/>
      <c r="AG1086" s="14"/>
      <c r="AH1086" s="14"/>
      <c r="AI1086" s="14"/>
      <c r="AJ1086" s="14"/>
      <c r="AK1086" s="14"/>
      <c r="AL1086" s="14"/>
      <c r="AM1086" s="14"/>
      <c r="AN1086" s="14"/>
    </row>
    <row r="1087" spans="2:40" x14ac:dyDescent="0.35">
      <c r="B1087" s="26" t="s">
        <v>395</v>
      </c>
      <c r="C1087" s="14"/>
      <c r="D1087" s="14"/>
      <c r="E1087" s="14"/>
      <c r="F1087" s="14"/>
      <c r="G1087" s="14"/>
      <c r="H1087" s="14"/>
      <c r="I1087" s="14"/>
      <c r="J1087" s="14"/>
      <c r="K1087" s="14"/>
      <c r="L1087" s="14"/>
      <c r="M1087" s="14"/>
      <c r="N1087" s="14"/>
      <c r="O1087" s="14"/>
      <c r="P1087" s="14"/>
      <c r="Q1087" s="14"/>
      <c r="R1087" s="14"/>
      <c r="S1087" s="14"/>
      <c r="T1087" s="14"/>
      <c r="U1087" s="14"/>
      <c r="V1087" s="14"/>
      <c r="W1087" s="14"/>
      <c r="X1087" s="14"/>
      <c r="Y1087" s="14"/>
      <c r="Z1087" s="14"/>
      <c r="AA1087" s="14"/>
      <c r="AB1087" s="14"/>
      <c r="AC1087" s="14"/>
      <c r="AD1087" s="14"/>
      <c r="AE1087" s="14"/>
      <c r="AF1087" s="14"/>
      <c r="AG1087" s="14"/>
      <c r="AH1087" s="14"/>
      <c r="AI1087" s="14"/>
      <c r="AJ1087" s="14"/>
      <c r="AK1087" s="14"/>
      <c r="AL1087" s="14"/>
      <c r="AM1087" s="14"/>
      <c r="AN1087" s="14"/>
    </row>
    <row r="1088" spans="2:40" x14ac:dyDescent="0.35">
      <c r="B1088" t="s">
        <v>160</v>
      </c>
      <c r="C1088" s="14">
        <v>0.18389863089584399</v>
      </c>
      <c r="D1088" s="14">
        <v>0.19584108627654401</v>
      </c>
      <c r="E1088" s="14">
        <v>0.1690507993467</v>
      </c>
      <c r="F1088" s="14"/>
      <c r="G1088" s="14" t="s">
        <v>76</v>
      </c>
      <c r="H1088" s="14" t="s">
        <v>76</v>
      </c>
      <c r="I1088" s="14">
        <v>0.18389863089584399</v>
      </c>
      <c r="J1088" s="14"/>
      <c r="K1088" s="14" t="s">
        <v>76</v>
      </c>
      <c r="L1088" s="14">
        <v>0.20525872999512099</v>
      </c>
      <c r="M1088" s="14">
        <v>0.141679019476767</v>
      </c>
      <c r="N1088" s="14"/>
      <c r="O1088" s="14">
        <v>0.14305553109306901</v>
      </c>
      <c r="P1088" s="14">
        <v>0.36838358437865798</v>
      </c>
      <c r="Q1088" s="14"/>
      <c r="R1088" s="14">
        <v>0.26845580427492399</v>
      </c>
      <c r="S1088" s="14">
        <v>0.104272619820659</v>
      </c>
      <c r="T1088" s="14">
        <v>0.25098061124014598</v>
      </c>
      <c r="U1088" s="14">
        <v>0.17568201635039701</v>
      </c>
      <c r="V1088" s="14">
        <v>0.153550428815933</v>
      </c>
      <c r="W1088" s="14">
        <v>0.10195615609835</v>
      </c>
      <c r="X1088" s="14">
        <v>0.14979224165736599</v>
      </c>
      <c r="Y1088" s="14">
        <v>0.172417698917608</v>
      </c>
      <c r="Z1088" s="14">
        <v>0.24368983966587099</v>
      </c>
      <c r="AA1088" s="14"/>
      <c r="AB1088" s="14">
        <v>0.17252249895024099</v>
      </c>
      <c r="AC1088" s="14">
        <v>0.31375797414624301</v>
      </c>
      <c r="AD1088" s="14">
        <v>0.132055759680066</v>
      </c>
      <c r="AE1088" s="14">
        <v>0.110165400508346</v>
      </c>
      <c r="AF1088" s="14"/>
      <c r="AG1088" s="14">
        <v>0.22341261243982399</v>
      </c>
      <c r="AH1088" s="14">
        <v>0.24184849896760599</v>
      </c>
      <c r="AI1088" s="14"/>
      <c r="AJ1088" s="14">
        <v>0.229206158148094</v>
      </c>
      <c r="AK1088" s="14">
        <v>3.4904406381442897E-2</v>
      </c>
      <c r="AL1088" s="14"/>
      <c r="AM1088" s="14">
        <v>0.26445612948193398</v>
      </c>
      <c r="AN1088" s="14">
        <v>3.9649144057374602E-2</v>
      </c>
    </row>
    <row r="1089" spans="2:40" x14ac:dyDescent="0.35">
      <c r="B1089" t="s">
        <v>161</v>
      </c>
      <c r="C1089" s="14">
        <v>0.45831953546444398</v>
      </c>
      <c r="D1089" s="14">
        <v>0.471849675237347</v>
      </c>
      <c r="E1089" s="14">
        <v>0.441674096427146</v>
      </c>
      <c r="F1089" s="14"/>
      <c r="G1089" s="14" t="s">
        <v>76</v>
      </c>
      <c r="H1089" s="14" t="s">
        <v>76</v>
      </c>
      <c r="I1089" s="14">
        <v>0.45831953546444398</v>
      </c>
      <c r="J1089" s="14"/>
      <c r="K1089" s="14" t="s">
        <v>76</v>
      </c>
      <c r="L1089" s="14">
        <v>0.463541493730662</v>
      </c>
      <c r="M1089" s="14">
        <v>0.44799799866718198</v>
      </c>
      <c r="N1089" s="14"/>
      <c r="O1089" s="14">
        <v>0.47787634266158102</v>
      </c>
      <c r="P1089" s="14">
        <v>0.36787475043338402</v>
      </c>
      <c r="Q1089" s="14"/>
      <c r="R1089" s="14">
        <v>0.55433280569823296</v>
      </c>
      <c r="S1089" s="14">
        <v>0.41310557931717001</v>
      </c>
      <c r="T1089" s="14">
        <v>0.44268987392184</v>
      </c>
      <c r="U1089" s="14">
        <v>0.32354264375839598</v>
      </c>
      <c r="V1089" s="14">
        <v>0.35699955000273897</v>
      </c>
      <c r="W1089" s="14">
        <v>0.49583768674131601</v>
      </c>
      <c r="X1089" s="14">
        <v>0.54239550211995902</v>
      </c>
      <c r="Y1089" s="14">
        <v>0.46520219836444399</v>
      </c>
      <c r="Z1089" s="14">
        <v>0.49314779951652998</v>
      </c>
      <c r="AA1089" s="14"/>
      <c r="AB1089" s="14">
        <v>0.42225857597830702</v>
      </c>
      <c r="AC1089" s="14">
        <v>0.518551696479431</v>
      </c>
      <c r="AD1089" s="14">
        <v>0.41455442363279899</v>
      </c>
      <c r="AE1089" s="14">
        <v>0.52642167447519705</v>
      </c>
      <c r="AF1089" s="14"/>
      <c r="AG1089" s="14">
        <v>0.477092560968572</v>
      </c>
      <c r="AH1089" s="14">
        <v>0.47723202624573502</v>
      </c>
      <c r="AI1089" s="14"/>
      <c r="AJ1089" s="14">
        <v>0.477136388449108</v>
      </c>
      <c r="AK1089" s="14">
        <v>0.41814155767823202</v>
      </c>
      <c r="AL1089" s="14"/>
      <c r="AM1089" s="14">
        <v>0.52335012685578797</v>
      </c>
      <c r="AN1089" s="14">
        <v>0.29092671646550899</v>
      </c>
    </row>
    <row r="1090" spans="2:40" x14ac:dyDescent="0.35">
      <c r="B1090" t="s">
        <v>162</v>
      </c>
      <c r="C1090" s="14">
        <v>0.26649663890561398</v>
      </c>
      <c r="D1090" s="14">
        <v>0.25056023932851201</v>
      </c>
      <c r="E1090" s="14">
        <v>0.289213489305646</v>
      </c>
      <c r="F1090" s="14"/>
      <c r="G1090" s="14" t="s">
        <v>76</v>
      </c>
      <c r="H1090" s="14" t="s">
        <v>76</v>
      </c>
      <c r="I1090" s="14">
        <v>0.26649663890561398</v>
      </c>
      <c r="J1090" s="14"/>
      <c r="K1090" s="14" t="s">
        <v>76</v>
      </c>
      <c r="L1090" s="14">
        <v>0.239869305672224</v>
      </c>
      <c r="M1090" s="14">
        <v>0.31912727779052602</v>
      </c>
      <c r="N1090" s="14"/>
      <c r="O1090" s="14">
        <v>0.27458741869568898</v>
      </c>
      <c r="P1090" s="14">
        <v>0.242316891368308</v>
      </c>
      <c r="Q1090" s="14"/>
      <c r="R1090" s="14">
        <v>7.9853197634391304E-2</v>
      </c>
      <c r="S1090" s="14">
        <v>0.39245370824392201</v>
      </c>
      <c r="T1090" s="14">
        <v>0.244938073964278</v>
      </c>
      <c r="U1090" s="14">
        <v>0.40511999548378302</v>
      </c>
      <c r="V1090" s="14">
        <v>0.41157621460827798</v>
      </c>
      <c r="W1090" s="14">
        <v>0.26805253431888798</v>
      </c>
      <c r="X1090" s="14">
        <v>0.20303870181623301</v>
      </c>
      <c r="Y1090" s="14">
        <v>0.23334801007476899</v>
      </c>
      <c r="Z1090" s="14">
        <v>0.209548355230806</v>
      </c>
      <c r="AA1090" s="14"/>
      <c r="AB1090" s="14">
        <v>0.29745692604333801</v>
      </c>
      <c r="AC1090" s="14">
        <v>0.15248123212346601</v>
      </c>
      <c r="AD1090" s="14">
        <v>0.35391849144981202</v>
      </c>
      <c r="AE1090" s="14">
        <v>0.33030173080208702</v>
      </c>
      <c r="AF1090" s="14"/>
      <c r="AG1090" s="14">
        <v>0.29949482659160498</v>
      </c>
      <c r="AH1090" s="14">
        <v>0.19794910556665599</v>
      </c>
      <c r="AI1090" s="14"/>
      <c r="AJ1090" s="14">
        <v>0.26758370719136398</v>
      </c>
      <c r="AK1090" s="14">
        <v>0.411042961328485</v>
      </c>
      <c r="AL1090" s="14"/>
      <c r="AM1090" s="14">
        <v>0.195881312799985</v>
      </c>
      <c r="AN1090" s="14">
        <v>0.358412650197109</v>
      </c>
    </row>
    <row r="1091" spans="2:40" x14ac:dyDescent="0.35">
      <c r="B1091" t="s">
        <v>163</v>
      </c>
      <c r="C1091" s="14">
        <v>7.5386662450376896E-2</v>
      </c>
      <c r="D1091" s="14">
        <v>6.7844323266439202E-2</v>
      </c>
      <c r="E1091" s="14">
        <v>8.1581719176518699E-2</v>
      </c>
      <c r="F1091" s="14"/>
      <c r="G1091" s="14" t="s">
        <v>76</v>
      </c>
      <c r="H1091" s="14" t="s">
        <v>76</v>
      </c>
      <c r="I1091" s="14">
        <v>7.5386662450376896E-2</v>
      </c>
      <c r="J1091" s="14"/>
      <c r="K1091" s="14" t="s">
        <v>76</v>
      </c>
      <c r="L1091" s="14">
        <v>6.9723399365514097E-2</v>
      </c>
      <c r="M1091" s="14">
        <v>8.6580466640873502E-2</v>
      </c>
      <c r="N1091" s="14"/>
      <c r="O1091" s="14">
        <v>8.7498543014792401E-2</v>
      </c>
      <c r="P1091" s="14">
        <v>9.4630642640114605E-3</v>
      </c>
      <c r="Q1091" s="14"/>
      <c r="R1091" s="14">
        <v>8.7719583813307606E-2</v>
      </c>
      <c r="S1091" s="14">
        <v>7.1930035236840606E-2</v>
      </c>
      <c r="T1091" s="14">
        <v>3.9398951209093397E-2</v>
      </c>
      <c r="U1091" s="14">
        <v>7.8873917035935701E-2</v>
      </c>
      <c r="V1091" s="14">
        <v>3.89400981418873E-2</v>
      </c>
      <c r="W1091" s="14">
        <v>0.134153622841446</v>
      </c>
      <c r="X1091" s="14">
        <v>8.0846980386611006E-2</v>
      </c>
      <c r="Y1091" s="14">
        <v>9.6325050788519898E-2</v>
      </c>
      <c r="Z1091" s="14">
        <v>5.3614005586792197E-2</v>
      </c>
      <c r="AA1091" s="14"/>
      <c r="AB1091" s="14">
        <v>6.6699843105434697E-2</v>
      </c>
      <c r="AC1091" s="14">
        <v>1.52090972508591E-2</v>
      </c>
      <c r="AD1091" s="14">
        <v>9.0060353788513597E-2</v>
      </c>
      <c r="AE1091" s="14">
        <v>3.3111194214371101E-2</v>
      </c>
      <c r="AF1091" s="14"/>
      <c r="AG1091" s="14">
        <v>0</v>
      </c>
      <c r="AH1091" s="14">
        <v>8.2970369220002699E-2</v>
      </c>
      <c r="AI1091" s="14"/>
      <c r="AJ1091" s="14">
        <v>2.6073746211433699E-2</v>
      </c>
      <c r="AK1091" s="14">
        <v>0.124896929054178</v>
      </c>
      <c r="AL1091" s="14"/>
      <c r="AM1091" s="14">
        <v>1.6312430862292501E-2</v>
      </c>
      <c r="AN1091" s="14">
        <v>0.28346301068850499</v>
      </c>
    </row>
    <row r="1092" spans="2:40" x14ac:dyDescent="0.35">
      <c r="B1092" t="s">
        <v>70</v>
      </c>
      <c r="C1092" s="14">
        <v>1.58985322837214E-2</v>
      </c>
      <c r="D1092" s="14">
        <v>1.39046758911583E-2</v>
      </c>
      <c r="E1092" s="14">
        <v>1.84798957439893E-2</v>
      </c>
      <c r="F1092" s="14"/>
      <c r="G1092" s="14" t="s">
        <v>76</v>
      </c>
      <c r="H1092" s="14" t="s">
        <v>76</v>
      </c>
      <c r="I1092" s="14">
        <v>1.58985322837214E-2</v>
      </c>
      <c r="J1092" s="14"/>
      <c r="K1092" s="14" t="s">
        <v>76</v>
      </c>
      <c r="L1092" s="14">
        <v>2.16070712364788E-2</v>
      </c>
      <c r="M1092" s="14">
        <v>4.6152374246522703E-3</v>
      </c>
      <c r="N1092" s="14"/>
      <c r="O1092" s="14">
        <v>1.69821645348688E-2</v>
      </c>
      <c r="P1092" s="14">
        <v>1.1961709555637899E-2</v>
      </c>
      <c r="Q1092" s="14"/>
      <c r="R1092" s="14">
        <v>9.6386085791437294E-3</v>
      </c>
      <c r="S1092" s="14">
        <v>1.8238057381408199E-2</v>
      </c>
      <c r="T1092" s="14">
        <v>2.1992489664642199E-2</v>
      </c>
      <c r="U1092" s="14">
        <v>1.6781427371488598E-2</v>
      </c>
      <c r="V1092" s="14">
        <v>3.8933708431163498E-2</v>
      </c>
      <c r="W1092" s="14">
        <v>0</v>
      </c>
      <c r="X1092" s="14">
        <v>2.3926574019830501E-2</v>
      </c>
      <c r="Y1092" s="14">
        <v>3.2707041854659197E-2</v>
      </c>
      <c r="Z1092" s="14">
        <v>0</v>
      </c>
      <c r="AA1092" s="14"/>
      <c r="AB1092" s="14">
        <v>4.1062155922679297E-2</v>
      </c>
      <c r="AC1092" s="14">
        <v>0</v>
      </c>
      <c r="AD1092" s="14">
        <v>9.4109714488100696E-3</v>
      </c>
      <c r="AE1092" s="14">
        <v>0</v>
      </c>
      <c r="AF1092" s="14"/>
      <c r="AG1092" s="14">
        <v>0</v>
      </c>
      <c r="AH1092" s="14">
        <v>0</v>
      </c>
      <c r="AI1092" s="14"/>
      <c r="AJ1092" s="14">
        <v>0</v>
      </c>
      <c r="AK1092" s="14">
        <v>1.10141455576612E-2</v>
      </c>
      <c r="AL1092" s="14"/>
      <c r="AM1092" s="14">
        <v>0</v>
      </c>
      <c r="AN1092" s="14">
        <v>2.75484785915023E-2</v>
      </c>
    </row>
    <row r="1093" spans="2:40" x14ac:dyDescent="0.35">
      <c r="B1093" t="s">
        <v>164</v>
      </c>
      <c r="C1093" s="14">
        <v>0.64221816636028795</v>
      </c>
      <c r="D1093" s="14">
        <v>0.66769076151389095</v>
      </c>
      <c r="E1093" s="14">
        <v>0.61072489577384603</v>
      </c>
      <c r="F1093" s="14"/>
      <c r="G1093" s="14" t="s">
        <v>76</v>
      </c>
      <c r="H1093" s="14" t="s">
        <v>76</v>
      </c>
      <c r="I1093" s="14">
        <v>0.64221816636028795</v>
      </c>
      <c r="J1093" s="14"/>
      <c r="K1093" s="14" t="s">
        <v>76</v>
      </c>
      <c r="L1093" s="14">
        <v>0.66880022372578296</v>
      </c>
      <c r="M1093" s="14">
        <v>0.58967701814394902</v>
      </c>
      <c r="N1093" s="14"/>
      <c r="O1093" s="14">
        <v>0.62093187375464998</v>
      </c>
      <c r="P1093" s="14">
        <v>0.73625833481204195</v>
      </c>
      <c r="Q1093" s="14"/>
      <c r="R1093" s="14">
        <v>0.82278860997315695</v>
      </c>
      <c r="S1093" s="14">
        <v>0.51737819913782901</v>
      </c>
      <c r="T1093" s="14">
        <v>0.69367048516198604</v>
      </c>
      <c r="U1093" s="14">
        <v>0.49922466010879302</v>
      </c>
      <c r="V1093" s="14">
        <v>0.51054997881867203</v>
      </c>
      <c r="W1093" s="14">
        <v>0.59779384283966597</v>
      </c>
      <c r="X1093" s="14">
        <v>0.69218774377732495</v>
      </c>
      <c r="Y1093" s="14">
        <v>0.63761989728205204</v>
      </c>
      <c r="Z1093" s="14">
        <v>0.73683763918240097</v>
      </c>
      <c r="AA1093" s="14"/>
      <c r="AB1093" s="14">
        <v>0.59478107492854804</v>
      </c>
      <c r="AC1093" s="14">
        <v>0.83230967062567496</v>
      </c>
      <c r="AD1093" s="14">
        <v>0.54661018331286504</v>
      </c>
      <c r="AE1093" s="14">
        <v>0.63658707498354195</v>
      </c>
      <c r="AF1093" s="14"/>
      <c r="AG1093" s="14">
        <v>0.70050517340839502</v>
      </c>
      <c r="AH1093" s="14">
        <v>0.71908052521334198</v>
      </c>
      <c r="AI1093" s="14"/>
      <c r="AJ1093" s="14">
        <v>0.70634254659720197</v>
      </c>
      <c r="AK1093" s="14">
        <v>0.45304596405967501</v>
      </c>
      <c r="AL1093" s="14"/>
      <c r="AM1093" s="14">
        <v>0.78780625633772206</v>
      </c>
      <c r="AN1093" s="14">
        <v>0.33057586052288401</v>
      </c>
    </row>
    <row r="1094" spans="2:40" x14ac:dyDescent="0.35">
      <c r="C1094" s="14"/>
      <c r="D1094" s="14"/>
      <c r="E1094" s="14"/>
      <c r="F1094" s="14"/>
      <c r="G1094" s="14"/>
      <c r="H1094" s="14"/>
      <c r="I1094" s="14"/>
      <c r="J1094" s="14"/>
      <c r="K1094" s="14"/>
      <c r="L1094" s="14"/>
      <c r="M1094" s="14"/>
      <c r="N1094" s="14"/>
      <c r="O1094" s="14"/>
      <c r="P1094" s="14"/>
      <c r="Q1094" s="14"/>
      <c r="R1094" s="14"/>
      <c r="S1094" s="14"/>
      <c r="T1094" s="14"/>
      <c r="U1094" s="14"/>
      <c r="V1094" s="14"/>
      <c r="W1094" s="14"/>
      <c r="X1094" s="14"/>
      <c r="Y1094" s="14"/>
      <c r="Z1094" s="14"/>
      <c r="AA1094" s="14"/>
      <c r="AB1094" s="14"/>
      <c r="AC1094" s="14"/>
      <c r="AD1094" s="14"/>
      <c r="AE1094" s="14"/>
      <c r="AF1094" s="14"/>
      <c r="AG1094" s="14"/>
      <c r="AH1094" s="14"/>
      <c r="AI1094" s="14"/>
      <c r="AJ1094" s="14"/>
      <c r="AK1094" s="14"/>
      <c r="AL1094" s="14"/>
      <c r="AM1094" s="14"/>
      <c r="AN1094" s="14"/>
    </row>
    <row r="1095" spans="2:40" x14ac:dyDescent="0.35">
      <c r="B1095" s="6" t="s">
        <v>292</v>
      </c>
      <c r="C1095" s="14"/>
      <c r="D1095" s="14"/>
      <c r="E1095" s="14"/>
      <c r="F1095" s="14"/>
      <c r="G1095" s="14"/>
      <c r="H1095" s="14"/>
      <c r="I1095" s="14"/>
      <c r="J1095" s="14"/>
      <c r="K1095" s="14"/>
      <c r="L1095" s="14"/>
      <c r="M1095" s="14"/>
      <c r="N1095" s="14"/>
      <c r="O1095" s="14"/>
      <c r="P1095" s="14"/>
      <c r="Q1095" s="14"/>
      <c r="R1095" s="14"/>
      <c r="S1095" s="14"/>
      <c r="T1095" s="14"/>
      <c r="U1095" s="14"/>
      <c r="V1095" s="14"/>
      <c r="W1095" s="14"/>
      <c r="X1095" s="14"/>
      <c r="Y1095" s="14"/>
      <c r="Z1095" s="14"/>
      <c r="AA1095" s="14"/>
      <c r="AB1095" s="14"/>
      <c r="AC1095" s="14"/>
      <c r="AD1095" s="14"/>
      <c r="AE1095" s="14"/>
      <c r="AF1095" s="14"/>
      <c r="AG1095" s="14"/>
      <c r="AH1095" s="14"/>
      <c r="AI1095" s="14"/>
      <c r="AJ1095" s="14"/>
      <c r="AK1095" s="14"/>
      <c r="AL1095" s="14"/>
      <c r="AM1095" s="14"/>
      <c r="AN1095" s="14"/>
    </row>
    <row r="1096" spans="2:40" x14ac:dyDescent="0.35">
      <c r="B1096" s="26" t="s">
        <v>395</v>
      </c>
      <c r="C1096" s="14"/>
      <c r="D1096" s="14"/>
      <c r="E1096" s="14"/>
      <c r="F1096" s="14"/>
      <c r="G1096" s="14"/>
      <c r="H1096" s="14"/>
      <c r="I1096" s="14"/>
      <c r="J1096" s="14"/>
      <c r="K1096" s="14"/>
      <c r="L1096" s="14"/>
      <c r="M1096" s="14"/>
      <c r="N1096" s="14"/>
      <c r="O1096" s="14"/>
      <c r="P1096" s="14"/>
      <c r="Q1096" s="14"/>
      <c r="R1096" s="14"/>
      <c r="S1096" s="14"/>
      <c r="T1096" s="14"/>
      <c r="U1096" s="14"/>
      <c r="V1096" s="14"/>
      <c r="W1096" s="14"/>
      <c r="X1096" s="14"/>
      <c r="Y1096" s="14"/>
      <c r="Z1096" s="14"/>
      <c r="AA1096" s="14"/>
      <c r="AB1096" s="14"/>
      <c r="AC1096" s="14"/>
      <c r="AD1096" s="14"/>
      <c r="AE1096" s="14"/>
      <c r="AF1096" s="14"/>
      <c r="AG1096" s="14"/>
      <c r="AH1096" s="14"/>
      <c r="AI1096" s="14"/>
      <c r="AJ1096" s="14"/>
      <c r="AK1096" s="14"/>
      <c r="AL1096" s="14"/>
      <c r="AM1096" s="14"/>
      <c r="AN1096" s="14"/>
    </row>
    <row r="1097" spans="2:40" x14ac:dyDescent="0.35">
      <c r="B1097" t="s">
        <v>166</v>
      </c>
      <c r="C1097" s="14">
        <v>0.23855599000675701</v>
      </c>
      <c r="D1097" s="14">
        <v>0.25542965333794798</v>
      </c>
      <c r="E1097" s="14">
        <v>0.22228895964023199</v>
      </c>
      <c r="F1097" s="14"/>
      <c r="G1097" s="14" t="s">
        <v>76</v>
      </c>
      <c r="H1097" s="14" t="s">
        <v>76</v>
      </c>
      <c r="I1097" s="14">
        <v>0.23855599000675701</v>
      </c>
      <c r="J1097" s="14"/>
      <c r="K1097" s="14" t="s">
        <v>76</v>
      </c>
      <c r="L1097" s="14">
        <v>0.25158220420580801</v>
      </c>
      <c r="M1097" s="14">
        <v>0.21280883877915699</v>
      </c>
      <c r="N1097" s="14"/>
      <c r="O1097" s="14">
        <v>0.223764878141509</v>
      </c>
      <c r="P1097" s="14">
        <v>0.30106237688903498</v>
      </c>
      <c r="Q1097" s="14"/>
      <c r="R1097" s="14">
        <v>0.35277119639990501</v>
      </c>
      <c r="S1097" s="14">
        <v>0.122125765448067</v>
      </c>
      <c r="T1097" s="14">
        <v>0.31344643580614401</v>
      </c>
      <c r="U1097" s="14">
        <v>0.16107210191927901</v>
      </c>
      <c r="V1097" s="14">
        <v>0.25280018034260499</v>
      </c>
      <c r="W1097" s="14">
        <v>0.116969931772184</v>
      </c>
      <c r="X1097" s="14">
        <v>0.23074241230672199</v>
      </c>
      <c r="Y1097" s="14">
        <v>0.185342626265592</v>
      </c>
      <c r="Z1097" s="14">
        <v>0.362125012800739</v>
      </c>
      <c r="AA1097" s="14"/>
      <c r="AB1097" s="14">
        <v>0.27863582297107897</v>
      </c>
      <c r="AC1097" s="14">
        <v>0.30030334942308001</v>
      </c>
      <c r="AD1097" s="14">
        <v>0.18144661377394</v>
      </c>
      <c r="AE1097" s="14">
        <v>0.227236654988444</v>
      </c>
      <c r="AF1097" s="14"/>
      <c r="AG1097" s="14">
        <v>0.35564778500592698</v>
      </c>
      <c r="AH1097" s="14">
        <v>0.26583907626785303</v>
      </c>
      <c r="AI1097" s="14"/>
      <c r="AJ1097" s="14">
        <v>0.32742506524191101</v>
      </c>
      <c r="AK1097" s="14">
        <v>8.3730868547768705E-2</v>
      </c>
      <c r="AL1097" s="14"/>
      <c r="AM1097" s="14">
        <v>0.33737570428993302</v>
      </c>
      <c r="AN1097" s="14">
        <v>6.5199819060925701E-2</v>
      </c>
    </row>
    <row r="1098" spans="2:40" x14ac:dyDescent="0.35">
      <c r="B1098" t="s">
        <v>167</v>
      </c>
      <c r="C1098" s="14">
        <v>0.39518034463901203</v>
      </c>
      <c r="D1098" s="14">
        <v>0.40533134677678001</v>
      </c>
      <c r="E1098" s="14">
        <v>0.37800292602692798</v>
      </c>
      <c r="F1098" s="14"/>
      <c r="G1098" s="14" t="s">
        <v>76</v>
      </c>
      <c r="H1098" s="14" t="s">
        <v>76</v>
      </c>
      <c r="I1098" s="14">
        <v>0.39518034463901203</v>
      </c>
      <c r="J1098" s="14"/>
      <c r="K1098" s="14" t="s">
        <v>76</v>
      </c>
      <c r="L1098" s="14">
        <v>0.41052357544664603</v>
      </c>
      <c r="M1098" s="14">
        <v>0.36485346087312898</v>
      </c>
      <c r="N1098" s="14"/>
      <c r="O1098" s="14">
        <v>0.39197491504431298</v>
      </c>
      <c r="P1098" s="14">
        <v>0.40867566080499002</v>
      </c>
      <c r="Q1098" s="14"/>
      <c r="R1098" s="14">
        <v>0.445285582197533</v>
      </c>
      <c r="S1098" s="14">
        <v>0.42936961617452601</v>
      </c>
      <c r="T1098" s="14">
        <v>0.362805495201795</v>
      </c>
      <c r="U1098" s="14">
        <v>0.360251212328905</v>
      </c>
      <c r="V1098" s="14">
        <v>0.33690381688243598</v>
      </c>
      <c r="W1098" s="14">
        <v>0.41050899451575501</v>
      </c>
      <c r="X1098" s="14">
        <v>0.390670952736901</v>
      </c>
      <c r="Y1098" s="14">
        <v>0.50956765796502901</v>
      </c>
      <c r="Z1098" s="14">
        <v>0.31467023235084202</v>
      </c>
      <c r="AA1098" s="14"/>
      <c r="AB1098" s="14">
        <v>0.29039681046558202</v>
      </c>
      <c r="AC1098" s="14">
        <v>0.489096125135219</v>
      </c>
      <c r="AD1098" s="14">
        <v>0.32223089981842801</v>
      </c>
      <c r="AE1098" s="14">
        <v>0.41929373994753899</v>
      </c>
      <c r="AF1098" s="14"/>
      <c r="AG1098" s="14">
        <v>0.40764607960882399</v>
      </c>
      <c r="AH1098" s="14">
        <v>0.48326725712197899</v>
      </c>
      <c r="AI1098" s="14"/>
      <c r="AJ1098" s="14">
        <v>0.43141031507292799</v>
      </c>
      <c r="AK1098" s="14">
        <v>0.29626717601361202</v>
      </c>
      <c r="AL1098" s="14"/>
      <c r="AM1098" s="14">
        <v>0.45493030955834002</v>
      </c>
      <c r="AN1098" s="14">
        <v>0.26124713039833602</v>
      </c>
    </row>
    <row r="1099" spans="2:40" x14ac:dyDescent="0.35">
      <c r="B1099" t="s">
        <v>168</v>
      </c>
      <c r="C1099" s="14">
        <v>0.24450045794598901</v>
      </c>
      <c r="D1099" s="14">
        <v>0.25576166294109898</v>
      </c>
      <c r="E1099" s="14">
        <v>0.23491939186858701</v>
      </c>
      <c r="F1099" s="14"/>
      <c r="G1099" s="14" t="s">
        <v>76</v>
      </c>
      <c r="H1099" s="14" t="s">
        <v>76</v>
      </c>
      <c r="I1099" s="14">
        <v>0.24450045794598901</v>
      </c>
      <c r="J1099" s="14"/>
      <c r="K1099" s="14" t="s">
        <v>76</v>
      </c>
      <c r="L1099" s="14">
        <v>0.22287582320616101</v>
      </c>
      <c r="M1099" s="14">
        <v>0.28724294109420201</v>
      </c>
      <c r="N1099" s="14"/>
      <c r="O1099" s="14">
        <v>0.24663386782806501</v>
      </c>
      <c r="P1099" s="14">
        <v>0.24897949078973799</v>
      </c>
      <c r="Q1099" s="14"/>
      <c r="R1099" s="14">
        <v>0.128602177222123</v>
      </c>
      <c r="S1099" s="14">
        <v>0.30326164787933402</v>
      </c>
      <c r="T1099" s="14">
        <v>0.23801287175675501</v>
      </c>
      <c r="U1099" s="14">
        <v>0.32613745795631499</v>
      </c>
      <c r="V1099" s="14">
        <v>0.27105996463467302</v>
      </c>
      <c r="W1099" s="14">
        <v>0.27164538383484299</v>
      </c>
      <c r="X1099" s="14">
        <v>0.19779332570559899</v>
      </c>
      <c r="Y1099" s="14">
        <v>0.20876466498085799</v>
      </c>
      <c r="Z1099" s="14">
        <v>0.26906461728284298</v>
      </c>
      <c r="AA1099" s="14"/>
      <c r="AB1099" s="14">
        <v>0.237125635163913</v>
      </c>
      <c r="AC1099" s="14">
        <v>0.19963071531631499</v>
      </c>
      <c r="AD1099" s="14">
        <v>0.35513727165338099</v>
      </c>
      <c r="AE1099" s="14">
        <v>0.26186165543359002</v>
      </c>
      <c r="AF1099" s="14"/>
      <c r="AG1099" s="14">
        <v>0.22150033097390801</v>
      </c>
      <c r="AH1099" s="14">
        <v>0.16792329739016501</v>
      </c>
      <c r="AI1099" s="14"/>
      <c r="AJ1099" s="14">
        <v>0.20466354948725601</v>
      </c>
      <c r="AK1099" s="14">
        <v>0.39216459995644898</v>
      </c>
      <c r="AL1099" s="14"/>
      <c r="AM1099" s="14">
        <v>0.18130194283394199</v>
      </c>
      <c r="AN1099" s="14">
        <v>0.31514904351044198</v>
      </c>
    </row>
    <row r="1100" spans="2:40" x14ac:dyDescent="0.35">
      <c r="B1100" t="s">
        <v>169</v>
      </c>
      <c r="C1100" s="14">
        <v>0.112995220953788</v>
      </c>
      <c r="D1100" s="14">
        <v>7.2783415806412496E-2</v>
      </c>
      <c r="E1100" s="14">
        <v>0.161951102893194</v>
      </c>
      <c r="F1100" s="14"/>
      <c r="G1100" s="14" t="s">
        <v>76</v>
      </c>
      <c r="H1100" s="14" t="s">
        <v>76</v>
      </c>
      <c r="I1100" s="14">
        <v>0.112995220953788</v>
      </c>
      <c r="J1100" s="14"/>
      <c r="K1100" s="14" t="s">
        <v>76</v>
      </c>
      <c r="L1100" s="14">
        <v>0.101814437610125</v>
      </c>
      <c r="M1100" s="14">
        <v>0.135094759253512</v>
      </c>
      <c r="N1100" s="14"/>
      <c r="O1100" s="14">
        <v>0.129096228009971</v>
      </c>
      <c r="P1100" s="14">
        <v>4.1282471516236201E-2</v>
      </c>
      <c r="Q1100" s="14"/>
      <c r="R1100" s="14">
        <v>7.3341044180439102E-2</v>
      </c>
      <c r="S1100" s="14">
        <v>0.145242970498073</v>
      </c>
      <c r="T1100" s="14">
        <v>8.5735197235306093E-2</v>
      </c>
      <c r="U1100" s="14">
        <v>0.120810432101831</v>
      </c>
      <c r="V1100" s="14">
        <v>0.120344490364972</v>
      </c>
      <c r="W1100" s="14">
        <v>0.20087568987721799</v>
      </c>
      <c r="X1100" s="14">
        <v>0.15686673523094799</v>
      </c>
      <c r="Y1100" s="14">
        <v>9.6325050788519898E-2</v>
      </c>
      <c r="Z1100" s="14">
        <v>4.3999465477530197E-2</v>
      </c>
      <c r="AA1100" s="14"/>
      <c r="AB1100" s="14">
        <v>0.19384173139942501</v>
      </c>
      <c r="AC1100" s="14">
        <v>0</v>
      </c>
      <c r="AD1100" s="14">
        <v>0.141185214754252</v>
      </c>
      <c r="AE1100" s="14">
        <v>9.1607949630426899E-2</v>
      </c>
      <c r="AF1100" s="14"/>
      <c r="AG1100" s="14">
        <v>1.5205804411341299E-2</v>
      </c>
      <c r="AH1100" s="14">
        <v>8.2970369220002699E-2</v>
      </c>
      <c r="AI1100" s="14"/>
      <c r="AJ1100" s="14">
        <v>3.6501070197905099E-2</v>
      </c>
      <c r="AK1100" s="14">
        <v>0.22783735548216999</v>
      </c>
      <c r="AL1100" s="14"/>
      <c r="AM1100" s="14">
        <v>2.4283523016731201E-2</v>
      </c>
      <c r="AN1100" s="14">
        <v>0.35840400703029601</v>
      </c>
    </row>
    <row r="1101" spans="2:40" x14ac:dyDescent="0.35">
      <c r="B1101" t="s">
        <v>70</v>
      </c>
      <c r="C1101" s="14">
        <v>8.7679864544542296E-3</v>
      </c>
      <c r="D1101" s="14">
        <v>1.0693921137760101E-2</v>
      </c>
      <c r="E1101" s="14">
        <v>2.8376195710579999E-3</v>
      </c>
      <c r="F1101" s="14"/>
      <c r="G1101" s="14" t="s">
        <v>76</v>
      </c>
      <c r="H1101" s="14" t="s">
        <v>76</v>
      </c>
      <c r="I1101" s="14">
        <v>8.7679864544542296E-3</v>
      </c>
      <c r="J1101" s="14"/>
      <c r="K1101" s="14" t="s">
        <v>76</v>
      </c>
      <c r="L1101" s="14">
        <v>1.3203959531260899E-2</v>
      </c>
      <c r="M1101" s="14">
        <v>0</v>
      </c>
      <c r="N1101" s="14"/>
      <c r="O1101" s="14">
        <v>8.5301109761427903E-3</v>
      </c>
      <c r="P1101" s="14">
        <v>0</v>
      </c>
      <c r="Q1101" s="14"/>
      <c r="R1101" s="14">
        <v>0</v>
      </c>
      <c r="S1101" s="14">
        <v>0</v>
      </c>
      <c r="T1101" s="14">
        <v>0</v>
      </c>
      <c r="U1101" s="14">
        <v>3.1728795693669098E-2</v>
      </c>
      <c r="V1101" s="14">
        <v>1.8891547775312999E-2</v>
      </c>
      <c r="W1101" s="14">
        <v>0</v>
      </c>
      <c r="X1101" s="14">
        <v>2.3926574019830501E-2</v>
      </c>
      <c r="Y1101" s="14">
        <v>0</v>
      </c>
      <c r="Z1101" s="14">
        <v>1.0140672088045999E-2</v>
      </c>
      <c r="AA1101" s="14"/>
      <c r="AB1101" s="14">
        <v>0</v>
      </c>
      <c r="AC1101" s="14">
        <v>1.09698101253854E-2</v>
      </c>
      <c r="AD1101" s="14">
        <v>0</v>
      </c>
      <c r="AE1101" s="14">
        <v>0</v>
      </c>
      <c r="AF1101" s="14"/>
      <c r="AG1101" s="14">
        <v>0</v>
      </c>
      <c r="AH1101" s="14">
        <v>0</v>
      </c>
      <c r="AI1101" s="14"/>
      <c r="AJ1101" s="14">
        <v>0</v>
      </c>
      <c r="AK1101" s="14">
        <v>0</v>
      </c>
      <c r="AL1101" s="14"/>
      <c r="AM1101" s="14">
        <v>2.1085203010531399E-3</v>
      </c>
      <c r="AN1101" s="14">
        <v>0</v>
      </c>
    </row>
    <row r="1102" spans="2:40" x14ac:dyDescent="0.35">
      <c r="C1102" s="14"/>
      <c r="D1102" s="14"/>
      <c r="E1102" s="14"/>
      <c r="F1102" s="14"/>
      <c r="G1102" s="14"/>
      <c r="H1102" s="14"/>
      <c r="I1102" s="14"/>
      <c r="J1102" s="14"/>
      <c r="K1102" s="14"/>
      <c r="L1102" s="14"/>
      <c r="M1102" s="14"/>
      <c r="N1102" s="14"/>
      <c r="O1102" s="14"/>
      <c r="P1102" s="14"/>
      <c r="Q1102" s="14"/>
      <c r="R1102" s="14"/>
      <c r="S1102" s="14"/>
      <c r="T1102" s="14"/>
      <c r="U1102" s="14"/>
      <c r="V1102" s="14"/>
      <c r="W1102" s="14"/>
      <c r="X1102" s="14"/>
      <c r="Y1102" s="14"/>
      <c r="Z1102" s="14"/>
      <c r="AA1102" s="14"/>
      <c r="AB1102" s="14"/>
      <c r="AC1102" s="14"/>
      <c r="AD1102" s="14"/>
      <c r="AE1102" s="14"/>
      <c r="AF1102" s="14"/>
      <c r="AG1102" s="14"/>
      <c r="AH1102" s="14"/>
      <c r="AI1102" s="14"/>
      <c r="AJ1102" s="14"/>
      <c r="AK1102" s="14"/>
      <c r="AL1102" s="14"/>
      <c r="AM1102" s="14"/>
      <c r="AN1102" s="14"/>
    </row>
    <row r="1103" spans="2:40" x14ac:dyDescent="0.35">
      <c r="B1103" s="6" t="s">
        <v>293</v>
      </c>
      <c r="C1103" s="14"/>
      <c r="D1103" s="14"/>
      <c r="E1103" s="14"/>
      <c r="F1103" s="14"/>
      <c r="G1103" s="14"/>
      <c r="H1103" s="14"/>
      <c r="I1103" s="14"/>
      <c r="J1103" s="14"/>
      <c r="K1103" s="14"/>
      <c r="L1103" s="14"/>
      <c r="M1103" s="14"/>
      <c r="N1103" s="14"/>
      <c r="O1103" s="14"/>
      <c r="P1103" s="14"/>
      <c r="Q1103" s="14"/>
      <c r="R1103" s="14"/>
      <c r="S1103" s="14"/>
      <c r="T1103" s="14"/>
      <c r="U1103" s="14"/>
      <c r="V1103" s="14"/>
      <c r="W1103" s="14"/>
      <c r="X1103" s="14"/>
      <c r="Y1103" s="14"/>
      <c r="Z1103" s="14"/>
      <c r="AA1103" s="14"/>
      <c r="AB1103" s="14"/>
      <c r="AC1103" s="14"/>
      <c r="AD1103" s="14"/>
      <c r="AE1103" s="14"/>
      <c r="AF1103" s="14"/>
      <c r="AG1103" s="14"/>
      <c r="AH1103" s="14"/>
      <c r="AI1103" s="14"/>
      <c r="AJ1103" s="14"/>
      <c r="AK1103" s="14"/>
      <c r="AL1103" s="14"/>
      <c r="AM1103" s="14"/>
      <c r="AN1103" s="14"/>
    </row>
    <row r="1104" spans="2:40" x14ac:dyDescent="0.35">
      <c r="B1104" s="26" t="s">
        <v>395</v>
      </c>
      <c r="C1104" s="14"/>
      <c r="D1104" s="14"/>
      <c r="E1104" s="14"/>
      <c r="F1104" s="14"/>
      <c r="G1104" s="14"/>
      <c r="H1104" s="14"/>
      <c r="I1104" s="14"/>
      <c r="J1104" s="14"/>
      <c r="K1104" s="14"/>
      <c r="L1104" s="14"/>
      <c r="M1104" s="14"/>
      <c r="N1104" s="14"/>
      <c r="O1104" s="14"/>
      <c r="P1104" s="14"/>
      <c r="Q1104" s="14"/>
      <c r="R1104" s="14"/>
      <c r="S1104" s="14"/>
      <c r="T1104" s="14"/>
      <c r="U1104" s="14"/>
      <c r="V1104" s="14"/>
      <c r="W1104" s="14"/>
      <c r="X1104" s="14"/>
      <c r="Y1104" s="14"/>
      <c r="Z1104" s="14"/>
      <c r="AA1104" s="14"/>
      <c r="AB1104" s="14"/>
      <c r="AC1104" s="14"/>
      <c r="AD1104" s="14"/>
      <c r="AE1104" s="14"/>
      <c r="AF1104" s="14"/>
      <c r="AG1104" s="14"/>
      <c r="AH1104" s="14"/>
      <c r="AI1104" s="14"/>
      <c r="AJ1104" s="14"/>
      <c r="AK1104" s="14"/>
      <c r="AL1104" s="14"/>
      <c r="AM1104" s="14"/>
      <c r="AN1104" s="14"/>
    </row>
    <row r="1105" spans="2:40" x14ac:dyDescent="0.35">
      <c r="B1105" t="s">
        <v>242</v>
      </c>
      <c r="C1105" s="14">
        <v>0.30773056499544099</v>
      </c>
      <c r="D1105" s="14">
        <v>0.31051575631393602</v>
      </c>
      <c r="E1105" s="14">
        <v>0.30549803388969798</v>
      </c>
      <c r="F1105" s="14"/>
      <c r="G1105" s="14" t="s">
        <v>76</v>
      </c>
      <c r="H1105" s="14" t="s">
        <v>76</v>
      </c>
      <c r="I1105" s="14">
        <v>0.30773056499544099</v>
      </c>
      <c r="J1105" s="14"/>
      <c r="K1105" s="14" t="s">
        <v>76</v>
      </c>
      <c r="L1105" s="14">
        <v>0.317851621382577</v>
      </c>
      <c r="M1105" s="14">
        <v>0.28772564526967498</v>
      </c>
      <c r="N1105" s="14"/>
      <c r="O1105" s="14">
        <v>0.29363145891514297</v>
      </c>
      <c r="P1105" s="14">
        <v>0.35587424495537801</v>
      </c>
      <c r="Q1105" s="14"/>
      <c r="R1105" s="14">
        <v>0.374646911704208</v>
      </c>
      <c r="S1105" s="14">
        <v>0.16747850998601599</v>
      </c>
      <c r="T1105" s="14">
        <v>0.39047307685564497</v>
      </c>
      <c r="U1105" s="14">
        <v>0.25056465943551498</v>
      </c>
      <c r="V1105" s="14">
        <v>0.40407672206929501</v>
      </c>
      <c r="W1105" s="14">
        <v>0.237984998426893</v>
      </c>
      <c r="X1105" s="14">
        <v>0.42379179209283702</v>
      </c>
      <c r="Y1105" s="14">
        <v>0.23311650187688601</v>
      </c>
      <c r="Z1105" s="14">
        <v>0.33498194485586602</v>
      </c>
      <c r="AA1105" s="14"/>
      <c r="AB1105" s="14">
        <v>0.37042494339988102</v>
      </c>
      <c r="AC1105" s="14">
        <v>0.32703913914545801</v>
      </c>
      <c r="AD1105" s="14">
        <v>0.31202853465557401</v>
      </c>
      <c r="AE1105" s="14">
        <v>0.225120042302037</v>
      </c>
      <c r="AF1105" s="14"/>
      <c r="AG1105" s="14">
        <v>0.35909567490561101</v>
      </c>
      <c r="AH1105" s="14">
        <v>0.47727664895798499</v>
      </c>
      <c r="AI1105" s="14"/>
      <c r="AJ1105" s="14">
        <v>0.39623448425923602</v>
      </c>
      <c r="AK1105" s="14">
        <v>0.16938876484750601</v>
      </c>
      <c r="AL1105" s="14"/>
      <c r="AM1105" s="14">
        <v>0.40024443073348498</v>
      </c>
      <c r="AN1105" s="14">
        <v>0.19212305578564701</v>
      </c>
    </row>
    <row r="1106" spans="2:40" x14ac:dyDescent="0.35">
      <c r="B1106" t="s">
        <v>243</v>
      </c>
      <c r="C1106" s="14">
        <v>0.49924640803162001</v>
      </c>
      <c r="D1106" s="14">
        <v>0.510414739861765</v>
      </c>
      <c r="E1106" s="14">
        <v>0.48219140470148603</v>
      </c>
      <c r="F1106" s="14"/>
      <c r="G1106" s="14" t="s">
        <v>76</v>
      </c>
      <c r="H1106" s="14" t="s">
        <v>76</v>
      </c>
      <c r="I1106" s="14">
        <v>0.49924640803162001</v>
      </c>
      <c r="J1106" s="14"/>
      <c r="K1106" s="14" t="s">
        <v>76</v>
      </c>
      <c r="L1106" s="14">
        <v>0.497574954569515</v>
      </c>
      <c r="M1106" s="14">
        <v>0.50255014343786197</v>
      </c>
      <c r="N1106" s="14"/>
      <c r="O1106" s="14">
        <v>0.50483734419582205</v>
      </c>
      <c r="P1106" s="14">
        <v>0.48496025922276098</v>
      </c>
      <c r="Q1106" s="14"/>
      <c r="R1106" s="14">
        <v>0.42959355869100302</v>
      </c>
      <c r="S1106" s="14">
        <v>0.60123693598945205</v>
      </c>
      <c r="T1106" s="14">
        <v>0.46457023684424398</v>
      </c>
      <c r="U1106" s="14">
        <v>0.51388609554139297</v>
      </c>
      <c r="V1106" s="14">
        <v>0.38442438614756502</v>
      </c>
      <c r="W1106" s="14">
        <v>0.51889145553246796</v>
      </c>
      <c r="X1106" s="14">
        <v>0.423804930851929</v>
      </c>
      <c r="Y1106" s="14">
        <v>0.51980126660404302</v>
      </c>
      <c r="Z1106" s="14">
        <v>0.57354380231748803</v>
      </c>
      <c r="AA1106" s="14"/>
      <c r="AB1106" s="14">
        <v>0.38907574381625099</v>
      </c>
      <c r="AC1106" s="14">
        <v>0.54438162187930195</v>
      </c>
      <c r="AD1106" s="14">
        <v>0.49454653681417199</v>
      </c>
      <c r="AE1106" s="14">
        <v>0.54891152800402199</v>
      </c>
      <c r="AF1106" s="14"/>
      <c r="AG1106" s="14">
        <v>0.54649631592768699</v>
      </c>
      <c r="AH1106" s="14">
        <v>0.439752981822013</v>
      </c>
      <c r="AI1106" s="14"/>
      <c r="AJ1106" s="14">
        <v>0.51295182734220501</v>
      </c>
      <c r="AK1106" s="14">
        <v>0.47074588369817999</v>
      </c>
      <c r="AL1106" s="14"/>
      <c r="AM1106" s="14">
        <v>0.49561573682135202</v>
      </c>
      <c r="AN1106" s="14">
        <v>0.45815665632746799</v>
      </c>
    </row>
    <row r="1107" spans="2:40" x14ac:dyDescent="0.35">
      <c r="B1107" t="s">
        <v>244</v>
      </c>
      <c r="C1107" s="14">
        <v>0.102507411628439</v>
      </c>
      <c r="D1107" s="14">
        <v>0.10625520839773001</v>
      </c>
      <c r="E1107" s="14">
        <v>9.9634802074112197E-2</v>
      </c>
      <c r="F1107" s="14"/>
      <c r="G1107" s="14" t="s">
        <v>76</v>
      </c>
      <c r="H1107" s="14" t="s">
        <v>76</v>
      </c>
      <c r="I1107" s="14">
        <v>0.102507411628439</v>
      </c>
      <c r="J1107" s="14"/>
      <c r="K1107" s="14" t="s">
        <v>76</v>
      </c>
      <c r="L1107" s="14">
        <v>0.10276459680652</v>
      </c>
      <c r="M1107" s="14">
        <v>0.10199906856173099</v>
      </c>
      <c r="N1107" s="14"/>
      <c r="O1107" s="14">
        <v>9.9953900138973498E-2</v>
      </c>
      <c r="P1107" s="14">
        <v>0.116535667174386</v>
      </c>
      <c r="Q1107" s="14"/>
      <c r="R1107" s="14">
        <v>9.8398096495780005E-2</v>
      </c>
      <c r="S1107" s="14">
        <v>0.12948597431838499</v>
      </c>
      <c r="T1107" s="14">
        <v>8.5220742878721306E-2</v>
      </c>
      <c r="U1107" s="14">
        <v>0.104357431722702</v>
      </c>
      <c r="V1107" s="14">
        <v>0.152633450397787</v>
      </c>
      <c r="W1107" s="14">
        <v>0.129250108870722</v>
      </c>
      <c r="X1107" s="14">
        <v>5.0783867567070498E-2</v>
      </c>
      <c r="Y1107" s="14">
        <v>0.12334300685493001</v>
      </c>
      <c r="Z1107" s="14">
        <v>6.0126057955773603E-2</v>
      </c>
      <c r="AA1107" s="14"/>
      <c r="AB1107" s="14">
        <v>0.15824774265547001</v>
      </c>
      <c r="AC1107" s="14">
        <v>0.10281112367727201</v>
      </c>
      <c r="AD1107" s="14">
        <v>0.101251332297023</v>
      </c>
      <c r="AE1107" s="14">
        <v>0.130618480590042</v>
      </c>
      <c r="AF1107" s="14"/>
      <c r="AG1107" s="14">
        <v>6.8872486079259901E-2</v>
      </c>
      <c r="AH1107" s="14">
        <v>3.1459676229754201E-2</v>
      </c>
      <c r="AI1107" s="14"/>
      <c r="AJ1107" s="14">
        <v>5.7115371843862901E-2</v>
      </c>
      <c r="AK1107" s="14">
        <v>0.173100091860317</v>
      </c>
      <c r="AL1107" s="14"/>
      <c r="AM1107" s="14">
        <v>7.6629091500257707E-2</v>
      </c>
      <c r="AN1107" s="14">
        <v>8.3649712393972994E-2</v>
      </c>
    </row>
    <row r="1108" spans="2:40" x14ac:dyDescent="0.35">
      <c r="B1108" t="s">
        <v>245</v>
      </c>
      <c r="C1108" s="14">
        <v>6.0627551557570998E-2</v>
      </c>
      <c r="D1108" s="14">
        <v>4.1789641619799103E-2</v>
      </c>
      <c r="E1108" s="14">
        <v>8.3676799520138803E-2</v>
      </c>
      <c r="F1108" s="14"/>
      <c r="G1108" s="14" t="s">
        <v>76</v>
      </c>
      <c r="H1108" s="14" t="s">
        <v>76</v>
      </c>
      <c r="I1108" s="14">
        <v>6.0627551557570998E-2</v>
      </c>
      <c r="J1108" s="14"/>
      <c r="K1108" s="14" t="s">
        <v>76</v>
      </c>
      <c r="L1108" s="14">
        <v>4.55188940021009E-2</v>
      </c>
      <c r="M1108" s="14">
        <v>9.0490786184485097E-2</v>
      </c>
      <c r="N1108" s="14"/>
      <c r="O1108" s="14">
        <v>6.5333186645291405E-2</v>
      </c>
      <c r="P1108" s="14">
        <v>4.2629828647474201E-2</v>
      </c>
      <c r="Q1108" s="14"/>
      <c r="R1108" s="14">
        <v>5.2936214288930299E-2</v>
      </c>
      <c r="S1108" s="14">
        <v>8.3560522625697797E-2</v>
      </c>
      <c r="T1108" s="14">
        <v>2.0851445526269601E-2</v>
      </c>
      <c r="U1108" s="14">
        <v>6.7866303910886494E-2</v>
      </c>
      <c r="V1108" s="14">
        <v>2.00485503665743E-2</v>
      </c>
      <c r="W1108" s="14">
        <v>9.9942407336062203E-2</v>
      </c>
      <c r="X1108" s="14">
        <v>7.7692835468332999E-2</v>
      </c>
      <c r="Y1108" s="14">
        <v>9.6325050788519898E-2</v>
      </c>
      <c r="Z1108" s="14">
        <v>3.1348194870872502E-2</v>
      </c>
      <c r="AA1108" s="14"/>
      <c r="AB1108" s="14">
        <v>6.8455477702258599E-2</v>
      </c>
      <c r="AC1108" s="14">
        <v>1.0464972621612801E-2</v>
      </c>
      <c r="AD1108" s="14">
        <v>9.2173596233230695E-2</v>
      </c>
      <c r="AE1108" s="14">
        <v>8.2489451815320802E-2</v>
      </c>
      <c r="AF1108" s="14"/>
      <c r="AG1108" s="14">
        <v>1.0967436455187499E-2</v>
      </c>
      <c r="AH1108" s="14">
        <v>5.1510692990248602E-2</v>
      </c>
      <c r="AI1108" s="14"/>
      <c r="AJ1108" s="14">
        <v>2.37083051703454E-2</v>
      </c>
      <c r="AK1108" s="14">
        <v>0.18676525959399601</v>
      </c>
      <c r="AL1108" s="14"/>
      <c r="AM1108" s="14">
        <v>1.1687331294340301E-2</v>
      </c>
      <c r="AN1108" s="14">
        <v>0.20577271765833299</v>
      </c>
    </row>
    <row r="1109" spans="2:40" x14ac:dyDescent="0.35">
      <c r="B1109" t="s">
        <v>70</v>
      </c>
      <c r="C1109" s="14">
        <v>2.9888063786929198E-2</v>
      </c>
      <c r="D1109" s="14">
        <v>3.1024653806770101E-2</v>
      </c>
      <c r="E1109" s="14">
        <v>2.8998959814564899E-2</v>
      </c>
      <c r="F1109" s="14"/>
      <c r="G1109" s="14" t="s">
        <v>76</v>
      </c>
      <c r="H1109" s="14" t="s">
        <v>76</v>
      </c>
      <c r="I1109" s="14">
        <v>2.9888063786929198E-2</v>
      </c>
      <c r="J1109" s="14"/>
      <c r="K1109" s="14" t="s">
        <v>76</v>
      </c>
      <c r="L1109" s="14">
        <v>3.6289933239287198E-2</v>
      </c>
      <c r="M1109" s="14">
        <v>1.72343565462472E-2</v>
      </c>
      <c r="N1109" s="14"/>
      <c r="O1109" s="14">
        <v>3.62441101047703E-2</v>
      </c>
      <c r="P1109" s="14">
        <v>0</v>
      </c>
      <c r="Q1109" s="14"/>
      <c r="R1109" s="14">
        <v>4.4425218820079097E-2</v>
      </c>
      <c r="S1109" s="14">
        <v>1.8238057080448601E-2</v>
      </c>
      <c r="T1109" s="14">
        <v>3.8884497895120697E-2</v>
      </c>
      <c r="U1109" s="14">
        <v>6.3325509389503196E-2</v>
      </c>
      <c r="V1109" s="14">
        <v>3.8816891018778298E-2</v>
      </c>
      <c r="W1109" s="14">
        <v>1.39310298338553E-2</v>
      </c>
      <c r="X1109" s="14">
        <v>2.3926574019830501E-2</v>
      </c>
      <c r="Y1109" s="14">
        <v>2.7414173875620701E-2</v>
      </c>
      <c r="Z1109" s="14">
        <v>0</v>
      </c>
      <c r="AA1109" s="14"/>
      <c r="AB1109" s="14">
        <v>1.3796092426138501E-2</v>
      </c>
      <c r="AC1109" s="14">
        <v>1.53031426763549E-2</v>
      </c>
      <c r="AD1109" s="14">
        <v>0</v>
      </c>
      <c r="AE1109" s="14">
        <v>1.2860497288577501E-2</v>
      </c>
      <c r="AF1109" s="14"/>
      <c r="AG1109" s="14">
        <v>1.4568086632254699E-2</v>
      </c>
      <c r="AH1109" s="14">
        <v>0</v>
      </c>
      <c r="AI1109" s="14"/>
      <c r="AJ1109" s="14">
        <v>9.9900113843502201E-3</v>
      </c>
      <c r="AK1109" s="14">
        <v>0</v>
      </c>
      <c r="AL1109" s="14"/>
      <c r="AM1109" s="14">
        <v>1.58234096505659E-2</v>
      </c>
      <c r="AN1109" s="14">
        <v>6.0297857834579603E-2</v>
      </c>
    </row>
    <row r="1110" spans="2:40" x14ac:dyDescent="0.35">
      <c r="C1110" s="14"/>
      <c r="D1110" s="14"/>
      <c r="E1110" s="14"/>
      <c r="F1110" s="14"/>
      <c r="G1110" s="14"/>
      <c r="H1110" s="14"/>
      <c r="I1110" s="14"/>
      <c r="J1110" s="14"/>
      <c r="K1110" s="14"/>
      <c r="L1110" s="14"/>
      <c r="M1110" s="14"/>
      <c r="N1110" s="14"/>
      <c r="O1110" s="14"/>
      <c r="P1110" s="14"/>
      <c r="Q1110" s="14"/>
      <c r="R1110" s="14"/>
      <c r="S1110" s="14"/>
      <c r="T1110" s="14"/>
      <c r="U1110" s="14"/>
      <c r="V1110" s="14"/>
      <c r="W1110" s="14"/>
      <c r="X1110" s="14"/>
      <c r="Y1110" s="14"/>
      <c r="Z1110" s="14"/>
      <c r="AA1110" s="14"/>
      <c r="AB1110" s="14"/>
      <c r="AC1110" s="14"/>
      <c r="AD1110" s="14"/>
      <c r="AE1110" s="14"/>
      <c r="AF1110" s="14"/>
      <c r="AG1110" s="14"/>
      <c r="AH1110" s="14"/>
      <c r="AI1110" s="14"/>
      <c r="AJ1110" s="14"/>
      <c r="AK1110" s="14"/>
      <c r="AL1110" s="14"/>
      <c r="AM1110" s="14"/>
      <c r="AN1110" s="14"/>
    </row>
    <row r="1111" spans="2:40" x14ac:dyDescent="0.35">
      <c r="B1111" s="6" t="s">
        <v>302</v>
      </c>
      <c r="C1111" s="14"/>
      <c r="D1111" s="14"/>
      <c r="E1111" s="14"/>
      <c r="F1111" s="14"/>
      <c r="G1111" s="14"/>
      <c r="H1111" s="14"/>
      <c r="I1111" s="14"/>
      <c r="J1111" s="14"/>
      <c r="K1111" s="14"/>
      <c r="L1111" s="14"/>
      <c r="M1111" s="14"/>
      <c r="N1111" s="14"/>
      <c r="O1111" s="14"/>
      <c r="P1111" s="14"/>
      <c r="Q1111" s="14"/>
      <c r="R1111" s="14"/>
      <c r="S1111" s="14"/>
      <c r="T1111" s="14"/>
      <c r="U1111" s="14"/>
      <c r="V1111" s="14"/>
      <c r="W1111" s="14"/>
      <c r="X1111" s="14"/>
      <c r="Y1111" s="14"/>
      <c r="Z1111" s="14"/>
      <c r="AA1111" s="14"/>
      <c r="AB1111" s="14"/>
      <c r="AC1111" s="14"/>
      <c r="AD1111" s="14"/>
      <c r="AE1111" s="14"/>
      <c r="AF1111" s="14"/>
      <c r="AG1111" s="14"/>
      <c r="AH1111" s="14"/>
      <c r="AI1111" s="14"/>
      <c r="AJ1111" s="14"/>
      <c r="AK1111" s="14"/>
      <c r="AL1111" s="14"/>
      <c r="AM1111" s="14"/>
      <c r="AN1111" s="14"/>
    </row>
    <row r="1112" spans="2:40" ht="29" x14ac:dyDescent="0.35">
      <c r="B1112" s="34" t="s">
        <v>389</v>
      </c>
      <c r="C1112" s="14"/>
      <c r="D1112" s="14"/>
      <c r="E1112" s="14"/>
      <c r="F1112" s="14"/>
      <c r="G1112" s="14"/>
      <c r="H1112" s="14"/>
      <c r="I1112" s="14"/>
      <c r="J1112" s="14"/>
      <c r="K1112" s="14"/>
      <c r="L1112" s="14"/>
      <c r="M1112" s="14"/>
      <c r="N1112" s="14"/>
      <c r="O1112" s="14"/>
      <c r="P1112" s="14"/>
      <c r="Q1112" s="14"/>
      <c r="R1112" s="14"/>
      <c r="S1112" s="14"/>
      <c r="T1112" s="14"/>
      <c r="U1112" s="14"/>
      <c r="V1112" s="14"/>
      <c r="W1112" s="14"/>
      <c r="X1112" s="14"/>
      <c r="Y1112" s="14"/>
      <c r="Z1112" s="14"/>
      <c r="AA1112" s="14"/>
      <c r="AB1112" s="14"/>
      <c r="AC1112" s="14"/>
      <c r="AD1112" s="14"/>
      <c r="AE1112" s="14"/>
      <c r="AF1112" s="14"/>
      <c r="AG1112" s="14"/>
      <c r="AH1112" s="14"/>
      <c r="AI1112" s="14"/>
      <c r="AJ1112" s="14"/>
      <c r="AK1112" s="14"/>
      <c r="AL1112" s="14"/>
      <c r="AM1112" s="14"/>
      <c r="AN1112" s="14"/>
    </row>
    <row r="1113" spans="2:40" x14ac:dyDescent="0.35">
      <c r="B1113" t="s">
        <v>294</v>
      </c>
      <c r="C1113" s="14">
        <v>0.38216161180157698</v>
      </c>
      <c r="D1113" s="14">
        <v>0.42023032314654202</v>
      </c>
      <c r="E1113" s="14">
        <v>0.33997922291293198</v>
      </c>
      <c r="F1113" s="14"/>
      <c r="G1113" s="14">
        <v>0.38216161180157698</v>
      </c>
      <c r="H1113" s="14" t="s">
        <v>76</v>
      </c>
      <c r="I1113" s="14" t="s">
        <v>76</v>
      </c>
      <c r="J1113" s="14"/>
      <c r="K1113" s="14">
        <v>0.38216161180157698</v>
      </c>
      <c r="L1113" s="14" t="s">
        <v>76</v>
      </c>
      <c r="M1113" s="14" t="s">
        <v>76</v>
      </c>
      <c r="N1113" s="14"/>
      <c r="O1113" s="14">
        <v>0.39461233557754399</v>
      </c>
      <c r="P1113" s="14">
        <v>0.26946531290631998</v>
      </c>
      <c r="Q1113" s="14"/>
      <c r="R1113" s="14">
        <v>0.31838804982844399</v>
      </c>
      <c r="S1113" s="14">
        <v>0.46085612613511601</v>
      </c>
      <c r="T1113" s="14">
        <v>0.41124214284576599</v>
      </c>
      <c r="U1113" s="14">
        <v>0.32236261540488298</v>
      </c>
      <c r="V1113" s="14">
        <v>0.26425003994291202</v>
      </c>
      <c r="W1113" s="14">
        <v>0.426713965642882</v>
      </c>
      <c r="X1113" s="14">
        <v>0.40233140164482301</v>
      </c>
      <c r="Y1113" s="14">
        <v>0.36329036577602303</v>
      </c>
      <c r="Z1113" s="14">
        <v>0.45351113458819298</v>
      </c>
      <c r="AA1113" s="14"/>
      <c r="AB1113" s="14" t="s">
        <v>76</v>
      </c>
      <c r="AC1113" s="14" t="s">
        <v>76</v>
      </c>
      <c r="AD1113" s="14" t="s">
        <v>76</v>
      </c>
      <c r="AE1113" s="14" t="s">
        <v>76</v>
      </c>
      <c r="AF1113" s="14"/>
      <c r="AG1113" s="14" t="s">
        <v>76</v>
      </c>
      <c r="AH1113" s="14" t="s">
        <v>76</v>
      </c>
      <c r="AI1113" s="14"/>
      <c r="AJ1113" s="14" t="s">
        <v>76</v>
      </c>
      <c r="AK1113" s="14" t="s">
        <v>76</v>
      </c>
      <c r="AL1113" s="14"/>
      <c r="AM1113" s="14">
        <v>0.44113367433106798</v>
      </c>
      <c r="AN1113" s="14">
        <v>0.19129148638714799</v>
      </c>
    </row>
    <row r="1114" spans="2:40" x14ac:dyDescent="0.35">
      <c r="B1114" t="s">
        <v>295</v>
      </c>
      <c r="C1114" s="14">
        <v>5.3033908247723298E-2</v>
      </c>
      <c r="D1114" s="14">
        <v>5.9067594894473302E-2</v>
      </c>
      <c r="E1114" s="14">
        <v>4.6348225765353301E-2</v>
      </c>
      <c r="F1114" s="14"/>
      <c r="G1114" s="14">
        <v>5.3033908247723298E-2</v>
      </c>
      <c r="H1114" s="14" t="s">
        <v>76</v>
      </c>
      <c r="I1114" s="14" t="s">
        <v>76</v>
      </c>
      <c r="J1114" s="14"/>
      <c r="K1114" s="14">
        <v>5.3033908247723298E-2</v>
      </c>
      <c r="L1114" s="14" t="s">
        <v>76</v>
      </c>
      <c r="M1114" s="14" t="s">
        <v>76</v>
      </c>
      <c r="N1114" s="14"/>
      <c r="O1114" s="14">
        <v>4.5600793198812002E-2</v>
      </c>
      <c r="P1114" s="14">
        <v>0.12978882013479101</v>
      </c>
      <c r="Q1114" s="14"/>
      <c r="R1114" s="14">
        <v>5.27168852064673E-2</v>
      </c>
      <c r="S1114" s="14">
        <v>2.30476441860329E-2</v>
      </c>
      <c r="T1114" s="14">
        <v>0.10744873858521301</v>
      </c>
      <c r="U1114" s="14">
        <v>0</v>
      </c>
      <c r="V1114" s="14">
        <v>0.117531272660001</v>
      </c>
      <c r="W1114" s="14">
        <v>4.22668808550326E-2</v>
      </c>
      <c r="X1114" s="14">
        <v>2.3378224696034601E-2</v>
      </c>
      <c r="Y1114" s="14">
        <v>0.13444636620237799</v>
      </c>
      <c r="Z1114" s="14">
        <v>4.03255475295555E-2</v>
      </c>
      <c r="AA1114" s="14"/>
      <c r="AB1114" s="14" t="s">
        <v>76</v>
      </c>
      <c r="AC1114" s="14" t="s">
        <v>76</v>
      </c>
      <c r="AD1114" s="14" t="s">
        <v>76</v>
      </c>
      <c r="AE1114" s="14" t="s">
        <v>76</v>
      </c>
      <c r="AF1114" s="14"/>
      <c r="AG1114" s="14" t="s">
        <v>76</v>
      </c>
      <c r="AH1114" s="14" t="s">
        <v>76</v>
      </c>
      <c r="AI1114" s="14"/>
      <c r="AJ1114" s="14" t="s">
        <v>76</v>
      </c>
      <c r="AK1114" s="14" t="s">
        <v>76</v>
      </c>
      <c r="AL1114" s="14"/>
      <c r="AM1114" s="14">
        <v>5.1174310733285003E-2</v>
      </c>
      <c r="AN1114" s="14">
        <v>5.3754575978530603E-2</v>
      </c>
    </row>
    <row r="1115" spans="2:40" x14ac:dyDescent="0.35">
      <c r="B1115" t="s">
        <v>296</v>
      </c>
      <c r="C1115" s="14">
        <v>3.6324653161151299E-2</v>
      </c>
      <c r="D1115" s="14">
        <v>4.6174608608976299E-2</v>
      </c>
      <c r="E1115" s="14">
        <v>2.5410318618252801E-2</v>
      </c>
      <c r="F1115" s="14"/>
      <c r="G1115" s="14">
        <v>3.6324653161151299E-2</v>
      </c>
      <c r="H1115" s="14" t="s">
        <v>76</v>
      </c>
      <c r="I1115" s="14" t="s">
        <v>76</v>
      </c>
      <c r="J1115" s="14"/>
      <c r="K1115" s="14">
        <v>3.6324653161151299E-2</v>
      </c>
      <c r="L1115" s="14" t="s">
        <v>76</v>
      </c>
      <c r="M1115" s="14" t="s">
        <v>76</v>
      </c>
      <c r="N1115" s="14"/>
      <c r="O1115" s="14">
        <v>3.3577867636414301E-2</v>
      </c>
      <c r="P1115" s="14">
        <v>6.6800246469914296E-2</v>
      </c>
      <c r="Q1115" s="14"/>
      <c r="R1115" s="14">
        <v>6.0165196290249898E-2</v>
      </c>
      <c r="S1115" s="14">
        <v>2.4313255845479598E-2</v>
      </c>
      <c r="T1115" s="14">
        <v>5.4692731586244998E-2</v>
      </c>
      <c r="U1115" s="14">
        <v>0</v>
      </c>
      <c r="V1115" s="14">
        <v>2.0509173118583201E-2</v>
      </c>
      <c r="W1115" s="14">
        <v>1.0852308309335999E-2</v>
      </c>
      <c r="X1115" s="14">
        <v>0.11062037839288701</v>
      </c>
      <c r="Y1115" s="14">
        <v>3.07639499884385E-2</v>
      </c>
      <c r="Z1115" s="14">
        <v>1.21284247649006E-2</v>
      </c>
      <c r="AA1115" s="14"/>
      <c r="AB1115" s="14" t="s">
        <v>76</v>
      </c>
      <c r="AC1115" s="14" t="s">
        <v>76</v>
      </c>
      <c r="AD1115" s="14" t="s">
        <v>76</v>
      </c>
      <c r="AE1115" s="14" t="s">
        <v>76</v>
      </c>
      <c r="AF1115" s="14"/>
      <c r="AG1115" s="14" t="s">
        <v>76</v>
      </c>
      <c r="AH1115" s="14" t="s">
        <v>76</v>
      </c>
      <c r="AI1115" s="14"/>
      <c r="AJ1115" s="14" t="s">
        <v>76</v>
      </c>
      <c r="AK1115" s="14" t="s">
        <v>76</v>
      </c>
      <c r="AL1115" s="14"/>
      <c r="AM1115" s="14">
        <v>3.7125571752668E-2</v>
      </c>
      <c r="AN1115" s="14">
        <v>3.3777701972283102E-2</v>
      </c>
    </row>
    <row r="1116" spans="2:40" x14ac:dyDescent="0.35">
      <c r="B1116" t="s">
        <v>297</v>
      </c>
      <c r="C1116" s="14">
        <v>0.26747225993171803</v>
      </c>
      <c r="D1116" s="14">
        <v>0.245793834214104</v>
      </c>
      <c r="E1116" s="14">
        <v>0.29149324072687999</v>
      </c>
      <c r="F1116" s="14"/>
      <c r="G1116" s="14">
        <v>0.26747225993171803</v>
      </c>
      <c r="H1116" s="14" t="s">
        <v>76</v>
      </c>
      <c r="I1116" s="14" t="s">
        <v>76</v>
      </c>
      <c r="J1116" s="14"/>
      <c r="K1116" s="14">
        <v>0.26747225993171803</v>
      </c>
      <c r="L1116" s="14" t="s">
        <v>76</v>
      </c>
      <c r="M1116" s="14" t="s">
        <v>76</v>
      </c>
      <c r="N1116" s="14"/>
      <c r="O1116" s="14">
        <v>0.26897791198297999</v>
      </c>
      <c r="P1116" s="14">
        <v>0.26906951791100597</v>
      </c>
      <c r="Q1116" s="14"/>
      <c r="R1116" s="14">
        <v>0.314619992865737</v>
      </c>
      <c r="S1116" s="14">
        <v>0.17132578972065601</v>
      </c>
      <c r="T1116" s="14">
        <v>0.18047832598798699</v>
      </c>
      <c r="U1116" s="14">
        <v>0.41246898839721002</v>
      </c>
      <c r="V1116" s="14">
        <v>0.24620032322749899</v>
      </c>
      <c r="W1116" s="14">
        <v>0.33025256182325002</v>
      </c>
      <c r="X1116" s="14">
        <v>0.1239658110641</v>
      </c>
      <c r="Y1116" s="14">
        <v>0.32881481139889701</v>
      </c>
      <c r="Z1116" s="14">
        <v>0.305897816683948</v>
      </c>
      <c r="AA1116" s="14"/>
      <c r="AB1116" s="14" t="s">
        <v>76</v>
      </c>
      <c r="AC1116" s="14" t="s">
        <v>76</v>
      </c>
      <c r="AD1116" s="14" t="s">
        <v>76</v>
      </c>
      <c r="AE1116" s="14" t="s">
        <v>76</v>
      </c>
      <c r="AF1116" s="14"/>
      <c r="AG1116" s="14" t="s">
        <v>76</v>
      </c>
      <c r="AH1116" s="14" t="s">
        <v>76</v>
      </c>
      <c r="AI1116" s="14"/>
      <c r="AJ1116" s="14" t="s">
        <v>76</v>
      </c>
      <c r="AK1116" s="14" t="s">
        <v>76</v>
      </c>
      <c r="AL1116" s="14"/>
      <c r="AM1116" s="14">
        <v>0.22460010630827701</v>
      </c>
      <c r="AN1116" s="14">
        <v>0.43010121828160303</v>
      </c>
    </row>
    <row r="1117" spans="2:40" x14ac:dyDescent="0.35">
      <c r="B1117" t="s">
        <v>298</v>
      </c>
      <c r="C1117" s="14">
        <v>4.0240324649573403E-2</v>
      </c>
      <c r="D1117" s="14">
        <v>2.6073000353549699E-2</v>
      </c>
      <c r="E1117" s="14">
        <v>5.5938559810492797E-2</v>
      </c>
      <c r="F1117" s="14"/>
      <c r="G1117" s="14">
        <v>4.0240324649573403E-2</v>
      </c>
      <c r="H1117" s="14" t="s">
        <v>76</v>
      </c>
      <c r="I1117" s="14" t="s">
        <v>76</v>
      </c>
      <c r="J1117" s="14"/>
      <c r="K1117" s="14">
        <v>4.0240324649573403E-2</v>
      </c>
      <c r="L1117" s="14" t="s">
        <v>76</v>
      </c>
      <c r="M1117" s="14" t="s">
        <v>76</v>
      </c>
      <c r="N1117" s="14"/>
      <c r="O1117" s="14">
        <v>3.9266160802264201E-2</v>
      </c>
      <c r="P1117" s="14">
        <v>5.4503080209922602E-2</v>
      </c>
      <c r="Q1117" s="14"/>
      <c r="R1117" s="14">
        <v>5.5467369208666802E-2</v>
      </c>
      <c r="S1117" s="14">
        <v>3.7800354848248202E-2</v>
      </c>
      <c r="T1117" s="14">
        <v>4.7958421059462401E-2</v>
      </c>
      <c r="U1117" s="14">
        <v>9.0496607347501298E-2</v>
      </c>
      <c r="V1117" s="14">
        <v>0</v>
      </c>
      <c r="W1117" s="14">
        <v>3.76332617646397E-2</v>
      </c>
      <c r="X1117" s="14">
        <v>4.8397975084799899E-2</v>
      </c>
      <c r="Y1117" s="14">
        <v>3.7031353520270802E-2</v>
      </c>
      <c r="Z1117" s="14">
        <v>0</v>
      </c>
      <c r="AA1117" s="14"/>
      <c r="AB1117" s="14" t="s">
        <v>76</v>
      </c>
      <c r="AC1117" s="14" t="s">
        <v>76</v>
      </c>
      <c r="AD1117" s="14" t="s">
        <v>76</v>
      </c>
      <c r="AE1117" s="14" t="s">
        <v>76</v>
      </c>
      <c r="AF1117" s="14"/>
      <c r="AG1117" s="14" t="s">
        <v>76</v>
      </c>
      <c r="AH1117" s="14" t="s">
        <v>76</v>
      </c>
      <c r="AI1117" s="14"/>
      <c r="AJ1117" s="14" t="s">
        <v>76</v>
      </c>
      <c r="AK1117" s="14" t="s">
        <v>76</v>
      </c>
      <c r="AL1117" s="14"/>
      <c r="AM1117" s="14">
        <v>3.4024543360181098E-2</v>
      </c>
      <c r="AN1117" s="14">
        <v>5.4792543076396201E-2</v>
      </c>
    </row>
    <row r="1118" spans="2:40" x14ac:dyDescent="0.35">
      <c r="B1118" t="s">
        <v>299</v>
      </c>
      <c r="C1118" s="14">
        <v>8.4485204772033695E-2</v>
      </c>
      <c r="D1118" s="14">
        <v>7.6067480396057E-2</v>
      </c>
      <c r="E1118" s="14">
        <v>9.3812542384470093E-2</v>
      </c>
      <c r="F1118" s="14"/>
      <c r="G1118" s="14">
        <v>8.4485204772033695E-2</v>
      </c>
      <c r="H1118" s="14" t="s">
        <v>76</v>
      </c>
      <c r="I1118" s="14" t="s">
        <v>76</v>
      </c>
      <c r="J1118" s="14"/>
      <c r="K1118" s="14">
        <v>8.4485204772033695E-2</v>
      </c>
      <c r="L1118" s="14" t="s">
        <v>76</v>
      </c>
      <c r="M1118" s="14" t="s">
        <v>76</v>
      </c>
      <c r="N1118" s="14"/>
      <c r="O1118" s="14">
        <v>9.2435306532567693E-2</v>
      </c>
      <c r="P1118" s="14">
        <v>2.02219640658108E-2</v>
      </c>
      <c r="Q1118" s="14"/>
      <c r="R1118" s="14">
        <v>0</v>
      </c>
      <c r="S1118" s="14">
        <v>0.14716900676977801</v>
      </c>
      <c r="T1118" s="14">
        <v>0.14922357054900201</v>
      </c>
      <c r="U1118" s="14">
        <v>0.100640719169506</v>
      </c>
      <c r="V1118" s="14">
        <v>9.3905880075456499E-2</v>
      </c>
      <c r="W1118" s="14">
        <v>3.6398606573803401E-2</v>
      </c>
      <c r="X1118" s="14">
        <v>7.0544465421279207E-2</v>
      </c>
      <c r="Y1118" s="14">
        <v>0</v>
      </c>
      <c r="Z1118" s="14">
        <v>0.13557660979694799</v>
      </c>
      <c r="AA1118" s="14"/>
      <c r="AB1118" s="14" t="s">
        <v>76</v>
      </c>
      <c r="AC1118" s="14" t="s">
        <v>76</v>
      </c>
      <c r="AD1118" s="14" t="s">
        <v>76</v>
      </c>
      <c r="AE1118" s="14" t="s">
        <v>76</v>
      </c>
      <c r="AF1118" s="14"/>
      <c r="AG1118" s="14" t="s">
        <v>76</v>
      </c>
      <c r="AH1118" s="14" t="s">
        <v>76</v>
      </c>
      <c r="AI1118" s="14"/>
      <c r="AJ1118" s="14" t="s">
        <v>76</v>
      </c>
      <c r="AK1118" s="14" t="s">
        <v>76</v>
      </c>
      <c r="AL1118" s="14"/>
      <c r="AM1118" s="14">
        <v>9.1506612695371498E-2</v>
      </c>
      <c r="AN1118" s="14">
        <v>6.5682503107112003E-2</v>
      </c>
    </row>
    <row r="1119" spans="2:40" x14ac:dyDescent="0.35">
      <c r="B1119" t="s">
        <v>300</v>
      </c>
      <c r="C1119" s="14">
        <v>9.6831181965746194E-2</v>
      </c>
      <c r="D1119" s="14">
        <v>9.7395354404264903E-2</v>
      </c>
      <c r="E1119" s="14">
        <v>9.6206045459647893E-2</v>
      </c>
      <c r="F1119" s="14"/>
      <c r="G1119" s="14">
        <v>9.6831181965746194E-2</v>
      </c>
      <c r="H1119" s="14" t="s">
        <v>76</v>
      </c>
      <c r="I1119" s="14" t="s">
        <v>76</v>
      </c>
      <c r="J1119" s="14"/>
      <c r="K1119" s="14">
        <v>9.6831181965746194E-2</v>
      </c>
      <c r="L1119" s="14" t="s">
        <v>76</v>
      </c>
      <c r="M1119" s="14" t="s">
        <v>76</v>
      </c>
      <c r="N1119" s="14"/>
      <c r="O1119" s="14">
        <v>8.4646351305993905E-2</v>
      </c>
      <c r="P1119" s="14">
        <v>0.190151058302235</v>
      </c>
      <c r="Q1119" s="14"/>
      <c r="R1119" s="14">
        <v>0.18875423176221801</v>
      </c>
      <c r="S1119" s="14">
        <v>5.8042580937208897E-2</v>
      </c>
      <c r="T1119" s="14">
        <v>0</v>
      </c>
      <c r="U1119" s="14">
        <v>5.4266491659457003E-2</v>
      </c>
      <c r="V1119" s="14">
        <v>0.20471577367906801</v>
      </c>
      <c r="W1119" s="14">
        <v>4.8196304051040403E-2</v>
      </c>
      <c r="X1119" s="14">
        <v>0.14268286543995501</v>
      </c>
      <c r="Y1119" s="14">
        <v>0.105653153113992</v>
      </c>
      <c r="Z1119" s="14">
        <v>5.2560466636454799E-2</v>
      </c>
      <c r="AA1119" s="14"/>
      <c r="AB1119" s="14" t="s">
        <v>76</v>
      </c>
      <c r="AC1119" s="14" t="s">
        <v>76</v>
      </c>
      <c r="AD1119" s="14" t="s">
        <v>76</v>
      </c>
      <c r="AE1119" s="14" t="s">
        <v>76</v>
      </c>
      <c r="AF1119" s="14"/>
      <c r="AG1119" s="14" t="s">
        <v>76</v>
      </c>
      <c r="AH1119" s="14" t="s">
        <v>76</v>
      </c>
      <c r="AI1119" s="14"/>
      <c r="AJ1119" s="14" t="s">
        <v>76</v>
      </c>
      <c r="AK1119" s="14" t="s">
        <v>76</v>
      </c>
      <c r="AL1119" s="14"/>
      <c r="AM1119" s="14">
        <v>0.10698794687695699</v>
      </c>
      <c r="AN1119" s="14">
        <v>5.2372101559949903E-2</v>
      </c>
    </row>
    <row r="1120" spans="2:40" x14ac:dyDescent="0.35">
      <c r="B1120" t="s">
        <v>301</v>
      </c>
      <c r="C1120" s="14">
        <v>1.7654051670621999E-2</v>
      </c>
      <c r="D1120" s="14">
        <v>1.11944327664351E-2</v>
      </c>
      <c r="E1120" s="14">
        <v>2.4811692343554698E-2</v>
      </c>
      <c r="F1120" s="14"/>
      <c r="G1120" s="14">
        <v>1.7654051670621999E-2</v>
      </c>
      <c r="H1120" s="14" t="s">
        <v>76</v>
      </c>
      <c r="I1120" s="14" t="s">
        <v>76</v>
      </c>
      <c r="J1120" s="14"/>
      <c r="K1120" s="14">
        <v>1.7654051670621999E-2</v>
      </c>
      <c r="L1120" s="14" t="s">
        <v>76</v>
      </c>
      <c r="M1120" s="14" t="s">
        <v>76</v>
      </c>
      <c r="N1120" s="14"/>
      <c r="O1120" s="14">
        <v>1.97636370981106E-2</v>
      </c>
      <c r="P1120" s="14">
        <v>0</v>
      </c>
      <c r="Q1120" s="14"/>
      <c r="R1120" s="14">
        <v>9.8882748382167103E-3</v>
      </c>
      <c r="S1120" s="14">
        <v>1.06518211480464E-2</v>
      </c>
      <c r="T1120" s="14">
        <v>1.9228561864718E-2</v>
      </c>
      <c r="U1120" s="14">
        <v>1.9764578021442599E-2</v>
      </c>
      <c r="V1120" s="14">
        <v>5.2887537296479298E-2</v>
      </c>
      <c r="W1120" s="14">
        <v>2.25620369933387E-2</v>
      </c>
      <c r="X1120" s="14">
        <v>2.9680911940133701E-2</v>
      </c>
      <c r="Y1120" s="14">
        <v>0</v>
      </c>
      <c r="Z1120" s="14">
        <v>0</v>
      </c>
      <c r="AA1120" s="14"/>
      <c r="AB1120" s="14" t="s">
        <v>76</v>
      </c>
      <c r="AC1120" s="14" t="s">
        <v>76</v>
      </c>
      <c r="AD1120" s="14" t="s">
        <v>76</v>
      </c>
      <c r="AE1120" s="14" t="s">
        <v>76</v>
      </c>
      <c r="AF1120" s="14"/>
      <c r="AG1120" s="14" t="s">
        <v>76</v>
      </c>
      <c r="AH1120" s="14" t="s">
        <v>76</v>
      </c>
      <c r="AI1120" s="14"/>
      <c r="AJ1120" s="14" t="s">
        <v>76</v>
      </c>
      <c r="AK1120" s="14" t="s">
        <v>76</v>
      </c>
      <c r="AL1120" s="14"/>
      <c r="AM1120" s="14">
        <v>6.8873583663459203E-3</v>
      </c>
      <c r="AN1120" s="14">
        <v>7.6217611126278506E-2</v>
      </c>
    </row>
    <row r="1121" spans="2:40" x14ac:dyDescent="0.35">
      <c r="B1121" t="s">
        <v>70</v>
      </c>
      <c r="C1121" s="14">
        <v>2.1796803799855002E-2</v>
      </c>
      <c r="D1121" s="14">
        <v>1.80033712155971E-2</v>
      </c>
      <c r="E1121" s="14">
        <v>2.60001519784159E-2</v>
      </c>
      <c r="F1121" s="14"/>
      <c r="G1121" s="14">
        <v>2.1796803799855002E-2</v>
      </c>
      <c r="H1121" s="14" t="s">
        <v>76</v>
      </c>
      <c r="I1121" s="14" t="s">
        <v>76</v>
      </c>
      <c r="J1121" s="14"/>
      <c r="K1121" s="14">
        <v>2.1796803799855002E-2</v>
      </c>
      <c r="L1121" s="14" t="s">
        <v>76</v>
      </c>
      <c r="M1121" s="14" t="s">
        <v>76</v>
      </c>
      <c r="N1121" s="14"/>
      <c r="O1121" s="14">
        <v>2.1119635865313801E-2</v>
      </c>
      <c r="P1121" s="14">
        <v>0</v>
      </c>
      <c r="Q1121" s="14"/>
      <c r="R1121" s="14">
        <v>0</v>
      </c>
      <c r="S1121" s="14">
        <v>6.6793420409434007E-2</v>
      </c>
      <c r="T1121" s="14">
        <v>2.9727507521606099E-2</v>
      </c>
      <c r="U1121" s="14">
        <v>0</v>
      </c>
      <c r="V1121" s="14">
        <v>0</v>
      </c>
      <c r="W1121" s="14">
        <v>4.5124073986677497E-2</v>
      </c>
      <c r="X1121" s="14">
        <v>4.8397966315987702E-2</v>
      </c>
      <c r="Y1121" s="14">
        <v>0</v>
      </c>
      <c r="Z1121" s="14">
        <v>0</v>
      </c>
      <c r="AA1121" s="14"/>
      <c r="AB1121" s="14" t="s">
        <v>76</v>
      </c>
      <c r="AC1121" s="14" t="s">
        <v>76</v>
      </c>
      <c r="AD1121" s="14" t="s">
        <v>76</v>
      </c>
      <c r="AE1121" s="14" t="s">
        <v>76</v>
      </c>
      <c r="AF1121" s="14"/>
      <c r="AG1121" s="14" t="s">
        <v>76</v>
      </c>
      <c r="AH1121" s="14" t="s">
        <v>76</v>
      </c>
      <c r="AI1121" s="14"/>
      <c r="AJ1121" s="14" t="s">
        <v>76</v>
      </c>
      <c r="AK1121" s="14" t="s">
        <v>76</v>
      </c>
      <c r="AL1121" s="14"/>
      <c r="AM1121" s="14">
        <v>6.5598755758460798E-3</v>
      </c>
      <c r="AN1121" s="14">
        <v>4.2010258510698097E-2</v>
      </c>
    </row>
    <row r="1122" spans="2:40" x14ac:dyDescent="0.35">
      <c r="C1122" s="14"/>
      <c r="D1122" s="14"/>
      <c r="E1122" s="14"/>
      <c r="F1122" s="14"/>
      <c r="G1122" s="14"/>
      <c r="H1122" s="14"/>
      <c r="I1122" s="14"/>
      <c r="J1122" s="14"/>
      <c r="K1122" s="14"/>
      <c r="L1122" s="14"/>
      <c r="M1122" s="14"/>
      <c r="N1122" s="14"/>
      <c r="O1122" s="14"/>
      <c r="P1122" s="14"/>
      <c r="Q1122" s="14"/>
      <c r="R1122" s="14"/>
      <c r="S1122" s="14"/>
      <c r="T1122" s="14"/>
      <c r="U1122" s="14"/>
      <c r="V1122" s="14"/>
      <c r="W1122" s="14"/>
      <c r="X1122" s="14"/>
      <c r="Y1122" s="14"/>
      <c r="Z1122" s="14"/>
      <c r="AA1122" s="14"/>
      <c r="AB1122" s="14"/>
      <c r="AC1122" s="14"/>
      <c r="AD1122" s="14"/>
      <c r="AE1122" s="14"/>
      <c r="AF1122" s="14"/>
      <c r="AG1122" s="14"/>
      <c r="AH1122" s="14"/>
      <c r="AI1122" s="14"/>
      <c r="AJ1122" s="14"/>
      <c r="AK1122" s="14"/>
      <c r="AL1122" s="14"/>
      <c r="AM1122" s="14"/>
      <c r="AN1122" s="14"/>
    </row>
    <row r="1123" spans="2:40" x14ac:dyDescent="0.35">
      <c r="B1123" s="6" t="s">
        <v>304</v>
      </c>
      <c r="C1123" s="14"/>
      <c r="D1123" s="14"/>
      <c r="E1123" s="14"/>
      <c r="F1123" s="14"/>
      <c r="G1123" s="14"/>
      <c r="H1123" s="14"/>
      <c r="I1123" s="14"/>
      <c r="J1123" s="14"/>
      <c r="K1123" s="14"/>
      <c r="L1123" s="14"/>
      <c r="M1123" s="14"/>
      <c r="N1123" s="14"/>
      <c r="O1123" s="14"/>
      <c r="P1123" s="14"/>
      <c r="Q1123" s="14"/>
      <c r="R1123" s="14"/>
      <c r="S1123" s="14"/>
      <c r="T1123" s="14"/>
      <c r="U1123" s="14"/>
      <c r="V1123" s="14"/>
      <c r="W1123" s="14"/>
      <c r="X1123" s="14"/>
      <c r="Y1123" s="14"/>
      <c r="Z1123" s="14"/>
      <c r="AA1123" s="14"/>
      <c r="AB1123" s="14"/>
      <c r="AC1123" s="14"/>
      <c r="AD1123" s="14"/>
      <c r="AE1123" s="14"/>
      <c r="AF1123" s="14"/>
      <c r="AG1123" s="14"/>
      <c r="AH1123" s="14"/>
      <c r="AI1123" s="14"/>
      <c r="AJ1123" s="14"/>
      <c r="AK1123" s="14"/>
      <c r="AL1123" s="14"/>
      <c r="AM1123" s="14"/>
      <c r="AN1123" s="14"/>
    </row>
    <row r="1124" spans="2:40" x14ac:dyDescent="0.35">
      <c r="B1124" s="26" t="s">
        <v>389</v>
      </c>
      <c r="C1124" s="14" t="s">
        <v>303</v>
      </c>
      <c r="D1124" s="14"/>
      <c r="E1124" s="14"/>
      <c r="F1124" s="14"/>
      <c r="G1124" s="14"/>
      <c r="H1124" s="14"/>
      <c r="I1124" s="14"/>
      <c r="J1124" s="14"/>
      <c r="K1124" s="14"/>
      <c r="L1124" s="14"/>
      <c r="M1124" s="14"/>
      <c r="N1124" s="14"/>
      <c r="O1124" s="14"/>
      <c r="P1124" s="14"/>
      <c r="Q1124" s="14"/>
      <c r="R1124" s="14"/>
      <c r="S1124" s="14"/>
      <c r="T1124" s="14"/>
      <c r="U1124" s="14"/>
      <c r="V1124" s="14"/>
      <c r="W1124" s="14"/>
      <c r="X1124" s="14"/>
      <c r="Y1124" s="14"/>
      <c r="Z1124" s="14"/>
      <c r="AA1124" s="14"/>
      <c r="AB1124" s="14"/>
      <c r="AC1124" s="14"/>
      <c r="AD1124" s="14"/>
      <c r="AE1124" s="14"/>
      <c r="AF1124" s="14"/>
      <c r="AG1124" s="14"/>
      <c r="AH1124" s="14"/>
      <c r="AI1124" s="14"/>
      <c r="AJ1124" s="14"/>
      <c r="AK1124" s="14"/>
      <c r="AL1124" s="14"/>
      <c r="AM1124" s="14"/>
      <c r="AN1124" s="14"/>
    </row>
    <row r="1125" spans="2:40" x14ac:dyDescent="0.35">
      <c r="B1125" t="s">
        <v>294</v>
      </c>
      <c r="C1125" s="14">
        <v>0.516450824920344</v>
      </c>
      <c r="D1125" s="14">
        <v>0.56066506090845203</v>
      </c>
      <c r="E1125" s="14">
        <v>0.46745883041955599</v>
      </c>
      <c r="F1125" s="14"/>
      <c r="G1125" s="14">
        <v>0.516450824920344</v>
      </c>
      <c r="H1125" s="14" t="s">
        <v>76</v>
      </c>
      <c r="I1125" s="14" t="s">
        <v>76</v>
      </c>
      <c r="J1125" s="14"/>
      <c r="K1125" s="14">
        <v>0.516450824920344</v>
      </c>
      <c r="L1125" s="14" t="s">
        <v>76</v>
      </c>
      <c r="M1125" s="14" t="s">
        <v>76</v>
      </c>
      <c r="N1125" s="14"/>
      <c r="O1125" s="14">
        <v>0.53714676105463099</v>
      </c>
      <c r="P1125" s="14">
        <v>0.291262419034372</v>
      </c>
      <c r="Q1125" s="14"/>
      <c r="R1125" s="14">
        <v>0.41713839961626198</v>
      </c>
      <c r="S1125" s="14">
        <v>0.621500235108429</v>
      </c>
      <c r="T1125" s="14">
        <v>0.59782787508666702</v>
      </c>
      <c r="U1125" s="14">
        <v>0.43057290269028298</v>
      </c>
      <c r="V1125" s="14">
        <v>0.63273323848806595</v>
      </c>
      <c r="W1125" s="14">
        <v>0.58808974166654704</v>
      </c>
      <c r="X1125" s="14">
        <v>0.35547337243107502</v>
      </c>
      <c r="Y1125" s="14">
        <v>0.42905921998166102</v>
      </c>
      <c r="Z1125" s="14">
        <v>0.55201980711446197</v>
      </c>
      <c r="AA1125" s="14"/>
      <c r="AB1125" s="14" t="s">
        <v>76</v>
      </c>
      <c r="AC1125" s="14" t="s">
        <v>76</v>
      </c>
      <c r="AD1125" s="14" t="s">
        <v>76</v>
      </c>
      <c r="AE1125" s="14" t="s">
        <v>76</v>
      </c>
      <c r="AF1125" s="14"/>
      <c r="AG1125" s="14" t="s">
        <v>76</v>
      </c>
      <c r="AH1125" s="14" t="s">
        <v>76</v>
      </c>
      <c r="AI1125" s="14"/>
      <c r="AJ1125" s="14" t="s">
        <v>76</v>
      </c>
      <c r="AK1125" s="14" t="s">
        <v>76</v>
      </c>
      <c r="AL1125" s="14"/>
      <c r="AM1125" s="14">
        <v>0.55249207230899</v>
      </c>
      <c r="AN1125" s="14">
        <v>0.48070266244693199</v>
      </c>
    </row>
    <row r="1126" spans="2:40" x14ac:dyDescent="0.35">
      <c r="B1126" t="s">
        <v>295</v>
      </c>
      <c r="C1126" s="14">
        <v>4.5121497267198503E-2</v>
      </c>
      <c r="D1126" s="14">
        <v>4.3416638460777097E-2</v>
      </c>
      <c r="E1126" s="14">
        <v>4.7010581888976902E-2</v>
      </c>
      <c r="F1126" s="14"/>
      <c r="G1126" s="14">
        <v>4.5121497267198503E-2</v>
      </c>
      <c r="H1126" s="14" t="s">
        <v>76</v>
      </c>
      <c r="I1126" s="14" t="s">
        <v>76</v>
      </c>
      <c r="J1126" s="14"/>
      <c r="K1126" s="14">
        <v>4.5121497267198503E-2</v>
      </c>
      <c r="L1126" s="14" t="s">
        <v>76</v>
      </c>
      <c r="M1126" s="14" t="s">
        <v>76</v>
      </c>
      <c r="N1126" s="14"/>
      <c r="O1126" s="14">
        <v>4.8601805038190199E-2</v>
      </c>
      <c r="P1126" s="14">
        <v>1.8016430220889099E-2</v>
      </c>
      <c r="Q1126" s="14"/>
      <c r="R1126" s="14">
        <v>5.3753934371128902E-2</v>
      </c>
      <c r="S1126" s="14">
        <v>6.7458646011443898E-2</v>
      </c>
      <c r="T1126" s="14">
        <v>0</v>
      </c>
      <c r="U1126" s="14">
        <v>0.113105298623075</v>
      </c>
      <c r="V1126" s="14">
        <v>0</v>
      </c>
      <c r="W1126" s="14">
        <v>3.71557789580036E-2</v>
      </c>
      <c r="X1126" s="14">
        <v>2.8140966984951599E-2</v>
      </c>
      <c r="Y1126" s="14">
        <v>3.9057802823342702E-2</v>
      </c>
      <c r="Z1126" s="14">
        <v>4.2378233428251699E-2</v>
      </c>
      <c r="AA1126" s="14"/>
      <c r="AB1126" s="14" t="s">
        <v>76</v>
      </c>
      <c r="AC1126" s="14" t="s">
        <v>76</v>
      </c>
      <c r="AD1126" s="14" t="s">
        <v>76</v>
      </c>
      <c r="AE1126" s="14" t="s">
        <v>76</v>
      </c>
      <c r="AF1126" s="14"/>
      <c r="AG1126" s="14" t="s">
        <v>76</v>
      </c>
      <c r="AH1126" s="14" t="s">
        <v>76</v>
      </c>
      <c r="AI1126" s="14"/>
      <c r="AJ1126" s="14" t="s">
        <v>76</v>
      </c>
      <c r="AK1126" s="14" t="s">
        <v>76</v>
      </c>
      <c r="AL1126" s="14"/>
      <c r="AM1126" s="14">
        <v>5.7551533834093303E-2</v>
      </c>
      <c r="AN1126" s="14">
        <v>1.2327054846636E-2</v>
      </c>
    </row>
    <row r="1127" spans="2:40" x14ac:dyDescent="0.35">
      <c r="B1127" t="s">
        <v>296</v>
      </c>
      <c r="C1127" s="14">
        <v>5.7511083504211101E-2</v>
      </c>
      <c r="D1127" s="14">
        <v>4.0844626526714702E-2</v>
      </c>
      <c r="E1127" s="14">
        <v>7.5978505825129994E-2</v>
      </c>
      <c r="F1127" s="14"/>
      <c r="G1127" s="14">
        <v>5.7511083504211101E-2</v>
      </c>
      <c r="H1127" s="14" t="s">
        <v>76</v>
      </c>
      <c r="I1127" s="14" t="s">
        <v>76</v>
      </c>
      <c r="J1127" s="14"/>
      <c r="K1127" s="14">
        <v>5.7511083504211101E-2</v>
      </c>
      <c r="L1127" s="14" t="s">
        <v>76</v>
      </c>
      <c r="M1127" s="14" t="s">
        <v>76</v>
      </c>
      <c r="N1127" s="14"/>
      <c r="O1127" s="14">
        <v>5.8572014896363801E-2</v>
      </c>
      <c r="P1127" s="14">
        <v>5.4773472354742003E-2</v>
      </c>
      <c r="Q1127" s="14"/>
      <c r="R1127" s="14">
        <v>5.6419775471708802E-2</v>
      </c>
      <c r="S1127" s="14">
        <v>4.9291747389326797E-2</v>
      </c>
      <c r="T1127" s="14">
        <v>3.8457117144806999E-2</v>
      </c>
      <c r="U1127" s="14">
        <v>3.8503711783162101E-2</v>
      </c>
      <c r="V1127" s="14">
        <v>3.7760854265876997E-2</v>
      </c>
      <c r="W1127" s="14">
        <v>4.72509148831394E-2</v>
      </c>
      <c r="X1127" s="14">
        <v>0.19799241503751999</v>
      </c>
      <c r="Y1127" s="14">
        <v>0</v>
      </c>
      <c r="Z1127" s="14">
        <v>3.8527367215973898E-2</v>
      </c>
      <c r="AA1127" s="14"/>
      <c r="AB1127" s="14" t="s">
        <v>76</v>
      </c>
      <c r="AC1127" s="14" t="s">
        <v>76</v>
      </c>
      <c r="AD1127" s="14" t="s">
        <v>76</v>
      </c>
      <c r="AE1127" s="14" t="s">
        <v>76</v>
      </c>
      <c r="AF1127" s="14"/>
      <c r="AG1127" s="14" t="s">
        <v>76</v>
      </c>
      <c r="AH1127" s="14" t="s">
        <v>76</v>
      </c>
      <c r="AI1127" s="14"/>
      <c r="AJ1127" s="14" t="s">
        <v>76</v>
      </c>
      <c r="AK1127" s="14" t="s">
        <v>76</v>
      </c>
      <c r="AL1127" s="14"/>
      <c r="AM1127" s="14">
        <v>3.7616523116882503E-2</v>
      </c>
      <c r="AN1127" s="14">
        <v>0.12015170605999501</v>
      </c>
    </row>
    <row r="1128" spans="2:40" x14ac:dyDescent="0.35">
      <c r="B1128" t="s">
        <v>297</v>
      </c>
      <c r="C1128" s="14">
        <v>5.0046937982589301E-2</v>
      </c>
      <c r="D1128" s="14">
        <v>4.3878256900879098E-2</v>
      </c>
      <c r="E1128" s="14">
        <v>5.6882202301383897E-2</v>
      </c>
      <c r="F1128" s="14"/>
      <c r="G1128" s="14">
        <v>5.0046937982589301E-2</v>
      </c>
      <c r="H1128" s="14" t="s">
        <v>76</v>
      </c>
      <c r="I1128" s="14" t="s">
        <v>76</v>
      </c>
      <c r="J1128" s="14"/>
      <c r="K1128" s="14">
        <v>5.0046937982589301E-2</v>
      </c>
      <c r="L1128" s="14" t="s">
        <v>76</v>
      </c>
      <c r="M1128" s="14" t="s">
        <v>76</v>
      </c>
      <c r="N1128" s="14"/>
      <c r="O1128" s="14">
        <v>4.0296656979407201E-2</v>
      </c>
      <c r="P1128" s="14">
        <v>0.14826437708107701</v>
      </c>
      <c r="Q1128" s="14"/>
      <c r="R1128" s="14">
        <v>9.5648055275415506E-2</v>
      </c>
      <c r="S1128" s="14">
        <v>0</v>
      </c>
      <c r="T1128" s="14">
        <v>3.74594708889123E-2</v>
      </c>
      <c r="U1128" s="14">
        <v>5.59486686125856E-2</v>
      </c>
      <c r="V1128" s="14">
        <v>3.9954259599201403E-2</v>
      </c>
      <c r="W1128" s="14">
        <v>5.7211031653293699E-2</v>
      </c>
      <c r="X1128" s="14">
        <v>0.101457111720968</v>
      </c>
      <c r="Y1128" s="14">
        <v>0</v>
      </c>
      <c r="Z1128" s="14">
        <v>3.0249808663351099E-2</v>
      </c>
      <c r="AA1128" s="14"/>
      <c r="AB1128" s="14" t="s">
        <v>76</v>
      </c>
      <c r="AC1128" s="14" t="s">
        <v>76</v>
      </c>
      <c r="AD1128" s="14" t="s">
        <v>76</v>
      </c>
      <c r="AE1128" s="14" t="s">
        <v>76</v>
      </c>
      <c r="AF1128" s="14"/>
      <c r="AG1128" s="14" t="s">
        <v>76</v>
      </c>
      <c r="AH1128" s="14" t="s">
        <v>76</v>
      </c>
      <c r="AI1128" s="14"/>
      <c r="AJ1128" s="14" t="s">
        <v>76</v>
      </c>
      <c r="AK1128" s="14" t="s">
        <v>76</v>
      </c>
      <c r="AL1128" s="14"/>
      <c r="AM1128" s="14">
        <v>5.0004215026985398E-2</v>
      </c>
      <c r="AN1128" s="14">
        <v>4.7072559056076602E-2</v>
      </c>
    </row>
    <row r="1129" spans="2:40" x14ac:dyDescent="0.35">
      <c r="B1129" t="s">
        <v>298</v>
      </c>
      <c r="C1129" s="14">
        <v>3.0433831023698701E-2</v>
      </c>
      <c r="D1129" s="14">
        <v>2.53029238475821E-2</v>
      </c>
      <c r="E1129" s="14">
        <v>3.6119180335716303E-2</v>
      </c>
      <c r="F1129" s="14"/>
      <c r="G1129" s="14">
        <v>3.0433831023698701E-2</v>
      </c>
      <c r="H1129" s="14" t="s">
        <v>76</v>
      </c>
      <c r="I1129" s="14" t="s">
        <v>76</v>
      </c>
      <c r="J1129" s="14"/>
      <c r="K1129" s="14">
        <v>3.0433831023698701E-2</v>
      </c>
      <c r="L1129" s="14" t="s">
        <v>76</v>
      </c>
      <c r="M1129" s="14" t="s">
        <v>76</v>
      </c>
      <c r="N1129" s="14"/>
      <c r="O1129" s="14">
        <v>2.7766852828328598E-2</v>
      </c>
      <c r="P1129" s="14">
        <v>5.9413400045527399E-2</v>
      </c>
      <c r="Q1129" s="14"/>
      <c r="R1129" s="14">
        <v>2.4456886440263899E-2</v>
      </c>
      <c r="S1129" s="14">
        <v>3.3064089393361702E-2</v>
      </c>
      <c r="T1129" s="14">
        <v>1.4298883269532299E-2</v>
      </c>
      <c r="U1129" s="14">
        <v>5.0967443948763798E-2</v>
      </c>
      <c r="V1129" s="14">
        <v>5.2216506329339801E-2</v>
      </c>
      <c r="W1129" s="14">
        <v>0</v>
      </c>
      <c r="X1129" s="14">
        <v>4.5886924039166901E-2</v>
      </c>
      <c r="Y1129" s="14">
        <v>7.8115617998304895E-2</v>
      </c>
      <c r="Z1129" s="14">
        <v>1.0075738866204401E-2</v>
      </c>
      <c r="AA1129" s="14"/>
      <c r="AB1129" s="14" t="s">
        <v>76</v>
      </c>
      <c r="AC1129" s="14" t="s">
        <v>76</v>
      </c>
      <c r="AD1129" s="14" t="s">
        <v>76</v>
      </c>
      <c r="AE1129" s="14" t="s">
        <v>76</v>
      </c>
      <c r="AF1129" s="14"/>
      <c r="AG1129" s="14" t="s">
        <v>76</v>
      </c>
      <c r="AH1129" s="14" t="s">
        <v>76</v>
      </c>
      <c r="AI1129" s="14"/>
      <c r="AJ1129" s="14" t="s">
        <v>76</v>
      </c>
      <c r="AK1129" s="14" t="s">
        <v>76</v>
      </c>
      <c r="AL1129" s="14"/>
      <c r="AM1129" s="14">
        <v>3.1639790737561901E-2</v>
      </c>
      <c r="AN1129" s="14">
        <v>1.08519456001957E-2</v>
      </c>
    </row>
    <row r="1130" spans="2:40" x14ac:dyDescent="0.35">
      <c r="B1130" t="s">
        <v>299</v>
      </c>
      <c r="C1130" s="14">
        <v>4.4848430440762199E-2</v>
      </c>
      <c r="D1130" s="14">
        <v>3.6448123127068903E-2</v>
      </c>
      <c r="E1130" s="14">
        <v>5.4156468915702603E-2</v>
      </c>
      <c r="F1130" s="14"/>
      <c r="G1130" s="14">
        <v>4.4848430440762199E-2</v>
      </c>
      <c r="H1130" s="14" t="s">
        <v>76</v>
      </c>
      <c r="I1130" s="14" t="s">
        <v>76</v>
      </c>
      <c r="J1130" s="14"/>
      <c r="K1130" s="14">
        <v>4.4848430440762199E-2</v>
      </c>
      <c r="L1130" s="14" t="s">
        <v>76</v>
      </c>
      <c r="M1130" s="14" t="s">
        <v>76</v>
      </c>
      <c r="N1130" s="14"/>
      <c r="O1130" s="14">
        <v>4.1603999114131998E-2</v>
      </c>
      <c r="P1130" s="14">
        <v>8.1090707409355797E-2</v>
      </c>
      <c r="Q1130" s="14"/>
      <c r="R1130" s="14">
        <v>9.1662028790736705E-2</v>
      </c>
      <c r="S1130" s="14">
        <v>3.37293271607641E-2</v>
      </c>
      <c r="T1130" s="14">
        <v>3.7459475402574299E-2</v>
      </c>
      <c r="U1130" s="14">
        <v>3.22283133672615E-2</v>
      </c>
      <c r="V1130" s="14">
        <v>3.3442451215957097E-2</v>
      </c>
      <c r="W1130" s="14">
        <v>0</v>
      </c>
      <c r="X1130" s="14">
        <v>0</v>
      </c>
      <c r="Y1130" s="14">
        <v>0</v>
      </c>
      <c r="Z1130" s="14">
        <v>0.10535835543776099</v>
      </c>
      <c r="AA1130" s="14"/>
      <c r="AB1130" s="14" t="s">
        <v>76</v>
      </c>
      <c r="AC1130" s="14" t="s">
        <v>76</v>
      </c>
      <c r="AD1130" s="14" t="s">
        <v>76</v>
      </c>
      <c r="AE1130" s="14" t="s">
        <v>76</v>
      </c>
      <c r="AF1130" s="14"/>
      <c r="AG1130" s="14" t="s">
        <v>76</v>
      </c>
      <c r="AH1130" s="14" t="s">
        <v>76</v>
      </c>
      <c r="AI1130" s="14"/>
      <c r="AJ1130" s="14" t="s">
        <v>76</v>
      </c>
      <c r="AK1130" s="14" t="s">
        <v>76</v>
      </c>
      <c r="AL1130" s="14"/>
      <c r="AM1130" s="14">
        <v>4.5495734492561397E-2</v>
      </c>
      <c r="AN1130" s="14">
        <v>1.74514940979567E-2</v>
      </c>
    </row>
    <row r="1131" spans="2:40" x14ac:dyDescent="0.35">
      <c r="B1131" t="s">
        <v>300</v>
      </c>
      <c r="C1131" s="14">
        <v>0.13867703176941701</v>
      </c>
      <c r="D1131" s="14">
        <v>0.130599826860611</v>
      </c>
      <c r="E1131" s="14">
        <v>0.147627053626188</v>
      </c>
      <c r="F1131" s="14"/>
      <c r="G1131" s="14">
        <v>0.13867703176941701</v>
      </c>
      <c r="H1131" s="14" t="s">
        <v>76</v>
      </c>
      <c r="I1131" s="14" t="s">
        <v>76</v>
      </c>
      <c r="J1131" s="14"/>
      <c r="K1131" s="14">
        <v>0.13867703176941701</v>
      </c>
      <c r="L1131" s="14" t="s">
        <v>76</v>
      </c>
      <c r="M1131" s="14" t="s">
        <v>76</v>
      </c>
      <c r="N1131" s="14"/>
      <c r="O1131" s="14">
        <v>0.12618193915221901</v>
      </c>
      <c r="P1131" s="14">
        <v>0.27395599984167102</v>
      </c>
      <c r="Q1131" s="14"/>
      <c r="R1131" s="14">
        <v>0.195264225688596</v>
      </c>
      <c r="S1131" s="14">
        <v>6.5708665317600598E-2</v>
      </c>
      <c r="T1131" s="14">
        <v>0.16445934159020301</v>
      </c>
      <c r="U1131" s="14">
        <v>9.9983987812477707E-2</v>
      </c>
      <c r="V1131" s="14">
        <v>0.162874351580963</v>
      </c>
      <c r="W1131" s="14">
        <v>0.14726014407826499</v>
      </c>
      <c r="X1131" s="14">
        <v>0.14708340749103099</v>
      </c>
      <c r="Y1131" s="14">
        <v>0.198134387939084</v>
      </c>
      <c r="Z1131" s="14">
        <v>0.10156091719019</v>
      </c>
      <c r="AA1131" s="14"/>
      <c r="AB1131" s="14" t="s">
        <v>76</v>
      </c>
      <c r="AC1131" s="14" t="s">
        <v>76</v>
      </c>
      <c r="AD1131" s="14" t="s">
        <v>76</v>
      </c>
      <c r="AE1131" s="14" t="s">
        <v>76</v>
      </c>
      <c r="AF1131" s="14"/>
      <c r="AG1131" s="14" t="s">
        <v>76</v>
      </c>
      <c r="AH1131" s="14" t="s">
        <v>76</v>
      </c>
      <c r="AI1131" s="14"/>
      <c r="AJ1131" s="14" t="s">
        <v>76</v>
      </c>
      <c r="AK1131" s="14" t="s">
        <v>76</v>
      </c>
      <c r="AL1131" s="14"/>
      <c r="AM1131" s="14">
        <v>0.13807929687574699</v>
      </c>
      <c r="AN1131" s="14">
        <v>0.116315029384221</v>
      </c>
    </row>
    <row r="1132" spans="2:40" x14ac:dyDescent="0.35">
      <c r="B1132" t="s">
        <v>301</v>
      </c>
      <c r="C1132" s="14">
        <v>1.5634810858377101E-2</v>
      </c>
      <c r="D1132" s="14">
        <v>1.5350116650054599E-2</v>
      </c>
      <c r="E1132" s="14">
        <v>1.5950268917910099E-2</v>
      </c>
      <c r="F1132" s="14"/>
      <c r="G1132" s="14">
        <v>1.5634810858377101E-2</v>
      </c>
      <c r="H1132" s="14" t="s">
        <v>76</v>
      </c>
      <c r="I1132" s="14" t="s">
        <v>76</v>
      </c>
      <c r="J1132" s="14"/>
      <c r="K1132" s="14">
        <v>1.5634810858377101E-2</v>
      </c>
      <c r="L1132" s="14" t="s">
        <v>76</v>
      </c>
      <c r="M1132" s="14" t="s">
        <v>76</v>
      </c>
      <c r="N1132" s="14"/>
      <c r="O1132" s="14">
        <v>1.1193945139952701E-2</v>
      </c>
      <c r="P1132" s="14">
        <v>5.9464922126990297E-2</v>
      </c>
      <c r="Q1132" s="14"/>
      <c r="R1132" s="14">
        <v>9.8882748382167103E-3</v>
      </c>
      <c r="S1132" s="14">
        <v>1.06518211480464E-2</v>
      </c>
      <c r="T1132" s="14">
        <v>2.9727507521606099E-2</v>
      </c>
      <c r="U1132" s="14">
        <v>5.4792751990224202E-2</v>
      </c>
      <c r="V1132" s="14">
        <v>0</v>
      </c>
      <c r="W1132" s="14">
        <v>0</v>
      </c>
      <c r="X1132" s="14">
        <v>0</v>
      </c>
      <c r="Y1132" s="14">
        <v>3.7031353520270802E-2</v>
      </c>
      <c r="Z1132" s="14">
        <v>1.1499161614023701E-2</v>
      </c>
      <c r="AA1132" s="14"/>
      <c r="AB1132" s="14" t="s">
        <v>76</v>
      </c>
      <c r="AC1132" s="14" t="s">
        <v>76</v>
      </c>
      <c r="AD1132" s="14" t="s">
        <v>76</v>
      </c>
      <c r="AE1132" s="14" t="s">
        <v>76</v>
      </c>
      <c r="AF1132" s="14"/>
      <c r="AG1132" s="14" t="s">
        <v>76</v>
      </c>
      <c r="AH1132" s="14" t="s">
        <v>76</v>
      </c>
      <c r="AI1132" s="14"/>
      <c r="AJ1132" s="14" t="s">
        <v>76</v>
      </c>
      <c r="AK1132" s="14" t="s">
        <v>76</v>
      </c>
      <c r="AL1132" s="14"/>
      <c r="AM1132" s="14">
        <v>2.3969823335342299E-3</v>
      </c>
      <c r="AN1132" s="14">
        <v>5.4624508737297003E-2</v>
      </c>
    </row>
    <row r="1133" spans="2:40" x14ac:dyDescent="0.35">
      <c r="B1133" t="s">
        <v>70</v>
      </c>
      <c r="C1133" s="14">
        <v>0.101275552233401</v>
      </c>
      <c r="D1133" s="14">
        <v>0.10349442671786099</v>
      </c>
      <c r="E1133" s="14">
        <v>9.8816907769436704E-2</v>
      </c>
      <c r="F1133" s="14"/>
      <c r="G1133" s="14">
        <v>0.101275552233401</v>
      </c>
      <c r="H1133" s="14" t="s">
        <v>76</v>
      </c>
      <c r="I1133" s="14" t="s">
        <v>76</v>
      </c>
      <c r="J1133" s="14"/>
      <c r="K1133" s="14">
        <v>0.101275552233401</v>
      </c>
      <c r="L1133" s="14" t="s">
        <v>76</v>
      </c>
      <c r="M1133" s="14" t="s">
        <v>76</v>
      </c>
      <c r="N1133" s="14"/>
      <c r="O1133" s="14">
        <v>0.108636025796776</v>
      </c>
      <c r="P1133" s="14">
        <v>1.3758271885376001E-2</v>
      </c>
      <c r="Q1133" s="14"/>
      <c r="R1133" s="14">
        <v>5.5768419507671599E-2</v>
      </c>
      <c r="S1133" s="14">
        <v>0.118595468471027</v>
      </c>
      <c r="T1133" s="14">
        <v>8.0310329095697797E-2</v>
      </c>
      <c r="U1133" s="14">
        <v>0.123896921172166</v>
      </c>
      <c r="V1133" s="14">
        <v>4.1018338520596297E-2</v>
      </c>
      <c r="W1133" s="14">
        <v>0.123032388760752</v>
      </c>
      <c r="X1133" s="14">
        <v>0.123965802295288</v>
      </c>
      <c r="Y1133" s="14">
        <v>0.218601617737337</v>
      </c>
      <c r="Z1133" s="14">
        <v>0.108330610469783</v>
      </c>
      <c r="AA1133" s="14"/>
      <c r="AB1133" s="14" t="s">
        <v>76</v>
      </c>
      <c r="AC1133" s="14" t="s">
        <v>76</v>
      </c>
      <c r="AD1133" s="14" t="s">
        <v>76</v>
      </c>
      <c r="AE1133" s="14" t="s">
        <v>76</v>
      </c>
      <c r="AF1133" s="14"/>
      <c r="AG1133" s="14" t="s">
        <v>76</v>
      </c>
      <c r="AH1133" s="14" t="s">
        <v>76</v>
      </c>
      <c r="AI1133" s="14"/>
      <c r="AJ1133" s="14" t="s">
        <v>76</v>
      </c>
      <c r="AK1133" s="14" t="s">
        <v>76</v>
      </c>
      <c r="AL1133" s="14"/>
      <c r="AM1133" s="14">
        <v>8.47238512736435E-2</v>
      </c>
      <c r="AN1133" s="14">
        <v>0.14050303977069001</v>
      </c>
    </row>
    <row r="1134" spans="2:40" x14ac:dyDescent="0.35">
      <c r="C1134" s="14"/>
      <c r="D1134" s="14"/>
      <c r="E1134" s="14"/>
      <c r="F1134" s="14"/>
      <c r="G1134" s="14"/>
      <c r="H1134" s="14"/>
      <c r="I1134" s="14"/>
      <c r="J1134" s="14"/>
      <c r="K1134" s="14"/>
      <c r="L1134" s="14"/>
      <c r="M1134" s="14"/>
      <c r="N1134" s="14"/>
      <c r="O1134" s="14"/>
      <c r="P1134" s="14"/>
      <c r="Q1134" s="14"/>
      <c r="R1134" s="14"/>
      <c r="S1134" s="14"/>
      <c r="T1134" s="14"/>
      <c r="U1134" s="14"/>
      <c r="V1134" s="14"/>
      <c r="W1134" s="14"/>
      <c r="X1134" s="14"/>
      <c r="Y1134" s="14"/>
      <c r="Z1134" s="14"/>
      <c r="AA1134" s="14"/>
      <c r="AB1134" s="14"/>
      <c r="AC1134" s="14"/>
      <c r="AD1134" s="14"/>
      <c r="AE1134" s="14"/>
      <c r="AF1134" s="14"/>
      <c r="AG1134" s="14"/>
      <c r="AH1134" s="14"/>
      <c r="AI1134" s="14"/>
      <c r="AJ1134" s="14"/>
      <c r="AK1134" s="14"/>
      <c r="AL1134" s="14"/>
      <c r="AM1134" s="14"/>
      <c r="AN1134" s="14"/>
    </row>
    <row r="1135" spans="2:40" x14ac:dyDescent="0.35">
      <c r="B1135" s="6" t="s">
        <v>302</v>
      </c>
      <c r="C1135" s="14"/>
      <c r="D1135" s="14"/>
      <c r="E1135" s="14"/>
      <c r="F1135" s="14"/>
      <c r="G1135" s="14"/>
      <c r="H1135" s="14"/>
      <c r="I1135" s="14"/>
      <c r="J1135" s="14"/>
      <c r="K1135" s="14"/>
      <c r="L1135" s="14"/>
      <c r="M1135" s="14"/>
      <c r="N1135" s="14"/>
      <c r="O1135" s="14"/>
      <c r="P1135" s="14"/>
      <c r="Q1135" s="14"/>
      <c r="R1135" s="14"/>
      <c r="S1135" s="14"/>
      <c r="T1135" s="14"/>
      <c r="U1135" s="14"/>
      <c r="V1135" s="14"/>
      <c r="W1135" s="14"/>
      <c r="X1135" s="14"/>
      <c r="Y1135" s="14"/>
      <c r="Z1135" s="14"/>
      <c r="AA1135" s="14"/>
      <c r="AB1135" s="14"/>
      <c r="AC1135" s="14"/>
      <c r="AD1135" s="14"/>
      <c r="AE1135" s="14"/>
      <c r="AF1135" s="14"/>
      <c r="AG1135" s="14"/>
      <c r="AH1135" s="14"/>
      <c r="AI1135" s="14"/>
      <c r="AJ1135" s="14"/>
      <c r="AK1135" s="14"/>
      <c r="AL1135" s="14"/>
      <c r="AM1135" s="14"/>
      <c r="AN1135" s="14"/>
    </row>
    <row r="1136" spans="2:40" x14ac:dyDescent="0.35">
      <c r="B1136" s="34" t="s">
        <v>209</v>
      </c>
      <c r="C1136" s="14" t="s">
        <v>312</v>
      </c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</row>
    <row r="1137" spans="2:40" x14ac:dyDescent="0.35">
      <c r="B1137" t="s">
        <v>305</v>
      </c>
      <c r="C1137" s="14">
        <v>0.31855047770595801</v>
      </c>
      <c r="D1137" s="14">
        <v>0.37697412655286999</v>
      </c>
      <c r="E1137" s="14">
        <v>0.25648597439333498</v>
      </c>
      <c r="F1137" s="14"/>
      <c r="G1137" s="14" t="s">
        <v>76</v>
      </c>
      <c r="H1137" s="14">
        <v>0.31855047770595801</v>
      </c>
      <c r="I1137" s="14" t="s">
        <v>76</v>
      </c>
      <c r="J1137" s="14"/>
      <c r="K1137" s="14">
        <v>0.31855047770595801</v>
      </c>
      <c r="L1137" s="14" t="s">
        <v>76</v>
      </c>
      <c r="M1137" s="14" t="s">
        <v>76</v>
      </c>
      <c r="N1137" s="14"/>
      <c r="O1137" s="14">
        <v>0.32684205320860599</v>
      </c>
      <c r="P1137" s="14">
        <v>0.22564777437738701</v>
      </c>
      <c r="Q1137" s="14"/>
      <c r="R1137" s="14">
        <v>0.272581808706713</v>
      </c>
      <c r="S1137" s="14">
        <v>0.34058729784588099</v>
      </c>
      <c r="T1137" s="14">
        <v>0.371359405777065</v>
      </c>
      <c r="U1137" s="14">
        <v>0.26621229952377201</v>
      </c>
      <c r="V1137" s="14">
        <v>0.321378465590614</v>
      </c>
      <c r="W1137" s="14">
        <v>0.32539707520128602</v>
      </c>
      <c r="X1137" s="14">
        <v>0.32214005813096502</v>
      </c>
      <c r="Y1137" s="14">
        <v>0.39618881812309598</v>
      </c>
      <c r="Z1137" s="14">
        <v>0.30593156203922101</v>
      </c>
      <c r="AA1137" s="14"/>
      <c r="AB1137" s="14" t="s">
        <v>76</v>
      </c>
      <c r="AC1137" s="14" t="s">
        <v>76</v>
      </c>
      <c r="AD1137" s="14" t="s">
        <v>76</v>
      </c>
      <c r="AE1137" s="14" t="s">
        <v>76</v>
      </c>
      <c r="AF1137" s="14"/>
      <c r="AG1137" s="14" t="s">
        <v>76</v>
      </c>
      <c r="AH1137" s="14" t="s">
        <v>76</v>
      </c>
      <c r="AI1137" s="14"/>
      <c r="AJ1137" s="14" t="s">
        <v>76</v>
      </c>
      <c r="AK1137" s="14" t="s">
        <v>76</v>
      </c>
      <c r="AL1137" s="14"/>
      <c r="AM1137" s="14">
        <v>0.38246837878307599</v>
      </c>
      <c r="AN1137" s="14">
        <v>0.223581289301441</v>
      </c>
    </row>
    <row r="1138" spans="2:40" x14ac:dyDescent="0.35">
      <c r="B1138" t="s">
        <v>306</v>
      </c>
      <c r="C1138" s="14">
        <v>0.11778290696676499</v>
      </c>
      <c r="D1138" s="14">
        <v>0.130364384602143</v>
      </c>
      <c r="E1138" s="14">
        <v>0.104599570925434</v>
      </c>
      <c r="F1138" s="14"/>
      <c r="G1138" s="14" t="s">
        <v>76</v>
      </c>
      <c r="H1138" s="14">
        <v>0.11778290696676499</v>
      </c>
      <c r="I1138" s="14" t="s">
        <v>76</v>
      </c>
      <c r="J1138" s="14"/>
      <c r="K1138" s="14">
        <v>0.11778290696676499</v>
      </c>
      <c r="L1138" s="14" t="s">
        <v>76</v>
      </c>
      <c r="M1138" s="14" t="s">
        <v>76</v>
      </c>
      <c r="N1138" s="14"/>
      <c r="O1138" s="14">
        <v>0.109599333613123</v>
      </c>
      <c r="P1138" s="14">
        <v>0.19575066724253101</v>
      </c>
      <c r="Q1138" s="14"/>
      <c r="R1138" s="14">
        <v>0.15884578661363599</v>
      </c>
      <c r="S1138" s="14">
        <v>0.13143103854586599</v>
      </c>
      <c r="T1138" s="14">
        <v>0.137967644418894</v>
      </c>
      <c r="U1138" s="14">
        <v>0.16324805867286599</v>
      </c>
      <c r="V1138" s="14">
        <v>7.9551719376242502E-2</v>
      </c>
      <c r="W1138" s="14">
        <v>0.109752165389708</v>
      </c>
      <c r="X1138" s="14">
        <v>4.9509249489563499E-2</v>
      </c>
      <c r="Y1138" s="14">
        <v>4.18617209979033E-2</v>
      </c>
      <c r="Z1138" s="14">
        <v>0.110288618829413</v>
      </c>
      <c r="AA1138" s="14"/>
      <c r="AB1138" s="14" t="s">
        <v>76</v>
      </c>
      <c r="AC1138" s="14" t="s">
        <v>76</v>
      </c>
      <c r="AD1138" s="14" t="s">
        <v>76</v>
      </c>
      <c r="AE1138" s="14" t="s">
        <v>76</v>
      </c>
      <c r="AF1138" s="14"/>
      <c r="AG1138" s="14" t="s">
        <v>76</v>
      </c>
      <c r="AH1138" s="14" t="s">
        <v>76</v>
      </c>
      <c r="AI1138" s="14"/>
      <c r="AJ1138" s="14" t="s">
        <v>76</v>
      </c>
      <c r="AK1138" s="14" t="s">
        <v>76</v>
      </c>
      <c r="AL1138" s="14"/>
      <c r="AM1138" s="14">
        <v>0.15477448176084699</v>
      </c>
      <c r="AN1138" s="14">
        <v>4.4441647708266301E-2</v>
      </c>
    </row>
    <row r="1139" spans="2:40" x14ac:dyDescent="0.35">
      <c r="B1139" t="s">
        <v>307</v>
      </c>
      <c r="C1139" s="14">
        <v>0.117576612646955</v>
      </c>
      <c r="D1139" s="14">
        <v>0.103144771042356</v>
      </c>
      <c r="E1139" s="14">
        <v>0.133634869903975</v>
      </c>
      <c r="F1139" s="14"/>
      <c r="G1139" s="14" t="s">
        <v>76</v>
      </c>
      <c r="H1139" s="14">
        <v>0.117576612646955</v>
      </c>
      <c r="I1139" s="14" t="s">
        <v>76</v>
      </c>
      <c r="J1139" s="14"/>
      <c r="K1139" s="14">
        <v>0.117576612646955</v>
      </c>
      <c r="L1139" s="14" t="s">
        <v>76</v>
      </c>
      <c r="M1139" s="14" t="s">
        <v>76</v>
      </c>
      <c r="N1139" s="14"/>
      <c r="O1139" s="14">
        <v>0.116890317001066</v>
      </c>
      <c r="P1139" s="14">
        <v>0.111297685273227</v>
      </c>
      <c r="Q1139" s="14"/>
      <c r="R1139" s="14">
        <v>9.9934254007610093E-2</v>
      </c>
      <c r="S1139" s="14">
        <v>6.8607588103435493E-2</v>
      </c>
      <c r="T1139" s="14">
        <v>8.6899534892518199E-2</v>
      </c>
      <c r="U1139" s="14">
        <v>5.8115921629382603E-2</v>
      </c>
      <c r="V1139" s="14">
        <v>7.0937085528014199E-2</v>
      </c>
      <c r="W1139" s="14">
        <v>0.17327816385502001</v>
      </c>
      <c r="X1139" s="14">
        <v>0.25431943268176399</v>
      </c>
      <c r="Y1139" s="14">
        <v>9.7853554725289102E-2</v>
      </c>
      <c r="Z1139" s="14">
        <v>0.16842669008415101</v>
      </c>
      <c r="AA1139" s="14"/>
      <c r="AB1139" s="14" t="s">
        <v>76</v>
      </c>
      <c r="AC1139" s="14" t="s">
        <v>76</v>
      </c>
      <c r="AD1139" s="14" t="s">
        <v>76</v>
      </c>
      <c r="AE1139" s="14" t="s">
        <v>76</v>
      </c>
      <c r="AF1139" s="14"/>
      <c r="AG1139" s="14" t="s">
        <v>76</v>
      </c>
      <c r="AH1139" s="14" t="s">
        <v>76</v>
      </c>
      <c r="AI1139" s="14"/>
      <c r="AJ1139" s="14" t="s">
        <v>76</v>
      </c>
      <c r="AK1139" s="14" t="s">
        <v>76</v>
      </c>
      <c r="AL1139" s="14"/>
      <c r="AM1139" s="14">
        <v>7.8064461370102298E-2</v>
      </c>
      <c r="AN1139" s="14">
        <v>0.15041608364210901</v>
      </c>
    </row>
    <row r="1140" spans="2:40" x14ac:dyDescent="0.35">
      <c r="B1140" t="s">
        <v>308</v>
      </c>
      <c r="C1140" s="14">
        <v>0.121762088717769</v>
      </c>
      <c r="D1140" s="14">
        <v>0.12159513851305701</v>
      </c>
      <c r="E1140" s="14">
        <v>0.11868944694791</v>
      </c>
      <c r="F1140" s="14"/>
      <c r="G1140" s="14" t="s">
        <v>76</v>
      </c>
      <c r="H1140" s="14">
        <v>0.121762088717769</v>
      </c>
      <c r="I1140" s="14" t="s">
        <v>76</v>
      </c>
      <c r="J1140" s="14"/>
      <c r="K1140" s="14">
        <v>0.121762088717769</v>
      </c>
      <c r="L1140" s="14" t="s">
        <v>76</v>
      </c>
      <c r="M1140" s="14" t="s">
        <v>76</v>
      </c>
      <c r="N1140" s="14"/>
      <c r="O1140" s="14">
        <v>0.120038516812498</v>
      </c>
      <c r="P1140" s="14">
        <v>0.14717655527882501</v>
      </c>
      <c r="Q1140" s="14"/>
      <c r="R1140" s="14">
        <v>0.108426934203711</v>
      </c>
      <c r="S1140" s="14">
        <v>0.11305807203302801</v>
      </c>
      <c r="T1140" s="14">
        <v>7.1863038867560194E-2</v>
      </c>
      <c r="U1140" s="14">
        <v>0.14795997667262001</v>
      </c>
      <c r="V1140" s="14">
        <v>0.13368831044908999</v>
      </c>
      <c r="W1140" s="14">
        <v>0.153300486992826</v>
      </c>
      <c r="X1140" s="14">
        <v>8.6291126560594095E-2</v>
      </c>
      <c r="Y1140" s="14">
        <v>0.21165596742012799</v>
      </c>
      <c r="Z1140" s="14">
        <v>0.13875218611029599</v>
      </c>
      <c r="AA1140" s="14"/>
      <c r="AB1140" s="14" t="s">
        <v>76</v>
      </c>
      <c r="AC1140" s="14" t="s">
        <v>76</v>
      </c>
      <c r="AD1140" s="14" t="s">
        <v>76</v>
      </c>
      <c r="AE1140" s="14" t="s">
        <v>76</v>
      </c>
      <c r="AF1140" s="14"/>
      <c r="AG1140" s="14" t="s">
        <v>76</v>
      </c>
      <c r="AH1140" s="14" t="s">
        <v>76</v>
      </c>
      <c r="AI1140" s="14"/>
      <c r="AJ1140" s="14" t="s">
        <v>76</v>
      </c>
      <c r="AK1140" s="14" t="s">
        <v>76</v>
      </c>
      <c r="AL1140" s="14"/>
      <c r="AM1140" s="14">
        <v>0.111412214260421</v>
      </c>
      <c r="AN1140" s="14">
        <v>0.10707099391434401</v>
      </c>
    </row>
    <row r="1141" spans="2:40" x14ac:dyDescent="0.35">
      <c r="B1141" t="s">
        <v>309</v>
      </c>
      <c r="C1141" s="14">
        <v>8.0047220255660995E-2</v>
      </c>
      <c r="D1141" s="14">
        <v>7.4027945611106899E-2</v>
      </c>
      <c r="E1141" s="14">
        <v>8.68597120438344E-2</v>
      </c>
      <c r="F1141" s="14"/>
      <c r="G1141" s="14" t="s">
        <v>76</v>
      </c>
      <c r="H1141" s="14">
        <v>8.0047220255660995E-2</v>
      </c>
      <c r="I1141" s="14" t="s">
        <v>76</v>
      </c>
      <c r="J1141" s="14"/>
      <c r="K1141" s="14">
        <v>8.0047220255660995E-2</v>
      </c>
      <c r="L1141" s="14" t="s">
        <v>76</v>
      </c>
      <c r="M1141" s="14" t="s">
        <v>76</v>
      </c>
      <c r="N1141" s="14"/>
      <c r="O1141" s="14">
        <v>8.0237929725655494E-2</v>
      </c>
      <c r="P1141" s="14">
        <v>7.58656575397475E-2</v>
      </c>
      <c r="Q1141" s="14"/>
      <c r="R1141" s="14">
        <v>0.12191913329651299</v>
      </c>
      <c r="S1141" s="14">
        <v>3.2235881482400898E-2</v>
      </c>
      <c r="T1141" s="14">
        <v>9.3937937367201504E-2</v>
      </c>
      <c r="U1141" s="14">
        <v>0.16476087131554701</v>
      </c>
      <c r="V1141" s="14">
        <v>8.6434195078484002E-2</v>
      </c>
      <c r="W1141" s="14">
        <v>1.5432304607923801E-2</v>
      </c>
      <c r="X1141" s="14">
        <v>2.4754624405641301E-2</v>
      </c>
      <c r="Y1141" s="14">
        <v>7.9333136697421605E-2</v>
      </c>
      <c r="Z1141" s="14">
        <v>9.7520484067087299E-2</v>
      </c>
      <c r="AA1141" s="14"/>
      <c r="AB1141" s="14" t="s">
        <v>76</v>
      </c>
      <c r="AC1141" s="14" t="s">
        <v>76</v>
      </c>
      <c r="AD1141" s="14" t="s">
        <v>76</v>
      </c>
      <c r="AE1141" s="14" t="s">
        <v>76</v>
      </c>
      <c r="AF1141" s="14"/>
      <c r="AG1141" s="14" t="s">
        <v>76</v>
      </c>
      <c r="AH1141" s="14" t="s">
        <v>76</v>
      </c>
      <c r="AI1141" s="14"/>
      <c r="AJ1141" s="14" t="s">
        <v>76</v>
      </c>
      <c r="AK1141" s="14" t="s">
        <v>76</v>
      </c>
      <c r="AL1141" s="14"/>
      <c r="AM1141" s="14">
        <v>8.9314902270050303E-2</v>
      </c>
      <c r="AN1141" s="14">
        <v>5.8272953172616299E-2</v>
      </c>
    </row>
    <row r="1142" spans="2:40" x14ac:dyDescent="0.35">
      <c r="B1142" t="s">
        <v>310</v>
      </c>
      <c r="C1142" s="14">
        <v>0.10722712753374</v>
      </c>
      <c r="D1142" s="14">
        <v>7.5379810872714406E-2</v>
      </c>
      <c r="E1142" s="14">
        <v>0.14209958092500799</v>
      </c>
      <c r="F1142" s="14"/>
      <c r="G1142" s="14" t="s">
        <v>76</v>
      </c>
      <c r="H1142" s="14">
        <v>0.10722712753374</v>
      </c>
      <c r="I1142" s="14" t="s">
        <v>76</v>
      </c>
      <c r="J1142" s="14"/>
      <c r="K1142" s="14">
        <v>0.10722712753374</v>
      </c>
      <c r="L1142" s="14" t="s">
        <v>76</v>
      </c>
      <c r="M1142" s="14" t="s">
        <v>76</v>
      </c>
      <c r="N1142" s="14"/>
      <c r="O1142" s="14">
        <v>0.109587054983092</v>
      </c>
      <c r="P1142" s="14">
        <v>9.2564492238477097E-2</v>
      </c>
      <c r="Q1142" s="14"/>
      <c r="R1142" s="14">
        <v>0.13993184435804301</v>
      </c>
      <c r="S1142" s="14">
        <v>0.13479010493829099</v>
      </c>
      <c r="T1142" s="14">
        <v>9.1957106740406899E-2</v>
      </c>
      <c r="U1142" s="14">
        <v>0.12588569399820301</v>
      </c>
      <c r="V1142" s="14">
        <v>8.2787369072865893E-2</v>
      </c>
      <c r="W1142" s="14">
        <v>6.25379814848811E-2</v>
      </c>
      <c r="X1142" s="14">
        <v>0.110083503724747</v>
      </c>
      <c r="Y1142" s="14">
        <v>0.131245078523861</v>
      </c>
      <c r="Z1142" s="14">
        <v>6.8028268232239494E-2</v>
      </c>
      <c r="AA1142" s="14"/>
      <c r="AB1142" s="14" t="s">
        <v>76</v>
      </c>
      <c r="AC1142" s="14" t="s">
        <v>76</v>
      </c>
      <c r="AD1142" s="14" t="s">
        <v>76</v>
      </c>
      <c r="AE1142" s="14" t="s">
        <v>76</v>
      </c>
      <c r="AF1142" s="14"/>
      <c r="AG1142" s="14" t="s">
        <v>76</v>
      </c>
      <c r="AH1142" s="14" t="s">
        <v>76</v>
      </c>
      <c r="AI1142" s="14"/>
      <c r="AJ1142" s="14" t="s">
        <v>76</v>
      </c>
      <c r="AK1142" s="14" t="s">
        <v>76</v>
      </c>
      <c r="AL1142" s="14"/>
      <c r="AM1142" s="14">
        <v>9.4757153606208205E-2</v>
      </c>
      <c r="AN1142" s="14">
        <v>0.135612957243091</v>
      </c>
    </row>
    <row r="1143" spans="2:40" x14ac:dyDescent="0.35">
      <c r="B1143" t="s">
        <v>311</v>
      </c>
      <c r="C1143" s="14">
        <v>4.2048451377017397E-2</v>
      </c>
      <c r="D1143" s="14">
        <v>5.0201212698134497E-2</v>
      </c>
      <c r="E1143" s="14">
        <v>3.3378720038123297E-2</v>
      </c>
      <c r="F1143" s="14"/>
      <c r="G1143" s="14" t="s">
        <v>76</v>
      </c>
      <c r="H1143" s="14">
        <v>4.2048451377017397E-2</v>
      </c>
      <c r="I1143" s="14" t="s">
        <v>76</v>
      </c>
      <c r="J1143" s="14"/>
      <c r="K1143" s="14">
        <v>4.2048451377017397E-2</v>
      </c>
      <c r="L1143" s="14" t="s">
        <v>76</v>
      </c>
      <c r="M1143" s="14" t="s">
        <v>76</v>
      </c>
      <c r="N1143" s="14"/>
      <c r="O1143" s="14">
        <v>3.6444502393547802E-2</v>
      </c>
      <c r="P1143" s="14">
        <v>9.9752515295041297E-2</v>
      </c>
      <c r="Q1143" s="14"/>
      <c r="R1143" s="14">
        <v>5.6723238299078597E-2</v>
      </c>
      <c r="S1143" s="14">
        <v>2.1594454109024799E-2</v>
      </c>
      <c r="T1143" s="14">
        <v>7.3424496429976699E-2</v>
      </c>
      <c r="U1143" s="14">
        <v>3.68156513725253E-2</v>
      </c>
      <c r="V1143" s="14">
        <v>4.1964447420580003E-2</v>
      </c>
      <c r="W1143" s="14">
        <v>8.9757981091687006E-2</v>
      </c>
      <c r="X1143" s="14">
        <v>0</v>
      </c>
      <c r="Y1143" s="14">
        <v>0</v>
      </c>
      <c r="Z1143" s="14">
        <v>4.2128417282619297E-2</v>
      </c>
      <c r="AA1143" s="14"/>
      <c r="AB1143" s="14" t="s">
        <v>76</v>
      </c>
      <c r="AC1143" s="14" t="s">
        <v>76</v>
      </c>
      <c r="AD1143" s="14" t="s">
        <v>76</v>
      </c>
      <c r="AE1143" s="14" t="s">
        <v>76</v>
      </c>
      <c r="AF1143" s="14"/>
      <c r="AG1143" s="14" t="s">
        <v>76</v>
      </c>
      <c r="AH1143" s="14" t="s">
        <v>76</v>
      </c>
      <c r="AI1143" s="14"/>
      <c r="AJ1143" s="14" t="s">
        <v>76</v>
      </c>
      <c r="AK1143" s="14" t="s">
        <v>76</v>
      </c>
      <c r="AL1143" s="14"/>
      <c r="AM1143" s="14">
        <v>5.7787275882537799E-2</v>
      </c>
      <c r="AN1143" s="14">
        <v>1.6851388502389701E-2</v>
      </c>
    </row>
    <row r="1144" spans="2:40" x14ac:dyDescent="0.35">
      <c r="B1144" t="s">
        <v>301</v>
      </c>
      <c r="C1144" s="14">
        <v>6.3497077057002804E-2</v>
      </c>
      <c r="D1144" s="14">
        <v>4.9220444512449002E-2</v>
      </c>
      <c r="E1144" s="14">
        <v>7.9186984299125504E-2</v>
      </c>
      <c r="F1144" s="14"/>
      <c r="G1144" s="14" t="s">
        <v>76</v>
      </c>
      <c r="H1144" s="14">
        <v>6.3497077057002804E-2</v>
      </c>
      <c r="I1144" s="14" t="s">
        <v>76</v>
      </c>
      <c r="J1144" s="14"/>
      <c r="K1144" s="14">
        <v>6.3497077057002804E-2</v>
      </c>
      <c r="L1144" s="14" t="s">
        <v>76</v>
      </c>
      <c r="M1144" s="14" t="s">
        <v>76</v>
      </c>
      <c r="N1144" s="14"/>
      <c r="O1144" s="14">
        <v>6.7088888873646502E-2</v>
      </c>
      <c r="P1144" s="14">
        <v>2.8478803068809601E-2</v>
      </c>
      <c r="Q1144" s="14"/>
      <c r="R1144" s="14">
        <v>4.1637000514696702E-2</v>
      </c>
      <c r="S1144" s="14">
        <v>8.1113332464721605E-2</v>
      </c>
      <c r="T1144" s="14">
        <v>5.5804184644224E-2</v>
      </c>
      <c r="U1144" s="14">
        <v>1.85007634075426E-2</v>
      </c>
      <c r="V1144" s="14">
        <v>0.157328913403633</v>
      </c>
      <c r="W1144" s="14">
        <v>5.1967580921117799E-2</v>
      </c>
      <c r="X1144" s="14">
        <v>0.102038119085398</v>
      </c>
      <c r="Y1144" s="14">
        <v>0</v>
      </c>
      <c r="Z1144" s="14">
        <v>4.0838162135663901E-2</v>
      </c>
      <c r="AA1144" s="14"/>
      <c r="AB1144" s="14" t="s">
        <v>76</v>
      </c>
      <c r="AC1144" s="14" t="s">
        <v>76</v>
      </c>
      <c r="AD1144" s="14" t="s">
        <v>76</v>
      </c>
      <c r="AE1144" s="14" t="s">
        <v>76</v>
      </c>
      <c r="AF1144" s="14"/>
      <c r="AG1144" s="14" t="s">
        <v>76</v>
      </c>
      <c r="AH1144" s="14" t="s">
        <v>76</v>
      </c>
      <c r="AI1144" s="14"/>
      <c r="AJ1144" s="14" t="s">
        <v>76</v>
      </c>
      <c r="AK1144" s="14" t="s">
        <v>76</v>
      </c>
      <c r="AL1144" s="14"/>
      <c r="AM1144" s="14">
        <v>3.1048671797349902E-3</v>
      </c>
      <c r="AN1144" s="14">
        <v>0.24465148337037099</v>
      </c>
    </row>
    <row r="1145" spans="2:40" x14ac:dyDescent="0.35">
      <c r="B1145" t="s">
        <v>70</v>
      </c>
      <c r="C1145" s="14">
        <v>3.15080377391323E-2</v>
      </c>
      <c r="D1145" s="14">
        <v>1.9092165595169502E-2</v>
      </c>
      <c r="E1145" s="14">
        <v>4.50651405232542E-2</v>
      </c>
      <c r="F1145" s="14"/>
      <c r="G1145" s="14" t="s">
        <v>76</v>
      </c>
      <c r="H1145" s="14">
        <v>3.15080377391323E-2</v>
      </c>
      <c r="I1145" s="14" t="s">
        <v>76</v>
      </c>
      <c r="J1145" s="14"/>
      <c r="K1145" s="14">
        <v>3.15080377391323E-2</v>
      </c>
      <c r="L1145" s="14" t="s">
        <v>76</v>
      </c>
      <c r="M1145" s="14" t="s">
        <v>76</v>
      </c>
      <c r="N1145" s="14"/>
      <c r="O1145" s="14">
        <v>3.3271403388765303E-2</v>
      </c>
      <c r="P1145" s="14">
        <v>2.3465849685955199E-2</v>
      </c>
      <c r="Q1145" s="14"/>
      <c r="R1145" s="14">
        <v>0</v>
      </c>
      <c r="S1145" s="14">
        <v>7.6582230477351798E-2</v>
      </c>
      <c r="T1145" s="14">
        <v>1.6786650862153901E-2</v>
      </c>
      <c r="U1145" s="14">
        <v>1.85007634075426E-2</v>
      </c>
      <c r="V1145" s="14">
        <v>2.5929494080476002E-2</v>
      </c>
      <c r="W1145" s="14">
        <v>1.8576260455550699E-2</v>
      </c>
      <c r="X1145" s="14">
        <v>5.0863885921327699E-2</v>
      </c>
      <c r="Y1145" s="14">
        <v>4.1861723512300497E-2</v>
      </c>
      <c r="Z1145" s="14">
        <v>2.8085611219307801E-2</v>
      </c>
      <c r="AA1145" s="14"/>
      <c r="AB1145" s="14" t="s">
        <v>76</v>
      </c>
      <c r="AC1145" s="14" t="s">
        <v>76</v>
      </c>
      <c r="AD1145" s="14" t="s">
        <v>76</v>
      </c>
      <c r="AE1145" s="14" t="s">
        <v>76</v>
      </c>
      <c r="AF1145" s="14"/>
      <c r="AG1145" s="14" t="s">
        <v>76</v>
      </c>
      <c r="AH1145" s="14" t="s">
        <v>76</v>
      </c>
      <c r="AI1145" s="14"/>
      <c r="AJ1145" s="14" t="s">
        <v>76</v>
      </c>
      <c r="AK1145" s="14" t="s">
        <v>76</v>
      </c>
      <c r="AL1145" s="14"/>
      <c r="AM1145" s="14">
        <v>2.83162648870212E-2</v>
      </c>
      <c r="AN1145" s="14">
        <v>1.9101203145372E-2</v>
      </c>
    </row>
    <row r="1146" spans="2:40" x14ac:dyDescent="0.35">
      <c r="C1146" s="14"/>
      <c r="D1146" s="14"/>
      <c r="E1146" s="14"/>
      <c r="F1146" s="14"/>
      <c r="G1146" s="14"/>
      <c r="H1146" s="14"/>
      <c r="I1146" s="14"/>
      <c r="J1146" s="14"/>
      <c r="K1146" s="14"/>
      <c r="L1146" s="14"/>
      <c r="M1146" s="14"/>
      <c r="N1146" s="14"/>
      <c r="O1146" s="14"/>
      <c r="P1146" s="14"/>
      <c r="Q1146" s="14"/>
      <c r="R1146" s="14"/>
      <c r="S1146" s="14"/>
      <c r="T1146" s="14"/>
      <c r="U1146" s="14"/>
      <c r="V1146" s="14"/>
      <c r="W1146" s="14"/>
      <c r="X1146" s="14"/>
      <c r="Y1146" s="14"/>
      <c r="Z1146" s="14"/>
      <c r="AA1146" s="14"/>
      <c r="AB1146" s="14"/>
      <c r="AC1146" s="14"/>
      <c r="AD1146" s="14"/>
      <c r="AE1146" s="14"/>
      <c r="AF1146" s="14"/>
      <c r="AG1146" s="14"/>
      <c r="AH1146" s="14"/>
      <c r="AI1146" s="14"/>
      <c r="AJ1146" s="14"/>
      <c r="AK1146" s="14"/>
      <c r="AL1146" s="14"/>
      <c r="AM1146" s="14"/>
      <c r="AN1146" s="14"/>
    </row>
    <row r="1147" spans="2:40" x14ac:dyDescent="0.35">
      <c r="B1147" s="6" t="s">
        <v>304</v>
      </c>
      <c r="C1147" s="14"/>
      <c r="D1147" s="14"/>
      <c r="E1147" s="14"/>
      <c r="F1147" s="14"/>
      <c r="G1147" s="14"/>
      <c r="H1147" s="14"/>
      <c r="I1147" s="14"/>
      <c r="J1147" s="14"/>
      <c r="K1147" s="14"/>
      <c r="L1147" s="14"/>
      <c r="M1147" s="14"/>
      <c r="N1147" s="14"/>
      <c r="O1147" s="14"/>
      <c r="P1147" s="14"/>
      <c r="Q1147" s="14"/>
      <c r="R1147" s="14"/>
      <c r="S1147" s="14"/>
      <c r="T1147" s="14"/>
      <c r="U1147" s="14"/>
      <c r="V1147" s="14"/>
      <c r="W1147" s="14"/>
      <c r="X1147" s="14"/>
      <c r="Y1147" s="14"/>
      <c r="Z1147" s="14"/>
      <c r="AA1147" s="14"/>
      <c r="AB1147" s="14"/>
      <c r="AC1147" s="14"/>
      <c r="AD1147" s="14"/>
      <c r="AE1147" s="14"/>
      <c r="AF1147" s="14"/>
      <c r="AG1147" s="14"/>
      <c r="AH1147" s="14"/>
      <c r="AI1147" s="14"/>
      <c r="AJ1147" s="14"/>
      <c r="AK1147" s="14"/>
      <c r="AL1147" s="14"/>
      <c r="AM1147" s="14"/>
      <c r="AN1147" s="14"/>
    </row>
    <row r="1148" spans="2:40" x14ac:dyDescent="0.35">
      <c r="B1148" s="34" t="s">
        <v>209</v>
      </c>
      <c r="C1148" s="14" t="s">
        <v>312</v>
      </c>
      <c r="D1148" s="14"/>
      <c r="E1148" s="14"/>
      <c r="F1148" s="14"/>
      <c r="G1148" s="14"/>
      <c r="H1148" s="14"/>
      <c r="I1148" s="14"/>
      <c r="J1148" s="14"/>
      <c r="K1148" s="14"/>
      <c r="L1148" s="14"/>
      <c r="M1148" s="14"/>
      <c r="N1148" s="14"/>
      <c r="O1148" s="14"/>
      <c r="P1148" s="14"/>
      <c r="Q1148" s="14"/>
      <c r="R1148" s="14"/>
      <c r="S1148" s="14"/>
      <c r="T1148" s="14"/>
      <c r="U1148" s="14"/>
      <c r="V1148" s="14"/>
      <c r="W1148" s="14"/>
      <c r="X1148" s="14"/>
      <c r="Y1148" s="14"/>
      <c r="Z1148" s="14"/>
      <c r="AA1148" s="14"/>
      <c r="AB1148" s="14"/>
      <c r="AC1148" s="14"/>
      <c r="AD1148" s="14"/>
      <c r="AE1148" s="14"/>
      <c r="AF1148" s="14"/>
      <c r="AG1148" s="14"/>
      <c r="AH1148" s="14"/>
      <c r="AI1148" s="14"/>
      <c r="AJ1148" s="14"/>
      <c r="AK1148" s="14"/>
      <c r="AL1148" s="14"/>
      <c r="AM1148" s="14"/>
      <c r="AN1148" s="14"/>
    </row>
    <row r="1149" spans="2:40" x14ac:dyDescent="0.35">
      <c r="B1149" t="s">
        <v>305</v>
      </c>
      <c r="C1149" s="14">
        <v>0.36956890898698702</v>
      </c>
      <c r="D1149" s="14">
        <v>0.36018937988377198</v>
      </c>
      <c r="E1149" s="14">
        <v>0.38109144279940799</v>
      </c>
      <c r="F1149" s="14"/>
      <c r="G1149" s="14" t="s">
        <v>76</v>
      </c>
      <c r="H1149" s="14">
        <v>0.36956890898698702</v>
      </c>
      <c r="I1149" s="14" t="s">
        <v>76</v>
      </c>
      <c r="J1149" s="14"/>
      <c r="K1149" s="14">
        <v>0.36956890898698702</v>
      </c>
      <c r="L1149" s="14" t="s">
        <v>76</v>
      </c>
      <c r="M1149" s="14" t="s">
        <v>76</v>
      </c>
      <c r="N1149" s="14"/>
      <c r="O1149" s="14">
        <v>0.37023260028011101</v>
      </c>
      <c r="P1149" s="14">
        <v>0.370010498106222</v>
      </c>
      <c r="Q1149" s="14"/>
      <c r="R1149" s="14">
        <v>0.34541322501670302</v>
      </c>
      <c r="S1149" s="14">
        <v>0.33125364794788398</v>
      </c>
      <c r="T1149" s="14">
        <v>0.36125346345982701</v>
      </c>
      <c r="U1149" s="14">
        <v>0.380477900390574</v>
      </c>
      <c r="V1149" s="14">
        <v>0.50089310857501901</v>
      </c>
      <c r="W1149" s="14">
        <v>0.34342906919600702</v>
      </c>
      <c r="X1149" s="14">
        <v>0.375661876736407</v>
      </c>
      <c r="Y1149" s="14">
        <v>0.34251090548761798</v>
      </c>
      <c r="Z1149" s="14">
        <v>0.372871476252154</v>
      </c>
      <c r="AA1149" s="14"/>
      <c r="AB1149" s="14" t="s">
        <v>76</v>
      </c>
      <c r="AC1149" s="14" t="s">
        <v>76</v>
      </c>
      <c r="AD1149" s="14" t="s">
        <v>76</v>
      </c>
      <c r="AE1149" s="14" t="s">
        <v>76</v>
      </c>
      <c r="AF1149" s="14"/>
      <c r="AG1149" s="14" t="s">
        <v>76</v>
      </c>
      <c r="AH1149" s="14" t="s">
        <v>76</v>
      </c>
      <c r="AI1149" s="14"/>
      <c r="AJ1149" s="14" t="s">
        <v>76</v>
      </c>
      <c r="AK1149" s="14" t="s">
        <v>76</v>
      </c>
      <c r="AL1149" s="14"/>
      <c r="AM1149" s="14">
        <v>0.380573399051851</v>
      </c>
      <c r="AN1149" s="14">
        <v>0.35739805352936499</v>
      </c>
    </row>
    <row r="1150" spans="2:40" x14ac:dyDescent="0.35">
      <c r="B1150" t="s">
        <v>306</v>
      </c>
      <c r="C1150" s="14">
        <v>7.8525038381161205E-2</v>
      </c>
      <c r="D1150" s="14">
        <v>7.7097714410758605E-2</v>
      </c>
      <c r="E1150" s="14">
        <v>8.0361030056330496E-2</v>
      </c>
      <c r="F1150" s="14"/>
      <c r="G1150" s="14" t="s">
        <v>76</v>
      </c>
      <c r="H1150" s="14">
        <v>7.8525038381161205E-2</v>
      </c>
      <c r="I1150" s="14" t="s">
        <v>76</v>
      </c>
      <c r="J1150" s="14"/>
      <c r="K1150" s="14">
        <v>7.8525038381161205E-2</v>
      </c>
      <c r="L1150" s="14" t="s">
        <v>76</v>
      </c>
      <c r="M1150" s="14" t="s">
        <v>76</v>
      </c>
      <c r="N1150" s="14"/>
      <c r="O1150" s="14">
        <v>8.1011173179780099E-2</v>
      </c>
      <c r="P1150" s="14">
        <v>5.79579895596763E-2</v>
      </c>
      <c r="Q1150" s="14"/>
      <c r="R1150" s="14">
        <v>8.0290066382425196E-2</v>
      </c>
      <c r="S1150" s="14">
        <v>9.7158211168524203E-2</v>
      </c>
      <c r="T1150" s="14">
        <v>9.0296103104927597E-2</v>
      </c>
      <c r="U1150" s="14">
        <v>6.9723580432575302E-2</v>
      </c>
      <c r="V1150" s="14">
        <v>6.3505481855964593E-2</v>
      </c>
      <c r="W1150" s="14">
        <v>0.12143135334828099</v>
      </c>
      <c r="X1150" s="14">
        <v>2.9797768857516199E-2</v>
      </c>
      <c r="Y1150" s="14">
        <v>4.41525030001719E-2</v>
      </c>
      <c r="Z1150" s="14">
        <v>8.2237991469887403E-2</v>
      </c>
      <c r="AA1150" s="14"/>
      <c r="AB1150" s="14" t="s">
        <v>76</v>
      </c>
      <c r="AC1150" s="14" t="s">
        <v>76</v>
      </c>
      <c r="AD1150" s="14" t="s">
        <v>76</v>
      </c>
      <c r="AE1150" s="14" t="s">
        <v>76</v>
      </c>
      <c r="AF1150" s="14"/>
      <c r="AG1150" s="14" t="s">
        <v>76</v>
      </c>
      <c r="AH1150" s="14" t="s">
        <v>76</v>
      </c>
      <c r="AI1150" s="14"/>
      <c r="AJ1150" s="14" t="s">
        <v>76</v>
      </c>
      <c r="AK1150" s="14" t="s">
        <v>76</v>
      </c>
      <c r="AL1150" s="14"/>
      <c r="AM1150" s="14">
        <v>9.4429108121511701E-2</v>
      </c>
      <c r="AN1150" s="14">
        <v>8.4516218207185204E-2</v>
      </c>
    </row>
    <row r="1151" spans="2:40" x14ac:dyDescent="0.35">
      <c r="B1151" t="s">
        <v>307</v>
      </c>
      <c r="C1151" s="14">
        <v>0.20616399244841399</v>
      </c>
      <c r="D1151" s="14">
        <v>0.19705443997799599</v>
      </c>
      <c r="E1151" s="14">
        <v>0.21308452377644299</v>
      </c>
      <c r="F1151" s="14"/>
      <c r="G1151" s="14" t="s">
        <v>76</v>
      </c>
      <c r="H1151" s="14">
        <v>0.20616399244841399</v>
      </c>
      <c r="I1151" s="14" t="s">
        <v>76</v>
      </c>
      <c r="J1151" s="14"/>
      <c r="K1151" s="14">
        <v>0.20616399244841399</v>
      </c>
      <c r="L1151" s="14" t="s">
        <v>76</v>
      </c>
      <c r="M1151" s="14" t="s">
        <v>76</v>
      </c>
      <c r="N1151" s="14"/>
      <c r="O1151" s="14">
        <v>0.21487746628773199</v>
      </c>
      <c r="P1151" s="14">
        <v>0.118645407893821</v>
      </c>
      <c r="Q1151" s="14"/>
      <c r="R1151" s="14">
        <v>0.19805575117114299</v>
      </c>
      <c r="S1151" s="14">
        <v>0.14631824821616901</v>
      </c>
      <c r="T1151" s="14">
        <v>0.160885880797832</v>
      </c>
      <c r="U1151" s="14">
        <v>0.28077280570347402</v>
      </c>
      <c r="V1151" s="14">
        <v>0.180567788366162</v>
      </c>
      <c r="W1151" s="14">
        <v>0.196337462789126</v>
      </c>
      <c r="X1151" s="14">
        <v>0.227182862506383</v>
      </c>
      <c r="Y1151" s="14">
        <v>0.26872615016932599</v>
      </c>
      <c r="Z1151" s="14">
        <v>0.25608044011529002</v>
      </c>
      <c r="AA1151" s="14"/>
      <c r="AB1151" s="14" t="s">
        <v>76</v>
      </c>
      <c r="AC1151" s="14" t="s">
        <v>76</v>
      </c>
      <c r="AD1151" s="14" t="s">
        <v>76</v>
      </c>
      <c r="AE1151" s="14" t="s">
        <v>76</v>
      </c>
      <c r="AF1151" s="14"/>
      <c r="AG1151" s="14" t="s">
        <v>76</v>
      </c>
      <c r="AH1151" s="14" t="s">
        <v>76</v>
      </c>
      <c r="AI1151" s="14"/>
      <c r="AJ1151" s="14" t="s">
        <v>76</v>
      </c>
      <c r="AK1151" s="14" t="s">
        <v>76</v>
      </c>
      <c r="AL1151" s="14"/>
      <c r="AM1151" s="14">
        <v>0.18696639807205301</v>
      </c>
      <c r="AN1151" s="14">
        <v>0.22825513482427001</v>
      </c>
    </row>
    <row r="1152" spans="2:40" x14ac:dyDescent="0.35">
      <c r="B1152" t="s">
        <v>308</v>
      </c>
      <c r="C1152" s="14">
        <v>3.9861654692117797E-2</v>
      </c>
      <c r="D1152" s="14">
        <v>5.0336659167149501E-2</v>
      </c>
      <c r="E1152" s="14">
        <v>2.8669956535073201E-2</v>
      </c>
      <c r="F1152" s="14"/>
      <c r="G1152" s="14" t="s">
        <v>76</v>
      </c>
      <c r="H1152" s="14">
        <v>3.9861654692117797E-2</v>
      </c>
      <c r="I1152" s="14" t="s">
        <v>76</v>
      </c>
      <c r="J1152" s="14"/>
      <c r="K1152" s="14">
        <v>3.9861654692117797E-2</v>
      </c>
      <c r="L1152" s="14" t="s">
        <v>76</v>
      </c>
      <c r="M1152" s="14" t="s">
        <v>76</v>
      </c>
      <c r="N1152" s="14"/>
      <c r="O1152" s="14">
        <v>4.1087629093491E-2</v>
      </c>
      <c r="P1152" s="14">
        <v>3.83300394897996E-2</v>
      </c>
      <c r="Q1152" s="14"/>
      <c r="R1152" s="14">
        <v>4.0833159698417602E-2</v>
      </c>
      <c r="S1152" s="14">
        <v>5.7405637182591701E-2</v>
      </c>
      <c r="T1152" s="14">
        <v>4.8902797325956197E-2</v>
      </c>
      <c r="U1152" s="14">
        <v>3.5301659135230999E-2</v>
      </c>
      <c r="V1152" s="14">
        <v>1.9281887774070802E-2</v>
      </c>
      <c r="W1152" s="14">
        <v>3.00639303688491E-2</v>
      </c>
      <c r="X1152" s="14">
        <v>3.1428383198613699E-2</v>
      </c>
      <c r="Y1152" s="14">
        <v>4.1861723512300497E-2</v>
      </c>
      <c r="Z1152" s="14">
        <v>4.1575882867408903E-2</v>
      </c>
      <c r="AA1152" s="14"/>
      <c r="AB1152" s="14" t="s">
        <v>76</v>
      </c>
      <c r="AC1152" s="14" t="s">
        <v>76</v>
      </c>
      <c r="AD1152" s="14" t="s">
        <v>76</v>
      </c>
      <c r="AE1152" s="14" t="s">
        <v>76</v>
      </c>
      <c r="AF1152" s="14"/>
      <c r="AG1152" s="14" t="s">
        <v>76</v>
      </c>
      <c r="AH1152" s="14" t="s">
        <v>76</v>
      </c>
      <c r="AI1152" s="14"/>
      <c r="AJ1152" s="14" t="s">
        <v>76</v>
      </c>
      <c r="AK1152" s="14" t="s">
        <v>76</v>
      </c>
      <c r="AL1152" s="14"/>
      <c r="AM1152" s="14">
        <v>3.8725822640207998E-2</v>
      </c>
      <c r="AN1152" s="14">
        <v>2.37403189728655E-2</v>
      </c>
    </row>
    <row r="1153" spans="2:40" x14ac:dyDescent="0.35">
      <c r="B1153" t="s">
        <v>309</v>
      </c>
      <c r="C1153" s="14">
        <v>6.0172093784571098E-2</v>
      </c>
      <c r="D1153" s="14">
        <v>6.5542843279691093E-2</v>
      </c>
      <c r="E1153" s="14">
        <v>5.4581073209263899E-2</v>
      </c>
      <c r="F1153" s="14"/>
      <c r="G1153" s="14" t="s">
        <v>76</v>
      </c>
      <c r="H1153" s="14">
        <v>6.0172093784571098E-2</v>
      </c>
      <c r="I1153" s="14" t="s">
        <v>76</v>
      </c>
      <c r="J1153" s="14"/>
      <c r="K1153" s="14">
        <v>6.0172093784571098E-2</v>
      </c>
      <c r="L1153" s="14" t="s">
        <v>76</v>
      </c>
      <c r="M1153" s="14" t="s">
        <v>76</v>
      </c>
      <c r="N1153" s="14"/>
      <c r="O1153" s="14">
        <v>6.6943545416837003E-2</v>
      </c>
      <c r="P1153" s="14">
        <v>1.5538255633197299E-2</v>
      </c>
      <c r="Q1153" s="14"/>
      <c r="R1153" s="14">
        <v>5.2882449492439899E-2</v>
      </c>
      <c r="S1153" s="14">
        <v>0.108381964082538</v>
      </c>
      <c r="T1153" s="14">
        <v>9.1878751698931796E-2</v>
      </c>
      <c r="U1153" s="14">
        <v>7.1343292037323799E-2</v>
      </c>
      <c r="V1153" s="14">
        <v>2.15410344353846E-2</v>
      </c>
      <c r="W1153" s="14">
        <v>7.5937074371085905E-2</v>
      </c>
      <c r="X1153" s="14">
        <v>0</v>
      </c>
      <c r="Y1153" s="14">
        <v>0</v>
      </c>
      <c r="Z1153" s="14">
        <v>5.4714048489753302E-2</v>
      </c>
      <c r="AA1153" s="14"/>
      <c r="AB1153" s="14" t="s">
        <v>76</v>
      </c>
      <c r="AC1153" s="14" t="s">
        <v>76</v>
      </c>
      <c r="AD1153" s="14" t="s">
        <v>76</v>
      </c>
      <c r="AE1153" s="14" t="s">
        <v>76</v>
      </c>
      <c r="AF1153" s="14"/>
      <c r="AG1153" s="14" t="s">
        <v>76</v>
      </c>
      <c r="AH1153" s="14" t="s">
        <v>76</v>
      </c>
      <c r="AI1153" s="14"/>
      <c r="AJ1153" s="14" t="s">
        <v>76</v>
      </c>
      <c r="AK1153" s="14" t="s">
        <v>76</v>
      </c>
      <c r="AL1153" s="14"/>
      <c r="AM1153" s="14">
        <v>7.1240773501104901E-2</v>
      </c>
      <c r="AN1153" s="14">
        <v>4.11962645648851E-2</v>
      </c>
    </row>
    <row r="1154" spans="2:40" x14ac:dyDescent="0.35">
      <c r="B1154" t="s">
        <v>310</v>
      </c>
      <c r="C1154" s="14">
        <v>2.68854321240268E-2</v>
      </c>
      <c r="D1154" s="14">
        <v>2.48058262830596E-2</v>
      </c>
      <c r="E1154" s="14">
        <v>2.9236234391752401E-2</v>
      </c>
      <c r="F1154" s="14"/>
      <c r="G1154" s="14" t="s">
        <v>76</v>
      </c>
      <c r="H1154" s="14">
        <v>2.68854321240268E-2</v>
      </c>
      <c r="I1154" s="14" t="s">
        <v>76</v>
      </c>
      <c r="J1154" s="14"/>
      <c r="K1154" s="14">
        <v>2.68854321240268E-2</v>
      </c>
      <c r="L1154" s="14" t="s">
        <v>76</v>
      </c>
      <c r="M1154" s="14" t="s">
        <v>76</v>
      </c>
      <c r="N1154" s="14"/>
      <c r="O1154" s="14">
        <v>2.4959678309630199E-2</v>
      </c>
      <c r="P1154" s="14">
        <v>4.9526645394185498E-2</v>
      </c>
      <c r="Q1154" s="14"/>
      <c r="R1154" s="14">
        <v>2.97407222488794E-2</v>
      </c>
      <c r="S1154" s="14">
        <v>2.1726211855078899E-2</v>
      </c>
      <c r="T1154" s="14">
        <v>1.7705259470451901E-2</v>
      </c>
      <c r="U1154" s="14">
        <v>0</v>
      </c>
      <c r="V1154" s="14">
        <v>2.15410344353846E-2</v>
      </c>
      <c r="W1154" s="14">
        <v>7.44087540589385E-2</v>
      </c>
      <c r="X1154" s="14">
        <v>2.6109261945327301E-2</v>
      </c>
      <c r="Y1154" s="14">
        <v>4.1861723512300497E-2</v>
      </c>
      <c r="Z1154" s="14">
        <v>2.6795356299181301E-2</v>
      </c>
      <c r="AA1154" s="14"/>
      <c r="AB1154" s="14" t="s">
        <v>76</v>
      </c>
      <c r="AC1154" s="14" t="s">
        <v>76</v>
      </c>
      <c r="AD1154" s="14" t="s">
        <v>76</v>
      </c>
      <c r="AE1154" s="14" t="s">
        <v>76</v>
      </c>
      <c r="AF1154" s="14"/>
      <c r="AG1154" s="14" t="s">
        <v>76</v>
      </c>
      <c r="AH1154" s="14" t="s">
        <v>76</v>
      </c>
      <c r="AI1154" s="14"/>
      <c r="AJ1154" s="14" t="s">
        <v>76</v>
      </c>
      <c r="AK1154" s="14" t="s">
        <v>76</v>
      </c>
      <c r="AL1154" s="14"/>
      <c r="AM1154" s="14">
        <v>2.27697124010924E-2</v>
      </c>
      <c r="AN1154" s="14">
        <v>1.70845553859021E-2</v>
      </c>
    </row>
    <row r="1155" spans="2:40" x14ac:dyDescent="0.35">
      <c r="B1155" t="s">
        <v>311</v>
      </c>
      <c r="C1155" s="14">
        <v>9.7220414493055393E-2</v>
      </c>
      <c r="D1155" s="14">
        <v>9.6803316339880402E-2</v>
      </c>
      <c r="E1155" s="14">
        <v>9.8032075940698502E-2</v>
      </c>
      <c r="F1155" s="14"/>
      <c r="G1155" s="14" t="s">
        <v>76</v>
      </c>
      <c r="H1155" s="14">
        <v>9.7220414493055393E-2</v>
      </c>
      <c r="I1155" s="14" t="s">
        <v>76</v>
      </c>
      <c r="J1155" s="14"/>
      <c r="K1155" s="14">
        <v>9.7220414493055393E-2</v>
      </c>
      <c r="L1155" s="14" t="s">
        <v>76</v>
      </c>
      <c r="M1155" s="14" t="s">
        <v>76</v>
      </c>
      <c r="N1155" s="14"/>
      <c r="O1155" s="14">
        <v>8.0495615809675305E-2</v>
      </c>
      <c r="P1155" s="14">
        <v>0.22705968406924401</v>
      </c>
      <c r="Q1155" s="14"/>
      <c r="R1155" s="14">
        <v>0.13164456043324799</v>
      </c>
      <c r="S1155" s="14">
        <v>5.6663699024422101E-2</v>
      </c>
      <c r="T1155" s="14">
        <v>0.137218643617602</v>
      </c>
      <c r="U1155" s="14">
        <v>5.6175620610715703E-2</v>
      </c>
      <c r="V1155" s="14">
        <v>8.3928895128109401E-2</v>
      </c>
      <c r="W1155" s="14">
        <v>7.5743600299156097E-2</v>
      </c>
      <c r="X1155" s="14">
        <v>7.6256187648464299E-2</v>
      </c>
      <c r="Y1155" s="14">
        <v>0.130720264805639</v>
      </c>
      <c r="Z1155" s="14">
        <v>0.15241058639141</v>
      </c>
      <c r="AA1155" s="14"/>
      <c r="AB1155" s="14" t="s">
        <v>76</v>
      </c>
      <c r="AC1155" s="14" t="s">
        <v>76</v>
      </c>
      <c r="AD1155" s="14" t="s">
        <v>76</v>
      </c>
      <c r="AE1155" s="14" t="s">
        <v>76</v>
      </c>
      <c r="AF1155" s="14"/>
      <c r="AG1155" s="14" t="s">
        <v>76</v>
      </c>
      <c r="AH1155" s="14" t="s">
        <v>76</v>
      </c>
      <c r="AI1155" s="14"/>
      <c r="AJ1155" s="14" t="s">
        <v>76</v>
      </c>
      <c r="AK1155" s="14" t="s">
        <v>76</v>
      </c>
      <c r="AL1155" s="14"/>
      <c r="AM1155" s="14">
        <v>0.12393540876489</v>
      </c>
      <c r="AN1155" s="14">
        <v>1.7305699474946899E-2</v>
      </c>
    </row>
    <row r="1156" spans="2:40" x14ac:dyDescent="0.35">
      <c r="B1156" t="s">
        <v>301</v>
      </c>
      <c r="C1156" s="14">
        <v>3.6904230749526298E-2</v>
      </c>
      <c r="D1156" s="14">
        <v>1.8296329423068299E-2</v>
      </c>
      <c r="E1156" s="14">
        <v>5.7184295651064802E-2</v>
      </c>
      <c r="F1156" s="14"/>
      <c r="G1156" s="14" t="s">
        <v>76</v>
      </c>
      <c r="H1156" s="14">
        <v>3.6904230749526298E-2</v>
      </c>
      <c r="I1156" s="14" t="s">
        <v>76</v>
      </c>
      <c r="J1156" s="14"/>
      <c r="K1156" s="14">
        <v>3.6904230749526298E-2</v>
      </c>
      <c r="L1156" s="14" t="s">
        <v>76</v>
      </c>
      <c r="M1156" s="14" t="s">
        <v>76</v>
      </c>
      <c r="N1156" s="14"/>
      <c r="O1156" s="14">
        <v>3.4601654303066803E-2</v>
      </c>
      <c r="P1156" s="14">
        <v>2.8478803068809601E-2</v>
      </c>
      <c r="Q1156" s="14"/>
      <c r="R1156" s="14">
        <v>3.1132505807917699E-2</v>
      </c>
      <c r="S1156" s="14">
        <v>7.0722889802268707E-2</v>
      </c>
      <c r="T1156" s="14">
        <v>3.3553653675156503E-2</v>
      </c>
      <c r="U1156" s="14">
        <v>1.85007634075426E-2</v>
      </c>
      <c r="V1156" s="14">
        <v>6.7893942058225507E-2</v>
      </c>
      <c r="W1156" s="14">
        <v>1.8576259751107702E-2</v>
      </c>
      <c r="X1156" s="14">
        <v>2.6109260837405501E-2</v>
      </c>
      <c r="Y1156" s="14">
        <v>8.83050060003438E-2</v>
      </c>
      <c r="Z1156" s="14">
        <v>0</v>
      </c>
      <c r="AA1156" s="14"/>
      <c r="AB1156" s="14" t="s">
        <v>76</v>
      </c>
      <c r="AC1156" s="14" t="s">
        <v>76</v>
      </c>
      <c r="AD1156" s="14" t="s">
        <v>76</v>
      </c>
      <c r="AE1156" s="14" t="s">
        <v>76</v>
      </c>
      <c r="AF1156" s="14"/>
      <c r="AG1156" s="14" t="s">
        <v>76</v>
      </c>
      <c r="AH1156" s="14" t="s">
        <v>76</v>
      </c>
      <c r="AI1156" s="14"/>
      <c r="AJ1156" s="14" t="s">
        <v>76</v>
      </c>
      <c r="AK1156" s="14" t="s">
        <v>76</v>
      </c>
      <c r="AL1156" s="14"/>
      <c r="AM1156" s="14">
        <v>3.0205710255076898E-3</v>
      </c>
      <c r="AN1156" s="14">
        <v>0.13835348761507599</v>
      </c>
    </row>
    <row r="1157" spans="2:40" x14ac:dyDescent="0.35">
      <c r="B1157" t="s">
        <v>70</v>
      </c>
      <c r="C1157" s="14">
        <v>8.4698234340140705E-2</v>
      </c>
      <c r="D1157" s="14">
        <v>0.109873491234625</v>
      </c>
      <c r="E1157" s="14">
        <v>5.7759367639965503E-2</v>
      </c>
      <c r="F1157" s="14"/>
      <c r="G1157" s="14" t="s">
        <v>76</v>
      </c>
      <c r="H1157" s="14">
        <v>8.4698234340140705E-2</v>
      </c>
      <c r="I1157" s="14" t="s">
        <v>76</v>
      </c>
      <c r="J1157" s="14"/>
      <c r="K1157" s="14">
        <v>8.4698234340140705E-2</v>
      </c>
      <c r="L1157" s="14" t="s">
        <v>76</v>
      </c>
      <c r="M1157" s="14" t="s">
        <v>76</v>
      </c>
      <c r="N1157" s="14"/>
      <c r="O1157" s="14">
        <v>8.5790637319676802E-2</v>
      </c>
      <c r="P1157" s="14">
        <v>9.4452676785044806E-2</v>
      </c>
      <c r="Q1157" s="14"/>
      <c r="R1157" s="14">
        <v>9.0007559748825697E-2</v>
      </c>
      <c r="S1157" s="14">
        <v>0.110369490720523</v>
      </c>
      <c r="T1157" s="14">
        <v>5.8305446849314997E-2</v>
      </c>
      <c r="U1157" s="14">
        <v>8.7704378282563097E-2</v>
      </c>
      <c r="V1157" s="14">
        <v>4.0846827371679099E-2</v>
      </c>
      <c r="W1157" s="14">
        <v>6.4072495817449004E-2</v>
      </c>
      <c r="X1157" s="14">
        <v>0.20745439826988399</v>
      </c>
      <c r="Y1157" s="14">
        <v>4.1861723512300497E-2</v>
      </c>
      <c r="Z1157" s="14">
        <v>1.3314218114915699E-2</v>
      </c>
      <c r="AA1157" s="14"/>
      <c r="AB1157" s="14" t="s">
        <v>76</v>
      </c>
      <c r="AC1157" s="14" t="s">
        <v>76</v>
      </c>
      <c r="AD1157" s="14" t="s">
        <v>76</v>
      </c>
      <c r="AE1157" s="14" t="s">
        <v>76</v>
      </c>
      <c r="AF1157" s="14"/>
      <c r="AG1157" s="14" t="s">
        <v>76</v>
      </c>
      <c r="AH1157" s="14" t="s">
        <v>76</v>
      </c>
      <c r="AI1157" s="14"/>
      <c r="AJ1157" s="14" t="s">
        <v>76</v>
      </c>
      <c r="AK1157" s="14" t="s">
        <v>76</v>
      </c>
      <c r="AL1157" s="14"/>
      <c r="AM1157" s="14">
        <v>7.8338806421781398E-2</v>
      </c>
      <c r="AN1157" s="14">
        <v>9.2150267425504806E-2</v>
      </c>
    </row>
    <row r="1158" spans="2:40" x14ac:dyDescent="0.35">
      <c r="C1158" s="14"/>
      <c r="D1158" s="14"/>
      <c r="E1158" s="14"/>
      <c r="F1158" s="14"/>
      <c r="G1158" s="14"/>
      <c r="H1158" s="14"/>
      <c r="I1158" s="14"/>
      <c r="J1158" s="14"/>
      <c r="K1158" s="14"/>
      <c r="L1158" s="14"/>
      <c r="M1158" s="14"/>
      <c r="N1158" s="14"/>
      <c r="O1158" s="14"/>
      <c r="P1158" s="14"/>
      <c r="Q1158" s="14"/>
      <c r="R1158" s="14"/>
      <c r="S1158" s="14"/>
      <c r="T1158" s="14"/>
      <c r="U1158" s="14"/>
      <c r="V1158" s="14"/>
      <c r="W1158" s="14"/>
      <c r="X1158" s="14"/>
      <c r="Y1158" s="14"/>
      <c r="Z1158" s="14"/>
      <c r="AA1158" s="14"/>
      <c r="AB1158" s="14"/>
      <c r="AC1158" s="14"/>
      <c r="AD1158" s="14"/>
      <c r="AE1158" s="14"/>
      <c r="AF1158" s="14"/>
      <c r="AG1158" s="14"/>
      <c r="AH1158" s="14"/>
      <c r="AI1158" s="14"/>
      <c r="AJ1158" s="14"/>
      <c r="AK1158" s="14"/>
      <c r="AL1158" s="14"/>
      <c r="AM1158" s="14"/>
      <c r="AN1158" s="14"/>
    </row>
    <row r="1159" spans="2:40" x14ac:dyDescent="0.35">
      <c r="B1159" s="6" t="s">
        <v>302</v>
      </c>
      <c r="C1159" s="14"/>
      <c r="D1159" s="14"/>
      <c r="E1159" s="14"/>
      <c r="F1159" s="14"/>
      <c r="G1159" s="14"/>
      <c r="H1159" s="14"/>
      <c r="I1159" s="14"/>
      <c r="J1159" s="14"/>
      <c r="K1159" s="14"/>
      <c r="L1159" s="14"/>
      <c r="M1159" s="14"/>
      <c r="N1159" s="14"/>
      <c r="O1159" s="14"/>
      <c r="P1159" s="14"/>
      <c r="Q1159" s="14"/>
      <c r="R1159" s="14"/>
      <c r="S1159" s="14"/>
      <c r="T1159" s="14"/>
      <c r="U1159" s="14"/>
      <c r="V1159" s="14"/>
      <c r="W1159" s="14"/>
      <c r="X1159" s="14"/>
      <c r="Y1159" s="14"/>
      <c r="Z1159" s="14"/>
      <c r="AA1159" s="14"/>
      <c r="AB1159" s="14"/>
      <c r="AC1159" s="14"/>
      <c r="AD1159" s="14"/>
      <c r="AE1159" s="14"/>
      <c r="AF1159" s="14"/>
      <c r="AG1159" s="14"/>
      <c r="AH1159" s="14"/>
      <c r="AI1159" s="14"/>
      <c r="AJ1159" s="14"/>
      <c r="AK1159" s="14"/>
      <c r="AL1159" s="14"/>
      <c r="AM1159" s="14"/>
      <c r="AN1159" s="14"/>
    </row>
    <row r="1160" spans="2:40" ht="17.5" customHeight="1" x14ac:dyDescent="0.35">
      <c r="B1160" s="34" t="s">
        <v>390</v>
      </c>
      <c r="C1160" s="14"/>
      <c r="D1160" s="14"/>
      <c r="E1160" s="14"/>
      <c r="F1160" s="14"/>
      <c r="G1160" s="14"/>
      <c r="H1160" s="14"/>
      <c r="I1160" s="14"/>
      <c r="J1160" s="14"/>
      <c r="K1160" s="14"/>
      <c r="L1160" s="14"/>
      <c r="M1160" s="14"/>
      <c r="N1160" s="14"/>
      <c r="O1160" s="14"/>
      <c r="P1160" s="14"/>
      <c r="Q1160" s="14"/>
      <c r="R1160" s="14"/>
      <c r="S1160" s="14"/>
      <c r="T1160" s="14"/>
      <c r="U1160" s="14"/>
      <c r="V1160" s="14"/>
      <c r="W1160" s="14"/>
      <c r="X1160" s="14"/>
      <c r="Y1160" s="14"/>
      <c r="Z1160" s="14"/>
      <c r="AA1160" s="14"/>
      <c r="AB1160" s="14"/>
      <c r="AC1160" s="14"/>
      <c r="AD1160" s="14"/>
      <c r="AE1160" s="14"/>
      <c r="AF1160" s="14"/>
      <c r="AG1160" s="14"/>
      <c r="AH1160" s="14"/>
      <c r="AI1160" s="14"/>
      <c r="AJ1160" s="14"/>
      <c r="AK1160" s="14"/>
      <c r="AL1160" s="14"/>
      <c r="AM1160" s="14"/>
      <c r="AN1160" s="14"/>
    </row>
    <row r="1161" spans="2:40" x14ac:dyDescent="0.35">
      <c r="B1161" t="s">
        <v>313</v>
      </c>
      <c r="C1161" s="14">
        <v>0.317043736113099</v>
      </c>
      <c r="D1161" s="14">
        <v>0.315553587833519</v>
      </c>
      <c r="E1161" s="14">
        <v>0.32104601033190799</v>
      </c>
      <c r="F1161" s="14"/>
      <c r="G1161" s="14" t="s">
        <v>76</v>
      </c>
      <c r="H1161" s="14" t="s">
        <v>76</v>
      </c>
      <c r="I1161" s="14">
        <v>0.317043736113099</v>
      </c>
      <c r="J1161" s="14"/>
      <c r="K1161" s="14" t="s">
        <v>76</v>
      </c>
      <c r="L1161" s="14">
        <v>0.33505056805898398</v>
      </c>
      <c r="M1161" s="14">
        <v>0.28272651250105701</v>
      </c>
      <c r="N1161" s="14"/>
      <c r="O1161" s="14">
        <v>0.31436231589675401</v>
      </c>
      <c r="P1161" s="14">
        <v>0.34392023623636597</v>
      </c>
      <c r="Q1161" s="14"/>
      <c r="R1161" s="14">
        <v>0.28901757709377601</v>
      </c>
      <c r="S1161" s="14">
        <v>0.23552092499922</v>
      </c>
      <c r="T1161" s="14">
        <v>0.30861504129772099</v>
      </c>
      <c r="U1161" s="14">
        <v>0.36063657011804101</v>
      </c>
      <c r="V1161" s="14">
        <v>0.284311518806112</v>
      </c>
      <c r="W1161" s="14">
        <v>0.321588779107292</v>
      </c>
      <c r="X1161" s="14">
        <v>0.38670422552808198</v>
      </c>
      <c r="Y1161" s="14">
        <v>0.40378221383021101</v>
      </c>
      <c r="Z1161" s="14">
        <v>0.35736454691636599</v>
      </c>
      <c r="AA1161" s="14"/>
      <c r="AB1161" s="14">
        <v>0.27948321352098399</v>
      </c>
      <c r="AC1161" s="14">
        <v>0.30700114712495002</v>
      </c>
      <c r="AD1161" s="14">
        <v>0.31032407788946598</v>
      </c>
      <c r="AE1161" s="14">
        <v>0.26889952468760298</v>
      </c>
      <c r="AF1161" s="14"/>
      <c r="AG1161" s="14">
        <v>0.28024643210661798</v>
      </c>
      <c r="AH1161" s="14">
        <v>0.27767650808961403</v>
      </c>
      <c r="AI1161" s="14"/>
      <c r="AJ1161" s="14">
        <v>0.27934824382641599</v>
      </c>
      <c r="AK1161" s="14">
        <v>0.29233273927129899</v>
      </c>
      <c r="AL1161" s="14"/>
      <c r="AM1161" s="14">
        <v>0.31555710090623101</v>
      </c>
      <c r="AN1161" s="14">
        <v>0.26573159423656401</v>
      </c>
    </row>
    <row r="1162" spans="2:40" x14ac:dyDescent="0.35">
      <c r="B1162" t="s">
        <v>314</v>
      </c>
      <c r="C1162" s="14">
        <v>8.7187368037838595E-2</v>
      </c>
      <c r="D1162" s="14">
        <v>8.2016064049655099E-2</v>
      </c>
      <c r="E1162" s="14">
        <v>9.2626346775160295E-2</v>
      </c>
      <c r="F1162" s="14"/>
      <c r="G1162" s="14" t="s">
        <v>76</v>
      </c>
      <c r="H1162" s="14" t="s">
        <v>76</v>
      </c>
      <c r="I1162" s="14">
        <v>8.7187368037838595E-2</v>
      </c>
      <c r="J1162" s="14"/>
      <c r="K1162" s="14" t="s">
        <v>76</v>
      </c>
      <c r="L1162" s="14">
        <v>9.4391171753249001E-2</v>
      </c>
      <c r="M1162" s="14">
        <v>7.3458437612878999E-2</v>
      </c>
      <c r="N1162" s="14"/>
      <c r="O1162" s="14">
        <v>8.0706161570117202E-2</v>
      </c>
      <c r="P1162" s="14">
        <v>0.124822607092595</v>
      </c>
      <c r="Q1162" s="14"/>
      <c r="R1162" s="14">
        <v>7.6655924429128497E-2</v>
      </c>
      <c r="S1162" s="14">
        <v>7.5767601996621498E-2</v>
      </c>
      <c r="T1162" s="14">
        <v>6.7007783649572897E-2</v>
      </c>
      <c r="U1162" s="14">
        <v>7.0363776519689003E-2</v>
      </c>
      <c r="V1162" s="14">
        <v>0.102615221745954</v>
      </c>
      <c r="W1162" s="14">
        <v>0.120176852445638</v>
      </c>
      <c r="X1162" s="14">
        <v>6.7703943423478199E-2</v>
      </c>
      <c r="Y1162" s="14">
        <v>0.112035388380148</v>
      </c>
      <c r="Z1162" s="14">
        <v>0.11004520598776001</v>
      </c>
      <c r="AA1162" s="14"/>
      <c r="AB1162" s="14">
        <v>9.5742249529962006E-2</v>
      </c>
      <c r="AC1162" s="14">
        <v>9.6443643999854695E-2</v>
      </c>
      <c r="AD1162" s="14">
        <v>4.6848754695407398E-2</v>
      </c>
      <c r="AE1162" s="14">
        <v>0.111863460686041</v>
      </c>
      <c r="AF1162" s="14"/>
      <c r="AG1162" s="14">
        <v>0.105362159903108</v>
      </c>
      <c r="AH1162" s="14">
        <v>8.5230184581663704E-2</v>
      </c>
      <c r="AI1162" s="14"/>
      <c r="AJ1162" s="14">
        <v>9.8326035810955198E-2</v>
      </c>
      <c r="AK1162" s="14">
        <v>5.1434286633216399E-2</v>
      </c>
      <c r="AL1162" s="14"/>
      <c r="AM1162" s="14">
        <v>9.2543921138563398E-2</v>
      </c>
      <c r="AN1162" s="14">
        <v>7.4308566031836401E-2</v>
      </c>
    </row>
    <row r="1163" spans="2:40" x14ac:dyDescent="0.35">
      <c r="B1163" t="s">
        <v>315</v>
      </c>
      <c r="C1163" s="14">
        <v>4.0725844900999002E-2</v>
      </c>
      <c r="D1163" s="14">
        <v>3.9222284084879003E-2</v>
      </c>
      <c r="E1163" s="14">
        <v>3.9588816290063202E-2</v>
      </c>
      <c r="F1163" s="14"/>
      <c r="G1163" s="14" t="s">
        <v>76</v>
      </c>
      <c r="H1163" s="14" t="s">
        <v>76</v>
      </c>
      <c r="I1163" s="14">
        <v>4.0725844900999002E-2</v>
      </c>
      <c r="J1163" s="14"/>
      <c r="K1163" s="14" t="s">
        <v>76</v>
      </c>
      <c r="L1163" s="14">
        <v>3.7445676161387498E-2</v>
      </c>
      <c r="M1163" s="14">
        <v>4.6977154651696197E-2</v>
      </c>
      <c r="N1163" s="14"/>
      <c r="O1163" s="14">
        <v>4.1645066355416503E-2</v>
      </c>
      <c r="P1163" s="14">
        <v>3.1479387624800702E-2</v>
      </c>
      <c r="Q1163" s="14"/>
      <c r="R1163" s="14">
        <v>3.55883526434706E-2</v>
      </c>
      <c r="S1163" s="14">
        <v>5.1003259498760702E-2</v>
      </c>
      <c r="T1163" s="14">
        <v>1.7770453997873401E-2</v>
      </c>
      <c r="U1163" s="14">
        <v>7.7777882274258595E-2</v>
      </c>
      <c r="V1163" s="14">
        <v>3.4388601702614902E-2</v>
      </c>
      <c r="W1163" s="14">
        <v>4.1298186707557798E-2</v>
      </c>
      <c r="X1163" s="14">
        <v>4.8021122881403602E-2</v>
      </c>
      <c r="Y1163" s="14">
        <v>3.70423330791948E-2</v>
      </c>
      <c r="Z1163" s="14">
        <v>2.0775134651822999E-2</v>
      </c>
      <c r="AA1163" s="14"/>
      <c r="AB1163" s="14">
        <v>1.72178843099586E-2</v>
      </c>
      <c r="AC1163" s="14">
        <v>5.4334135193524001E-2</v>
      </c>
      <c r="AD1163" s="14">
        <v>7.7283297139298393E-2</v>
      </c>
      <c r="AE1163" s="14">
        <v>9.6877895146344397E-3</v>
      </c>
      <c r="AF1163" s="14"/>
      <c r="AG1163" s="14">
        <v>3.6786787484760303E-2</v>
      </c>
      <c r="AH1163" s="14">
        <v>2.73471204853959E-2</v>
      </c>
      <c r="AI1163" s="14"/>
      <c r="AJ1163" s="14">
        <v>3.34876244699229E-2</v>
      </c>
      <c r="AK1163" s="14">
        <v>6.6833904698049201E-2</v>
      </c>
      <c r="AL1163" s="14"/>
      <c r="AM1163" s="14">
        <v>4.72096064723279E-2</v>
      </c>
      <c r="AN1163" s="14">
        <v>4.1393738634212099E-2</v>
      </c>
    </row>
    <row r="1164" spans="2:40" x14ac:dyDescent="0.35">
      <c r="B1164" t="s">
        <v>316</v>
      </c>
      <c r="C1164" s="14">
        <v>5.7857832080353201E-2</v>
      </c>
      <c r="D1164" s="14">
        <v>4.9399201554154698E-2</v>
      </c>
      <c r="E1164" s="14">
        <v>6.6047341258028497E-2</v>
      </c>
      <c r="F1164" s="14"/>
      <c r="G1164" s="14" t="s">
        <v>76</v>
      </c>
      <c r="H1164" s="14" t="s">
        <v>76</v>
      </c>
      <c r="I1164" s="14">
        <v>5.7857832080353201E-2</v>
      </c>
      <c r="J1164" s="14"/>
      <c r="K1164" s="14" t="s">
        <v>76</v>
      </c>
      <c r="L1164" s="14">
        <v>6.5559818374903198E-2</v>
      </c>
      <c r="M1164" s="14">
        <v>4.3179470738320902E-2</v>
      </c>
      <c r="N1164" s="14"/>
      <c r="O1164" s="14">
        <v>5.9523634686055503E-2</v>
      </c>
      <c r="P1164" s="14">
        <v>5.78708434294136E-2</v>
      </c>
      <c r="Q1164" s="14"/>
      <c r="R1164" s="14">
        <v>6.0482164392105103E-2</v>
      </c>
      <c r="S1164" s="14">
        <v>8.1063448703049795E-2</v>
      </c>
      <c r="T1164" s="14">
        <v>4.4128141180100902E-2</v>
      </c>
      <c r="U1164" s="14">
        <v>6.2552297814127994E-2</v>
      </c>
      <c r="V1164" s="14">
        <v>4.2975851585290999E-2</v>
      </c>
      <c r="W1164" s="14">
        <v>6.6823779786961496E-2</v>
      </c>
      <c r="X1164" s="14">
        <v>4.7797984217730502E-2</v>
      </c>
      <c r="Y1164" s="14">
        <v>2.4083118746634501E-2</v>
      </c>
      <c r="Z1164" s="14">
        <v>5.5033635489596097E-2</v>
      </c>
      <c r="AA1164" s="14"/>
      <c r="AB1164" s="14">
        <v>3.0392229164536998E-2</v>
      </c>
      <c r="AC1164" s="14">
        <v>5.2101634141703802E-2</v>
      </c>
      <c r="AD1164" s="14">
        <v>3.9878494901978201E-2</v>
      </c>
      <c r="AE1164" s="14">
        <v>4.3011835348022297E-2</v>
      </c>
      <c r="AF1164" s="14"/>
      <c r="AG1164" s="14">
        <v>4.1862686796421002E-2</v>
      </c>
      <c r="AH1164" s="14">
        <v>7.0772786242469299E-2</v>
      </c>
      <c r="AI1164" s="14"/>
      <c r="AJ1164" s="14">
        <v>5.1966764710832197E-2</v>
      </c>
      <c r="AK1164" s="14">
        <v>3.32169648568027E-2</v>
      </c>
      <c r="AL1164" s="14"/>
      <c r="AM1164" s="14">
        <v>5.8528682906410397E-2</v>
      </c>
      <c r="AN1164" s="14">
        <v>5.3610786281069002E-2</v>
      </c>
    </row>
    <row r="1165" spans="2:40" x14ac:dyDescent="0.35">
      <c r="B1165" t="s">
        <v>317</v>
      </c>
      <c r="C1165" s="14">
        <v>6.6997311399445494E-2</v>
      </c>
      <c r="D1165" s="14">
        <v>6.8025467087911295E-2</v>
      </c>
      <c r="E1165" s="14">
        <v>6.6619374251250099E-2</v>
      </c>
      <c r="F1165" s="14"/>
      <c r="G1165" s="14" t="s">
        <v>76</v>
      </c>
      <c r="H1165" s="14" t="s">
        <v>76</v>
      </c>
      <c r="I1165" s="14">
        <v>6.6997311399445494E-2</v>
      </c>
      <c r="J1165" s="14"/>
      <c r="K1165" s="14" t="s">
        <v>76</v>
      </c>
      <c r="L1165" s="14">
        <v>6.6840242983719197E-2</v>
      </c>
      <c r="M1165" s="14">
        <v>6.7296650670288199E-2</v>
      </c>
      <c r="N1165" s="14"/>
      <c r="O1165" s="14">
        <v>6.3500995476238095E-2</v>
      </c>
      <c r="P1165" s="14">
        <v>9.8883751205512099E-2</v>
      </c>
      <c r="Q1165" s="14"/>
      <c r="R1165" s="14">
        <v>8.1504002908729598E-2</v>
      </c>
      <c r="S1165" s="14">
        <v>9.2829131452224406E-2</v>
      </c>
      <c r="T1165" s="14">
        <v>3.1048483086266301E-2</v>
      </c>
      <c r="U1165" s="14">
        <v>6.5203779391703298E-2</v>
      </c>
      <c r="V1165" s="14">
        <v>9.6243167759137105E-2</v>
      </c>
      <c r="W1165" s="14">
        <v>3.9207397976721903E-2</v>
      </c>
      <c r="X1165" s="14">
        <v>5.5010886533190202E-2</v>
      </c>
      <c r="Y1165" s="14">
        <v>4.1643869017901999E-2</v>
      </c>
      <c r="Z1165" s="14">
        <v>6.3395167801784696E-2</v>
      </c>
      <c r="AA1165" s="14"/>
      <c r="AB1165" s="14">
        <v>5.9943921417001902E-2</v>
      </c>
      <c r="AC1165" s="14">
        <v>0.133037350690938</v>
      </c>
      <c r="AD1165" s="14">
        <v>2.11724589999964E-2</v>
      </c>
      <c r="AE1165" s="14">
        <v>0.154631675387399</v>
      </c>
      <c r="AF1165" s="14"/>
      <c r="AG1165" s="14">
        <v>0.155784896405298</v>
      </c>
      <c r="AH1165" s="14">
        <v>2.6719203177978299E-2</v>
      </c>
      <c r="AI1165" s="14"/>
      <c r="AJ1165" s="14">
        <v>0.110676444845662</v>
      </c>
      <c r="AK1165" s="14">
        <v>3.4207697420879403E-2</v>
      </c>
      <c r="AL1165" s="14"/>
      <c r="AM1165" s="14">
        <v>0.10507025071444601</v>
      </c>
      <c r="AN1165" s="14">
        <v>2.7621931575935E-2</v>
      </c>
    </row>
    <row r="1166" spans="2:40" x14ac:dyDescent="0.35">
      <c r="B1166" t="s">
        <v>318</v>
      </c>
      <c r="C1166" s="14">
        <v>3.0683714905923701E-2</v>
      </c>
      <c r="D1166" s="14">
        <v>2.6813492975502701E-2</v>
      </c>
      <c r="E1166" s="14">
        <v>3.4465926625636599E-2</v>
      </c>
      <c r="F1166" s="14"/>
      <c r="G1166" s="14" t="s">
        <v>76</v>
      </c>
      <c r="H1166" s="14" t="s">
        <v>76</v>
      </c>
      <c r="I1166" s="14">
        <v>3.0683714905923701E-2</v>
      </c>
      <c r="J1166" s="14"/>
      <c r="K1166" s="14" t="s">
        <v>76</v>
      </c>
      <c r="L1166" s="14">
        <v>3.0249004518941199E-2</v>
      </c>
      <c r="M1166" s="14">
        <v>3.1512181212567103E-2</v>
      </c>
      <c r="N1166" s="14"/>
      <c r="O1166" s="14">
        <v>3.20954973018861E-2</v>
      </c>
      <c r="P1166" s="14">
        <v>1.7384637623986499E-2</v>
      </c>
      <c r="Q1166" s="14"/>
      <c r="R1166" s="14">
        <v>4.11262263557923E-2</v>
      </c>
      <c r="S1166" s="14">
        <v>3.2277041694883303E-2</v>
      </c>
      <c r="T1166" s="14">
        <v>1.53386842954535E-2</v>
      </c>
      <c r="U1166" s="14">
        <v>1.4687496650084401E-2</v>
      </c>
      <c r="V1166" s="14">
        <v>3.6440666720352899E-2</v>
      </c>
      <c r="W1166" s="14">
        <v>3.0299475515583499E-2</v>
      </c>
      <c r="X1166" s="14">
        <v>0</v>
      </c>
      <c r="Y1166" s="14">
        <v>5.4107251644037402E-2</v>
      </c>
      <c r="Z1166" s="14">
        <v>4.7229314552289202E-2</v>
      </c>
      <c r="AA1166" s="14"/>
      <c r="AB1166" s="14">
        <v>6.06426400068786E-2</v>
      </c>
      <c r="AC1166" s="14">
        <v>2.07332593676335E-2</v>
      </c>
      <c r="AD1166" s="14">
        <v>2.14158031412978E-2</v>
      </c>
      <c r="AE1166" s="14">
        <v>4.4667076400412599E-2</v>
      </c>
      <c r="AF1166" s="14"/>
      <c r="AG1166" s="14">
        <v>2.80614569200585E-2</v>
      </c>
      <c r="AH1166" s="14">
        <v>0</v>
      </c>
      <c r="AI1166" s="14"/>
      <c r="AJ1166" s="14">
        <v>1.8253979514410199E-2</v>
      </c>
      <c r="AK1166" s="14">
        <v>4.0906204700243198E-2</v>
      </c>
      <c r="AL1166" s="14"/>
      <c r="AM1166" s="14">
        <v>3.4266315259998799E-2</v>
      </c>
      <c r="AN1166" s="14">
        <v>1.48766551827224E-2</v>
      </c>
    </row>
    <row r="1167" spans="2:40" x14ac:dyDescent="0.35">
      <c r="B1167" t="s">
        <v>319</v>
      </c>
      <c r="C1167" s="14">
        <v>0.113345661811355</v>
      </c>
      <c r="D1167" s="14">
        <v>0.12934948598557</v>
      </c>
      <c r="E1167" s="14">
        <v>9.5455454150876598E-2</v>
      </c>
      <c r="F1167" s="14"/>
      <c r="G1167" s="14" t="s">
        <v>76</v>
      </c>
      <c r="H1167" s="14" t="s">
        <v>76</v>
      </c>
      <c r="I1167" s="14">
        <v>0.113345661811355</v>
      </c>
      <c r="J1167" s="14"/>
      <c r="K1167" s="14" t="s">
        <v>76</v>
      </c>
      <c r="L1167" s="14">
        <v>0.10380808435976201</v>
      </c>
      <c r="M1167" s="14">
        <v>0.131522272728095</v>
      </c>
      <c r="N1167" s="14"/>
      <c r="O1167" s="14">
        <v>0.109651777133253</v>
      </c>
      <c r="P1167" s="14">
        <v>0.14944742787345899</v>
      </c>
      <c r="Q1167" s="14"/>
      <c r="R1167" s="14">
        <v>0.10802190255735999</v>
      </c>
      <c r="S1167" s="14">
        <v>0.111182937601742</v>
      </c>
      <c r="T1167" s="14">
        <v>0.132996478599928</v>
      </c>
      <c r="U1167" s="14">
        <v>0.125073605096165</v>
      </c>
      <c r="V1167" s="14">
        <v>0.101112618129354</v>
      </c>
      <c r="W1167" s="14">
        <v>0.11173106286316201</v>
      </c>
      <c r="X1167" s="14">
        <v>9.1356615597465496E-2</v>
      </c>
      <c r="Y1167" s="14">
        <v>0.13447369807081599</v>
      </c>
      <c r="Z1167" s="14">
        <v>0.115399448939612</v>
      </c>
      <c r="AA1167" s="14"/>
      <c r="AB1167" s="14">
        <v>0.117992531318623</v>
      </c>
      <c r="AC1167" s="14">
        <v>0.14685055353203799</v>
      </c>
      <c r="AD1167" s="14">
        <v>0.103638030316609</v>
      </c>
      <c r="AE1167" s="14">
        <v>0.177575965686638</v>
      </c>
      <c r="AF1167" s="14"/>
      <c r="AG1167" s="14">
        <v>0.105518631027207</v>
      </c>
      <c r="AH1167" s="14">
        <v>0.127759226444252</v>
      </c>
      <c r="AI1167" s="14"/>
      <c r="AJ1167" s="14">
        <v>0.113291717708423</v>
      </c>
      <c r="AK1167" s="14">
        <v>0.151130712315834</v>
      </c>
      <c r="AL1167" s="14"/>
      <c r="AM1167" s="14">
        <v>0.13768246885447899</v>
      </c>
      <c r="AN1167" s="14">
        <v>5.7980233125348599E-2</v>
      </c>
    </row>
    <row r="1168" spans="2:40" x14ac:dyDescent="0.35">
      <c r="B1168" t="s">
        <v>320</v>
      </c>
      <c r="C1168" s="14">
        <v>6.4294033176009097E-2</v>
      </c>
      <c r="D1168" s="14">
        <v>7.4518530162323904E-2</v>
      </c>
      <c r="E1168" s="14">
        <v>5.5514498329336602E-2</v>
      </c>
      <c r="F1168" s="14"/>
      <c r="G1168" s="14" t="s">
        <v>76</v>
      </c>
      <c r="H1168" s="14" t="s">
        <v>76</v>
      </c>
      <c r="I1168" s="14">
        <v>6.4294033176009097E-2</v>
      </c>
      <c r="J1168" s="14"/>
      <c r="K1168" s="14" t="s">
        <v>76</v>
      </c>
      <c r="L1168" s="14">
        <v>5.5481685059979399E-2</v>
      </c>
      <c r="M1168" s="14">
        <v>8.1088509947591106E-2</v>
      </c>
      <c r="N1168" s="14"/>
      <c r="O1168" s="14">
        <v>6.2787865312181904E-2</v>
      </c>
      <c r="P1168" s="14">
        <v>6.3888965876928203E-2</v>
      </c>
      <c r="Q1168" s="14"/>
      <c r="R1168" s="14">
        <v>8.5375405492708598E-2</v>
      </c>
      <c r="S1168" s="14">
        <v>6.2593538143507405E-2</v>
      </c>
      <c r="T1168" s="14">
        <v>7.4720393564213297E-2</v>
      </c>
      <c r="U1168" s="14">
        <v>4.5438595480766703E-2</v>
      </c>
      <c r="V1168" s="14">
        <v>5.7453755620249902E-2</v>
      </c>
      <c r="W1168" s="14">
        <v>7.0937372137620205E-2</v>
      </c>
      <c r="X1168" s="14">
        <v>5.80557343875511E-2</v>
      </c>
      <c r="Y1168" s="14">
        <v>1.38978769605007E-2</v>
      </c>
      <c r="Z1168" s="14">
        <v>7.3233057943445395E-2</v>
      </c>
      <c r="AA1168" s="14"/>
      <c r="AB1168" s="14">
        <v>8.4792679757181605E-2</v>
      </c>
      <c r="AC1168" s="14">
        <v>7.8085212437310994E-2</v>
      </c>
      <c r="AD1168" s="14">
        <v>0.109948279241011</v>
      </c>
      <c r="AE1168" s="14">
        <v>4.3979091640578602E-2</v>
      </c>
      <c r="AF1168" s="14"/>
      <c r="AG1168" s="14">
        <v>5.1425130177645301E-2</v>
      </c>
      <c r="AH1168" s="14">
        <v>0.102648247527171</v>
      </c>
      <c r="AI1168" s="14"/>
      <c r="AJ1168" s="14">
        <v>6.9327606427666499E-2</v>
      </c>
      <c r="AK1168" s="14">
        <v>8.5855018356581395E-2</v>
      </c>
      <c r="AL1168" s="14"/>
      <c r="AM1168" s="14">
        <v>6.7240136775601603E-2</v>
      </c>
      <c r="AN1168" s="14">
        <v>6.5296558187143194E-2</v>
      </c>
    </row>
    <row r="1169" spans="2:40" x14ac:dyDescent="0.35">
      <c r="B1169" t="s">
        <v>321</v>
      </c>
      <c r="C1169" s="14">
        <v>8.5364427323987302E-2</v>
      </c>
      <c r="D1169" s="14">
        <v>0.10166398737441899</v>
      </c>
      <c r="E1169" s="14">
        <v>7.1225483783306398E-2</v>
      </c>
      <c r="F1169" s="14"/>
      <c r="G1169" s="14" t="s">
        <v>76</v>
      </c>
      <c r="H1169" s="14" t="s">
        <v>76</v>
      </c>
      <c r="I1169" s="14">
        <v>8.5364427323987302E-2</v>
      </c>
      <c r="J1169" s="14"/>
      <c r="K1169" s="14" t="s">
        <v>76</v>
      </c>
      <c r="L1169" s="14">
        <v>8.0826716751520006E-2</v>
      </c>
      <c r="M1169" s="14">
        <v>9.4012346562089094E-2</v>
      </c>
      <c r="N1169" s="14"/>
      <c r="O1169" s="14">
        <v>8.7997020255588004E-2</v>
      </c>
      <c r="P1169" s="14">
        <v>7.5401963482425394E-2</v>
      </c>
      <c r="Q1169" s="14"/>
      <c r="R1169" s="14">
        <v>0.114284790801244</v>
      </c>
      <c r="S1169" s="14">
        <v>9.9601870702148002E-2</v>
      </c>
      <c r="T1169" s="14">
        <v>0.14093891324858501</v>
      </c>
      <c r="U1169" s="14">
        <v>3.7002462978612101E-2</v>
      </c>
      <c r="V1169" s="14">
        <v>0.108322184745909</v>
      </c>
      <c r="W1169" s="14">
        <v>2.2433774268691E-2</v>
      </c>
      <c r="X1169" s="14">
        <v>0.102523598296467</v>
      </c>
      <c r="Y1169" s="14">
        <v>7.9734726574772694E-2</v>
      </c>
      <c r="Z1169" s="14">
        <v>5.5588812396091397E-2</v>
      </c>
      <c r="AA1169" s="14"/>
      <c r="AB1169" s="14">
        <v>7.7259669933446906E-2</v>
      </c>
      <c r="AC1169" s="14">
        <v>8.2939593745343598E-2</v>
      </c>
      <c r="AD1169" s="14">
        <v>9.5818678695732504E-2</v>
      </c>
      <c r="AE1169" s="14">
        <v>9.2374747795347004E-2</v>
      </c>
      <c r="AF1169" s="14"/>
      <c r="AG1169" s="14">
        <v>0.18310469193720399</v>
      </c>
      <c r="AH1169" s="14">
        <v>3.0042368140634001E-2</v>
      </c>
      <c r="AI1169" s="14"/>
      <c r="AJ1169" s="14">
        <v>0.12960941952253999</v>
      </c>
      <c r="AK1169" s="14">
        <v>6.8456067078564303E-2</v>
      </c>
      <c r="AL1169" s="14"/>
      <c r="AM1169" s="14">
        <v>0.117550704393428</v>
      </c>
      <c r="AN1169" s="14">
        <v>5.4949482307216899E-2</v>
      </c>
    </row>
    <row r="1170" spans="2:40" x14ac:dyDescent="0.35">
      <c r="B1170" t="s">
        <v>301</v>
      </c>
      <c r="C1170" s="14">
        <v>0.10902973609421</v>
      </c>
      <c r="D1170" s="14">
        <v>8.6833168551389797E-2</v>
      </c>
      <c r="E1170" s="14">
        <v>0.12892259936415401</v>
      </c>
      <c r="F1170" s="14"/>
      <c r="G1170" s="14" t="s">
        <v>76</v>
      </c>
      <c r="H1170" s="14" t="s">
        <v>76</v>
      </c>
      <c r="I1170" s="14">
        <v>0.10902973609421</v>
      </c>
      <c r="J1170" s="14"/>
      <c r="K1170" s="14" t="s">
        <v>76</v>
      </c>
      <c r="L1170" s="14">
        <v>0.101928326394866</v>
      </c>
      <c r="M1170" s="14">
        <v>0.122563525121925</v>
      </c>
      <c r="N1170" s="14"/>
      <c r="O1170" s="14">
        <v>0.116541465930268</v>
      </c>
      <c r="P1170" s="14">
        <v>2.6618470010267799E-2</v>
      </c>
      <c r="Q1170" s="14"/>
      <c r="R1170" s="14">
        <v>9.8071034224282205E-2</v>
      </c>
      <c r="S1170" s="14">
        <v>0.12660961332078699</v>
      </c>
      <c r="T1170" s="14">
        <v>0.13387512582761699</v>
      </c>
      <c r="U1170" s="14">
        <v>0.13374682349994499</v>
      </c>
      <c r="V1170" s="14">
        <v>8.92527785441731E-2</v>
      </c>
      <c r="W1170" s="14">
        <v>0.117390144171552</v>
      </c>
      <c r="X1170" s="14">
        <v>0.106735001539152</v>
      </c>
      <c r="Y1170" s="14">
        <v>9.9199523695782596E-2</v>
      </c>
      <c r="Z1170" s="14">
        <v>7.6450118076891893E-2</v>
      </c>
      <c r="AA1170" s="14"/>
      <c r="AB1170" s="14">
        <v>0.14723151041832899</v>
      </c>
      <c r="AC1170" s="14">
        <v>6.4399747012274496E-3</v>
      </c>
      <c r="AD1170" s="14">
        <v>0.15450439544064401</v>
      </c>
      <c r="AE1170" s="14">
        <v>2.90539729850963E-2</v>
      </c>
      <c r="AF1170" s="14"/>
      <c r="AG1170" s="14">
        <v>6.5759756217073501E-3</v>
      </c>
      <c r="AH1170" s="14">
        <v>0.25180435531082201</v>
      </c>
      <c r="AI1170" s="14"/>
      <c r="AJ1170" s="14">
        <v>9.2283278698532797E-2</v>
      </c>
      <c r="AK1170" s="14">
        <v>0.134527882983701</v>
      </c>
      <c r="AL1170" s="14"/>
      <c r="AM1170" s="14">
        <v>5.4379977554228302E-3</v>
      </c>
      <c r="AN1170" s="14">
        <v>0.31347578189788</v>
      </c>
    </row>
    <row r="1171" spans="2:40" x14ac:dyDescent="0.35">
      <c r="B1171" t="s">
        <v>70</v>
      </c>
      <c r="C1171" s="14">
        <v>2.7470334156779401E-2</v>
      </c>
      <c r="D1171" s="14">
        <v>2.6604730340675599E-2</v>
      </c>
      <c r="E1171" s="14">
        <v>2.8488148840279798E-2</v>
      </c>
      <c r="F1171" s="14"/>
      <c r="G1171" s="14" t="s">
        <v>76</v>
      </c>
      <c r="H1171" s="14" t="s">
        <v>76</v>
      </c>
      <c r="I1171" s="14">
        <v>2.7470334156779401E-2</v>
      </c>
      <c r="J1171" s="14"/>
      <c r="K1171" s="14" t="s">
        <v>76</v>
      </c>
      <c r="L1171" s="14">
        <v>2.84187055826884E-2</v>
      </c>
      <c r="M1171" s="14">
        <v>2.5662938253491498E-2</v>
      </c>
      <c r="N1171" s="14"/>
      <c r="O1171" s="14">
        <v>3.1188200082242001E-2</v>
      </c>
      <c r="P1171" s="14">
        <v>1.02817095442459E-2</v>
      </c>
      <c r="Q1171" s="14"/>
      <c r="R1171" s="14">
        <v>9.8726191014031194E-3</v>
      </c>
      <c r="S1171" s="14">
        <v>3.1550631887056299E-2</v>
      </c>
      <c r="T1171" s="14">
        <v>3.35605012526696E-2</v>
      </c>
      <c r="U1171" s="14">
        <v>7.5167101766066601E-3</v>
      </c>
      <c r="V1171" s="14">
        <v>4.6883634640852302E-2</v>
      </c>
      <c r="W1171" s="14">
        <v>5.8113175019219802E-2</v>
      </c>
      <c r="X1171" s="14">
        <v>3.6090887595480001E-2</v>
      </c>
      <c r="Y1171" s="14">
        <v>0</v>
      </c>
      <c r="Z1171" s="14">
        <v>2.5485557244340502E-2</v>
      </c>
      <c r="AA1171" s="14"/>
      <c r="AB1171" s="14">
        <v>2.9301470623097001E-2</v>
      </c>
      <c r="AC1171" s="14">
        <v>2.2033495065476201E-2</v>
      </c>
      <c r="AD1171" s="14">
        <v>1.9167729538559299E-2</v>
      </c>
      <c r="AE1171" s="14">
        <v>2.4254859868227601E-2</v>
      </c>
      <c r="AF1171" s="14"/>
      <c r="AG1171" s="14">
        <v>5.27115161997196E-3</v>
      </c>
      <c r="AH1171" s="14">
        <v>0</v>
      </c>
      <c r="AI1171" s="14"/>
      <c r="AJ1171" s="14">
        <v>3.4288844646387599E-3</v>
      </c>
      <c r="AK1171" s="14">
        <v>4.1098521684828901E-2</v>
      </c>
      <c r="AL1171" s="14"/>
      <c r="AM1171" s="14">
        <v>1.89128148230907E-2</v>
      </c>
      <c r="AN1171" s="14">
        <v>3.07546725400729E-2</v>
      </c>
    </row>
    <row r="1172" spans="2:40" x14ac:dyDescent="0.35">
      <c r="C1172" s="14"/>
      <c r="D1172" s="14"/>
      <c r="E1172" s="14"/>
      <c r="F1172" s="14"/>
      <c r="G1172" s="14"/>
      <c r="H1172" s="14"/>
      <c r="I1172" s="14"/>
      <c r="J1172" s="14"/>
      <c r="K1172" s="14"/>
      <c r="L1172" s="14"/>
      <c r="M1172" s="14"/>
      <c r="N1172" s="14"/>
      <c r="O1172" s="14"/>
      <c r="P1172" s="14"/>
      <c r="Q1172" s="14"/>
      <c r="R1172" s="14"/>
      <c r="S1172" s="14"/>
      <c r="T1172" s="14"/>
      <c r="U1172" s="14"/>
      <c r="V1172" s="14"/>
      <c r="W1172" s="14"/>
      <c r="X1172" s="14"/>
      <c r="Y1172" s="14"/>
      <c r="Z1172" s="14"/>
      <c r="AA1172" s="14"/>
      <c r="AB1172" s="14"/>
      <c r="AC1172" s="14"/>
      <c r="AD1172" s="14"/>
      <c r="AE1172" s="14"/>
      <c r="AF1172" s="14"/>
      <c r="AG1172" s="14"/>
      <c r="AH1172" s="14"/>
      <c r="AI1172" s="14"/>
      <c r="AJ1172" s="14"/>
      <c r="AK1172" s="14"/>
      <c r="AL1172" s="14"/>
      <c r="AM1172" s="14"/>
      <c r="AN1172" s="14"/>
    </row>
    <row r="1173" spans="2:40" x14ac:dyDescent="0.35">
      <c r="B1173" s="6" t="s">
        <v>323</v>
      </c>
      <c r="C1173" s="14"/>
      <c r="D1173" s="14"/>
      <c r="E1173" s="14"/>
      <c r="F1173" s="14"/>
      <c r="G1173" s="14"/>
      <c r="H1173" s="14"/>
      <c r="I1173" s="14"/>
      <c r="J1173" s="14"/>
      <c r="K1173" s="14"/>
      <c r="L1173" s="14"/>
      <c r="M1173" s="14"/>
      <c r="N1173" s="14"/>
      <c r="O1173" s="14"/>
      <c r="P1173" s="14"/>
      <c r="Q1173" s="14"/>
      <c r="R1173" s="14"/>
      <c r="S1173" s="14"/>
      <c r="T1173" s="14"/>
      <c r="U1173" s="14"/>
      <c r="V1173" s="14"/>
      <c r="W1173" s="14"/>
      <c r="X1173" s="14"/>
      <c r="Y1173" s="14"/>
      <c r="Z1173" s="14"/>
      <c r="AA1173" s="14"/>
      <c r="AB1173" s="14"/>
      <c r="AC1173" s="14"/>
      <c r="AD1173" s="14"/>
      <c r="AE1173" s="14"/>
      <c r="AF1173" s="14"/>
      <c r="AG1173" s="14"/>
      <c r="AH1173" s="14"/>
      <c r="AI1173" s="14"/>
      <c r="AJ1173" s="14"/>
      <c r="AK1173" s="14"/>
      <c r="AL1173" s="14"/>
      <c r="AM1173" s="14"/>
      <c r="AN1173" s="14"/>
    </row>
    <row r="1174" spans="2:40" ht="19.5" customHeight="1" x14ac:dyDescent="0.35">
      <c r="B1174" s="34" t="s">
        <v>390</v>
      </c>
      <c r="C1174" s="14"/>
      <c r="D1174" s="14"/>
      <c r="E1174" s="14"/>
      <c r="F1174" s="14"/>
      <c r="G1174" s="14"/>
      <c r="H1174" s="14"/>
      <c r="I1174" s="14"/>
      <c r="J1174" s="14"/>
      <c r="K1174" s="14"/>
      <c r="L1174" s="14"/>
      <c r="M1174" s="14"/>
      <c r="N1174" s="14"/>
      <c r="O1174" s="14"/>
      <c r="P1174" s="14"/>
      <c r="Q1174" s="14"/>
      <c r="R1174" s="14"/>
      <c r="S1174" s="14"/>
      <c r="T1174" s="14"/>
      <c r="U1174" s="14"/>
      <c r="V1174" s="14"/>
      <c r="W1174" s="14"/>
      <c r="X1174" s="14"/>
      <c r="Y1174" s="14"/>
      <c r="Z1174" s="14"/>
      <c r="AA1174" s="14"/>
      <c r="AB1174" s="14"/>
      <c r="AC1174" s="14"/>
      <c r="AD1174" s="14"/>
      <c r="AE1174" s="14"/>
      <c r="AF1174" s="14"/>
      <c r="AG1174" s="14"/>
      <c r="AH1174" s="14"/>
      <c r="AI1174" s="14"/>
      <c r="AJ1174" s="14"/>
      <c r="AK1174" s="14"/>
      <c r="AL1174" s="14"/>
      <c r="AM1174" s="14"/>
      <c r="AN1174" s="14"/>
    </row>
    <row r="1175" spans="2:40" x14ac:dyDescent="0.35">
      <c r="B1175" t="s">
        <v>313</v>
      </c>
      <c r="C1175" s="14">
        <v>0.34221126677608399</v>
      </c>
      <c r="D1175" s="14">
        <v>0.319838202217677</v>
      </c>
      <c r="E1175" s="14">
        <v>0.36283263985681202</v>
      </c>
      <c r="F1175" s="14"/>
      <c r="G1175" s="14" t="s">
        <v>76</v>
      </c>
      <c r="H1175" s="14" t="s">
        <v>76</v>
      </c>
      <c r="I1175" s="14">
        <v>0.34221126677608399</v>
      </c>
      <c r="J1175" s="14"/>
      <c r="K1175" s="14" t="s">
        <v>76</v>
      </c>
      <c r="L1175" s="14">
        <v>0.33808376805269402</v>
      </c>
      <c r="M1175" s="14">
        <v>0.350077408753456</v>
      </c>
      <c r="N1175" s="14"/>
      <c r="O1175" s="14">
        <v>0.36030364077056898</v>
      </c>
      <c r="P1175" s="14">
        <v>0.256997616970087</v>
      </c>
      <c r="Q1175" s="14"/>
      <c r="R1175" s="14">
        <v>0.296058627441946</v>
      </c>
      <c r="S1175" s="14">
        <v>0.30366201720673203</v>
      </c>
      <c r="T1175" s="14">
        <v>0.36947355674749099</v>
      </c>
      <c r="U1175" s="14">
        <v>0.390802881476915</v>
      </c>
      <c r="V1175" s="14">
        <v>0.36690055855085202</v>
      </c>
      <c r="W1175" s="14">
        <v>0.37317088761317102</v>
      </c>
      <c r="X1175" s="14">
        <v>0.34965325234023498</v>
      </c>
      <c r="Y1175" s="14">
        <v>0.41639042790773101</v>
      </c>
      <c r="Z1175" s="14">
        <v>0.31546512870957699</v>
      </c>
      <c r="AA1175" s="14"/>
      <c r="AB1175" s="14">
        <v>0.27840933590483002</v>
      </c>
      <c r="AC1175" s="14">
        <v>0.313057757428998</v>
      </c>
      <c r="AD1175" s="14">
        <v>0.401143355410844</v>
      </c>
      <c r="AE1175" s="14">
        <v>0.301951507888154</v>
      </c>
      <c r="AF1175" s="14"/>
      <c r="AG1175" s="14">
        <v>0.32664702942635399</v>
      </c>
      <c r="AH1175" s="14">
        <v>0.33252214985456102</v>
      </c>
      <c r="AI1175" s="14"/>
      <c r="AJ1175" s="14">
        <v>0.32870038364168402</v>
      </c>
      <c r="AK1175" s="14">
        <v>0.39006103091212202</v>
      </c>
      <c r="AL1175" s="14"/>
      <c r="AM1175" s="14">
        <v>0.29130607129726699</v>
      </c>
      <c r="AN1175" s="14">
        <v>0.40447321129032299</v>
      </c>
    </row>
    <row r="1176" spans="2:40" x14ac:dyDescent="0.35">
      <c r="B1176" t="s">
        <v>314</v>
      </c>
      <c r="C1176" s="14">
        <v>9.3632698185270299E-2</v>
      </c>
      <c r="D1176" s="14">
        <v>0.110456995730028</v>
      </c>
      <c r="E1176" s="14">
        <v>7.4676972932400096E-2</v>
      </c>
      <c r="F1176" s="14"/>
      <c r="G1176" s="14" t="s">
        <v>76</v>
      </c>
      <c r="H1176" s="14" t="s">
        <v>76</v>
      </c>
      <c r="I1176" s="14">
        <v>9.3632698185270299E-2</v>
      </c>
      <c r="J1176" s="14"/>
      <c r="K1176" s="14" t="s">
        <v>76</v>
      </c>
      <c r="L1176" s="14">
        <v>0.102966394119459</v>
      </c>
      <c r="M1176" s="14">
        <v>7.5844642437153706E-2</v>
      </c>
      <c r="N1176" s="14"/>
      <c r="O1176" s="14">
        <v>9.3175661664562606E-2</v>
      </c>
      <c r="P1176" s="14">
        <v>9.6817837698258094E-2</v>
      </c>
      <c r="Q1176" s="14"/>
      <c r="R1176" s="14">
        <v>0.104399914704368</v>
      </c>
      <c r="S1176" s="14">
        <v>0.106376454991592</v>
      </c>
      <c r="T1176" s="14">
        <v>3.11456255233751E-2</v>
      </c>
      <c r="U1176" s="14">
        <v>0.10139744152465301</v>
      </c>
      <c r="V1176" s="14">
        <v>0.13526539668957599</v>
      </c>
      <c r="W1176" s="14">
        <v>0.114335548130912</v>
      </c>
      <c r="X1176" s="14">
        <v>7.0613621338156699E-2</v>
      </c>
      <c r="Y1176" s="14">
        <v>0.102107354760703</v>
      </c>
      <c r="Z1176" s="14">
        <v>7.2131726952975303E-2</v>
      </c>
      <c r="AA1176" s="14"/>
      <c r="AB1176" s="14">
        <v>0.15417602356264901</v>
      </c>
      <c r="AC1176" s="14">
        <v>0.12329551803707001</v>
      </c>
      <c r="AD1176" s="14">
        <v>5.6495902372920598E-2</v>
      </c>
      <c r="AE1176" s="14">
        <v>0.12034235453426601</v>
      </c>
      <c r="AF1176" s="14"/>
      <c r="AG1176" s="14">
        <v>0.156691155045349</v>
      </c>
      <c r="AH1176" s="14">
        <v>2.6053595685869301E-2</v>
      </c>
      <c r="AI1176" s="14"/>
      <c r="AJ1176" s="14">
        <v>0.111033336372673</v>
      </c>
      <c r="AK1176" s="14">
        <v>5.1998375897052397E-2</v>
      </c>
      <c r="AL1176" s="14"/>
      <c r="AM1176" s="14">
        <v>0.109650460442242</v>
      </c>
      <c r="AN1176" s="14">
        <v>5.7885916383551297E-2</v>
      </c>
    </row>
    <row r="1177" spans="2:40" x14ac:dyDescent="0.35">
      <c r="B1177" t="s">
        <v>315</v>
      </c>
      <c r="C1177" s="14">
        <v>4.5361370950673802E-2</v>
      </c>
      <c r="D1177" s="14">
        <v>4.8824239430533801E-2</v>
      </c>
      <c r="E1177" s="14">
        <v>4.2584625621542499E-2</v>
      </c>
      <c r="F1177" s="14"/>
      <c r="G1177" s="14" t="s">
        <v>76</v>
      </c>
      <c r="H1177" s="14" t="s">
        <v>76</v>
      </c>
      <c r="I1177" s="14">
        <v>4.5361370950673802E-2</v>
      </c>
      <c r="J1177" s="14"/>
      <c r="K1177" s="14" t="s">
        <v>76</v>
      </c>
      <c r="L1177" s="14">
        <v>4.7264486532135698E-2</v>
      </c>
      <c r="M1177" s="14">
        <v>4.1734434065559198E-2</v>
      </c>
      <c r="N1177" s="14"/>
      <c r="O1177" s="14">
        <v>4.7798385897322299E-2</v>
      </c>
      <c r="P1177" s="14">
        <v>3.8727354787012398E-2</v>
      </c>
      <c r="Q1177" s="14"/>
      <c r="R1177" s="14">
        <v>5.6014780901764198E-2</v>
      </c>
      <c r="S1177" s="14">
        <v>5.4367763850597703E-2</v>
      </c>
      <c r="T1177" s="14">
        <v>5.2253593966341397E-2</v>
      </c>
      <c r="U1177" s="14">
        <v>3.0407439863686998E-2</v>
      </c>
      <c r="V1177" s="14">
        <v>3.2336145685057299E-2</v>
      </c>
      <c r="W1177" s="14">
        <v>6.6346932684736695E-2</v>
      </c>
      <c r="X1177" s="14">
        <v>2.3983622476723102E-2</v>
      </c>
      <c r="Y1177" s="14">
        <v>5.4179282376262301E-2</v>
      </c>
      <c r="Z1177" s="14">
        <v>3.28634815028866E-2</v>
      </c>
      <c r="AA1177" s="14"/>
      <c r="AB1177" s="14">
        <v>5.8472908986158603E-2</v>
      </c>
      <c r="AC1177" s="14">
        <v>3.2490313696526801E-2</v>
      </c>
      <c r="AD1177" s="14">
        <v>2.7119637765187801E-2</v>
      </c>
      <c r="AE1177" s="14">
        <v>5.1684517538876602E-2</v>
      </c>
      <c r="AF1177" s="14"/>
      <c r="AG1177" s="14">
        <v>1.2944442803088801E-2</v>
      </c>
      <c r="AH1177" s="14">
        <v>4.58208578927361E-2</v>
      </c>
      <c r="AI1177" s="14"/>
      <c r="AJ1177" s="14">
        <v>2.4434747782227401E-2</v>
      </c>
      <c r="AK1177" s="14">
        <v>6.1366627793737902E-2</v>
      </c>
      <c r="AL1177" s="14"/>
      <c r="AM1177" s="14">
        <v>4.6068375290767599E-2</v>
      </c>
      <c r="AN1177" s="14">
        <v>2.8420251931411299E-2</v>
      </c>
    </row>
    <row r="1178" spans="2:40" x14ac:dyDescent="0.35">
      <c r="B1178" t="s">
        <v>316</v>
      </c>
      <c r="C1178" s="14">
        <v>1.9341909354004799E-2</v>
      </c>
      <c r="D1178" s="14">
        <v>1.5052905909625301E-2</v>
      </c>
      <c r="E1178" s="14">
        <v>2.3411079426906602E-2</v>
      </c>
      <c r="F1178" s="14"/>
      <c r="G1178" s="14" t="s">
        <v>76</v>
      </c>
      <c r="H1178" s="14" t="s">
        <v>76</v>
      </c>
      <c r="I1178" s="14">
        <v>1.9341909354004799E-2</v>
      </c>
      <c r="J1178" s="14"/>
      <c r="K1178" s="14" t="s">
        <v>76</v>
      </c>
      <c r="L1178" s="14">
        <v>1.65609078280517E-2</v>
      </c>
      <c r="M1178" s="14">
        <v>2.46419116819196E-2</v>
      </c>
      <c r="N1178" s="14"/>
      <c r="O1178" s="14">
        <v>1.6667242932353301E-2</v>
      </c>
      <c r="P1178" s="14">
        <v>2.6283427188687401E-2</v>
      </c>
      <c r="Q1178" s="14"/>
      <c r="R1178" s="14">
        <v>2.5894581545466099E-2</v>
      </c>
      <c r="S1178" s="14">
        <v>2.48803610214254E-2</v>
      </c>
      <c r="T1178" s="14">
        <v>1.5709799435790501E-2</v>
      </c>
      <c r="U1178" s="14">
        <v>7.5631898723195201E-3</v>
      </c>
      <c r="V1178" s="14">
        <v>1.9779604973330901E-2</v>
      </c>
      <c r="W1178" s="14">
        <v>0</v>
      </c>
      <c r="X1178" s="14">
        <v>1.1221176052345801E-2</v>
      </c>
      <c r="Y1178" s="14">
        <v>1.23622573872863E-2</v>
      </c>
      <c r="Z1178" s="14">
        <v>3.8330721832684898E-2</v>
      </c>
      <c r="AA1178" s="14"/>
      <c r="AB1178" s="14">
        <v>7.6913990717589397E-3</v>
      </c>
      <c r="AC1178" s="14">
        <v>3.5305605011898299E-2</v>
      </c>
      <c r="AD1178" s="14">
        <v>2.8605126258071999E-2</v>
      </c>
      <c r="AE1178" s="14">
        <v>2.5386493395797901E-2</v>
      </c>
      <c r="AF1178" s="14"/>
      <c r="AG1178" s="14">
        <v>3.95949210312821E-2</v>
      </c>
      <c r="AH1178" s="14">
        <v>4.2030625963944003E-2</v>
      </c>
      <c r="AI1178" s="14"/>
      <c r="AJ1178" s="14">
        <v>4.0446199750058601E-2</v>
      </c>
      <c r="AK1178" s="14">
        <v>8.4064262207868504E-3</v>
      </c>
      <c r="AL1178" s="14"/>
      <c r="AM1178" s="14">
        <v>2.3048954329943298E-2</v>
      </c>
      <c r="AN1178" s="14">
        <v>1.53102648084898E-2</v>
      </c>
    </row>
    <row r="1179" spans="2:40" x14ac:dyDescent="0.35">
      <c r="B1179" t="s">
        <v>317</v>
      </c>
      <c r="C1179" s="14">
        <v>2.5520063853640401E-2</v>
      </c>
      <c r="D1179" s="14">
        <v>1.9151221009264401E-2</v>
      </c>
      <c r="E1179" s="14">
        <v>3.1535768775164799E-2</v>
      </c>
      <c r="F1179" s="14"/>
      <c r="G1179" s="14" t="s">
        <v>76</v>
      </c>
      <c r="H1179" s="14" t="s">
        <v>76</v>
      </c>
      <c r="I1179" s="14">
        <v>2.5520063853640401E-2</v>
      </c>
      <c r="J1179" s="14"/>
      <c r="K1179" s="14" t="s">
        <v>76</v>
      </c>
      <c r="L1179" s="14">
        <v>2.5116343973307802E-2</v>
      </c>
      <c r="M1179" s="14">
        <v>2.6289468791257101E-2</v>
      </c>
      <c r="N1179" s="14"/>
      <c r="O1179" s="14">
        <v>2.2740225613803899E-2</v>
      </c>
      <c r="P1179" s="14">
        <v>3.6029047551425303E-2</v>
      </c>
      <c r="Q1179" s="14"/>
      <c r="R1179" s="14">
        <v>3.8673084893653703E-2</v>
      </c>
      <c r="S1179" s="14">
        <v>2.3872521433232499E-2</v>
      </c>
      <c r="T1179" s="14">
        <v>3.5981516054433199E-2</v>
      </c>
      <c r="U1179" s="14">
        <v>2.1814214769190401E-2</v>
      </c>
      <c r="V1179" s="14">
        <v>1.7305353091731999E-2</v>
      </c>
      <c r="W1179" s="14">
        <v>5.9562075169801703E-3</v>
      </c>
      <c r="X1179" s="14">
        <v>1.12905655854969E-2</v>
      </c>
      <c r="Y1179" s="14">
        <v>5.38541749082228E-2</v>
      </c>
      <c r="Z1179" s="14">
        <v>2.5511313669813601E-2</v>
      </c>
      <c r="AA1179" s="14"/>
      <c r="AB1179" s="14">
        <v>2.22641774379271E-2</v>
      </c>
      <c r="AC1179" s="14">
        <v>2.9975936748822801E-2</v>
      </c>
      <c r="AD1179" s="14">
        <v>1.6504038799845699E-2</v>
      </c>
      <c r="AE1179" s="14">
        <v>4.3344250068109498E-2</v>
      </c>
      <c r="AF1179" s="14"/>
      <c r="AG1179" s="14">
        <v>3.4026111785692398E-2</v>
      </c>
      <c r="AH1179" s="14">
        <v>1.37448928984156E-2</v>
      </c>
      <c r="AI1179" s="14"/>
      <c r="AJ1179" s="14">
        <v>2.6937827076789999E-2</v>
      </c>
      <c r="AK1179" s="14">
        <v>2.93572457767056E-2</v>
      </c>
      <c r="AL1179" s="14"/>
      <c r="AM1179" s="14">
        <v>3.3568457919848402E-2</v>
      </c>
      <c r="AN1179" s="14">
        <v>2.0734689686654699E-2</v>
      </c>
    </row>
    <row r="1180" spans="2:40" x14ac:dyDescent="0.35">
      <c r="B1180" t="s">
        <v>318</v>
      </c>
      <c r="C1180" s="14">
        <v>2.9395444595409499E-2</v>
      </c>
      <c r="D1180" s="14">
        <v>2.9456739275451199E-2</v>
      </c>
      <c r="E1180" s="14">
        <v>2.95847935517446E-2</v>
      </c>
      <c r="F1180" s="14"/>
      <c r="G1180" s="14" t="s">
        <v>76</v>
      </c>
      <c r="H1180" s="14" t="s">
        <v>76</v>
      </c>
      <c r="I1180" s="14">
        <v>2.9395444595409499E-2</v>
      </c>
      <c r="J1180" s="14"/>
      <c r="K1180" s="14" t="s">
        <v>76</v>
      </c>
      <c r="L1180" s="14">
        <v>2.7107815340914099E-2</v>
      </c>
      <c r="M1180" s="14">
        <v>3.37551834380828E-2</v>
      </c>
      <c r="N1180" s="14"/>
      <c r="O1180" s="14">
        <v>2.88503764219359E-2</v>
      </c>
      <c r="P1180" s="14">
        <v>3.1931434315587003E-2</v>
      </c>
      <c r="Q1180" s="14"/>
      <c r="R1180" s="14">
        <v>4.6069084075281597E-2</v>
      </c>
      <c r="S1180" s="14">
        <v>3.0083914978522901E-2</v>
      </c>
      <c r="T1180" s="14">
        <v>1.6712685975204301E-2</v>
      </c>
      <c r="U1180" s="14">
        <v>2.5431104144993302E-2</v>
      </c>
      <c r="V1180" s="14">
        <v>8.3506537773943498E-3</v>
      </c>
      <c r="W1180" s="14">
        <v>1.8117963661007999E-2</v>
      </c>
      <c r="X1180" s="14">
        <v>2.3397826405666799E-2</v>
      </c>
      <c r="Y1180" s="14">
        <v>2.40110887670913E-2</v>
      </c>
      <c r="Z1180" s="14">
        <v>4.8064945476535698E-2</v>
      </c>
      <c r="AA1180" s="14"/>
      <c r="AB1180" s="14">
        <v>3.1466889770820398E-2</v>
      </c>
      <c r="AC1180" s="14">
        <v>2.0553770700444299E-2</v>
      </c>
      <c r="AD1180" s="14">
        <v>3.3785551917093003E-2</v>
      </c>
      <c r="AE1180" s="14">
        <v>4.2861596276716901E-2</v>
      </c>
      <c r="AF1180" s="14"/>
      <c r="AG1180" s="14">
        <v>5.8434744277511899E-2</v>
      </c>
      <c r="AH1180" s="14">
        <v>2.8181344404967199E-2</v>
      </c>
      <c r="AI1180" s="14"/>
      <c r="AJ1180" s="14">
        <v>4.78611829496274E-2</v>
      </c>
      <c r="AK1180" s="14">
        <v>4.92060486286287E-3</v>
      </c>
      <c r="AL1180" s="14"/>
      <c r="AM1180" s="14">
        <v>3.7667919563978199E-2</v>
      </c>
      <c r="AN1180" s="14">
        <v>2.7361668582861199E-2</v>
      </c>
    </row>
    <row r="1181" spans="2:40" x14ac:dyDescent="0.35">
      <c r="B1181" t="s">
        <v>319</v>
      </c>
      <c r="C1181" s="14">
        <v>0.11991088128215099</v>
      </c>
      <c r="D1181" s="14">
        <v>0.138057440208223</v>
      </c>
      <c r="E1181" s="14">
        <v>0.103061442861346</v>
      </c>
      <c r="F1181" s="14"/>
      <c r="G1181" s="14" t="s">
        <v>76</v>
      </c>
      <c r="H1181" s="14" t="s">
        <v>76</v>
      </c>
      <c r="I1181" s="14">
        <v>0.11991088128215099</v>
      </c>
      <c r="J1181" s="14"/>
      <c r="K1181" s="14" t="s">
        <v>76</v>
      </c>
      <c r="L1181" s="14">
        <v>0.118481680961952</v>
      </c>
      <c r="M1181" s="14">
        <v>0.122634635639501</v>
      </c>
      <c r="N1181" s="14"/>
      <c r="O1181" s="14">
        <v>0.11036492929872201</v>
      </c>
      <c r="P1181" s="14">
        <v>0.18152385797895901</v>
      </c>
      <c r="Q1181" s="14"/>
      <c r="R1181" s="14">
        <v>0.10778731647741099</v>
      </c>
      <c r="S1181" s="14">
        <v>0.121820478509955</v>
      </c>
      <c r="T1181" s="14">
        <v>8.3769903422579797E-2</v>
      </c>
      <c r="U1181" s="14">
        <v>0.15370212141994299</v>
      </c>
      <c r="V1181" s="14">
        <v>0.144391611005286</v>
      </c>
      <c r="W1181" s="14">
        <v>0.14224606064336001</v>
      </c>
      <c r="X1181" s="14">
        <v>0.13262736219361301</v>
      </c>
      <c r="Y1181" s="14">
        <v>7.6556509989198898E-2</v>
      </c>
      <c r="Z1181" s="14">
        <v>0.106994375013946</v>
      </c>
      <c r="AA1181" s="14"/>
      <c r="AB1181" s="14">
        <v>0.110387005231188</v>
      </c>
      <c r="AC1181" s="14">
        <v>9.8034528968124895E-2</v>
      </c>
      <c r="AD1181" s="14">
        <v>0.12807435323981001</v>
      </c>
      <c r="AE1181" s="14">
        <v>0.112014509394798</v>
      </c>
      <c r="AF1181" s="14"/>
      <c r="AG1181" s="14">
        <v>0.116125342239074</v>
      </c>
      <c r="AH1181" s="14">
        <v>0.131828186801215</v>
      </c>
      <c r="AI1181" s="14"/>
      <c r="AJ1181" s="14">
        <v>0.12161348541304901</v>
      </c>
      <c r="AK1181" s="14">
        <v>0.129633530019794</v>
      </c>
      <c r="AL1181" s="14"/>
      <c r="AM1181" s="14">
        <v>0.13912006130592899</v>
      </c>
      <c r="AN1181" s="14">
        <v>7.7061290824869497E-2</v>
      </c>
    </row>
    <row r="1182" spans="2:40" x14ac:dyDescent="0.35">
      <c r="B1182" t="s">
        <v>320</v>
      </c>
      <c r="C1182" s="14">
        <v>0.16291876954583401</v>
      </c>
      <c r="D1182" s="14">
        <v>0.16053963809194999</v>
      </c>
      <c r="E1182" s="14">
        <v>0.16644541876190699</v>
      </c>
      <c r="F1182" s="14"/>
      <c r="G1182" s="14" t="s">
        <v>76</v>
      </c>
      <c r="H1182" s="14" t="s">
        <v>76</v>
      </c>
      <c r="I1182" s="14">
        <v>0.16291876954583401</v>
      </c>
      <c r="J1182" s="14"/>
      <c r="K1182" s="14" t="s">
        <v>76</v>
      </c>
      <c r="L1182" s="14">
        <v>0.156404882062538</v>
      </c>
      <c r="M1182" s="14">
        <v>0.17533286515242</v>
      </c>
      <c r="N1182" s="14"/>
      <c r="O1182" s="14">
        <v>0.15522633331708799</v>
      </c>
      <c r="P1182" s="14">
        <v>0.20530984307717101</v>
      </c>
      <c r="Q1182" s="14"/>
      <c r="R1182" s="14">
        <v>0.15917062239914601</v>
      </c>
      <c r="S1182" s="14">
        <v>0.165522889991428</v>
      </c>
      <c r="T1182" s="14">
        <v>0.25206423521295301</v>
      </c>
      <c r="U1182" s="14">
        <v>0.13014532294783501</v>
      </c>
      <c r="V1182" s="14">
        <v>9.4088462174539395E-2</v>
      </c>
      <c r="W1182" s="14">
        <v>0.156612628484259</v>
      </c>
      <c r="X1182" s="14">
        <v>0.171873282684675</v>
      </c>
      <c r="Y1182" s="14">
        <v>0.108053784201272</v>
      </c>
      <c r="Z1182" s="14">
        <v>0.19382217554308501</v>
      </c>
      <c r="AA1182" s="14"/>
      <c r="AB1182" s="14">
        <v>0.17443552359619</v>
      </c>
      <c r="AC1182" s="14">
        <v>0.23622725337931999</v>
      </c>
      <c r="AD1182" s="14">
        <v>0.15544123952174499</v>
      </c>
      <c r="AE1182" s="14">
        <v>0.200821903167058</v>
      </c>
      <c r="AF1182" s="14"/>
      <c r="AG1182" s="14">
        <v>0.17885498139575601</v>
      </c>
      <c r="AH1182" s="14">
        <v>0.24197005710470601</v>
      </c>
      <c r="AI1182" s="14"/>
      <c r="AJ1182" s="14">
        <v>0.20091369633471001</v>
      </c>
      <c r="AK1182" s="14">
        <v>0.14832621844782901</v>
      </c>
      <c r="AL1182" s="14"/>
      <c r="AM1182" s="14">
        <v>0.19156294705670901</v>
      </c>
      <c r="AN1182" s="14">
        <v>0.12727120708808001</v>
      </c>
    </row>
    <row r="1183" spans="2:40" x14ac:dyDescent="0.35">
      <c r="B1183" t="s">
        <v>321</v>
      </c>
      <c r="C1183" s="14">
        <v>7.3640606366953201E-2</v>
      </c>
      <c r="D1183" s="14">
        <v>9.5236641914654294E-2</v>
      </c>
      <c r="E1183" s="14">
        <v>5.4578101010403002E-2</v>
      </c>
      <c r="F1183" s="14"/>
      <c r="G1183" s="14" t="s">
        <v>76</v>
      </c>
      <c r="H1183" s="14" t="s">
        <v>76</v>
      </c>
      <c r="I1183" s="14">
        <v>7.3640606366953201E-2</v>
      </c>
      <c r="J1183" s="14"/>
      <c r="K1183" s="14" t="s">
        <v>76</v>
      </c>
      <c r="L1183" s="14">
        <v>8.1122054955324097E-2</v>
      </c>
      <c r="M1183" s="14">
        <v>5.9382543376156699E-2</v>
      </c>
      <c r="N1183" s="14"/>
      <c r="O1183" s="14">
        <v>6.9616691232054898E-2</v>
      </c>
      <c r="P1183" s="14">
        <v>8.6399851737137601E-2</v>
      </c>
      <c r="Q1183" s="14"/>
      <c r="R1183" s="14">
        <v>0.11135132997514199</v>
      </c>
      <c r="S1183" s="14">
        <v>6.2301885364571298E-2</v>
      </c>
      <c r="T1183" s="14">
        <v>4.3637974544825202E-2</v>
      </c>
      <c r="U1183" s="14">
        <v>7.0149172259783205E-2</v>
      </c>
      <c r="V1183" s="14">
        <v>6.7318467581607297E-2</v>
      </c>
      <c r="W1183" s="14">
        <v>2.7404140163495801E-2</v>
      </c>
      <c r="X1183" s="14">
        <v>0.109832449243354</v>
      </c>
      <c r="Y1183" s="14">
        <v>6.0557588895033702E-2</v>
      </c>
      <c r="Z1183" s="14">
        <v>8.3796068532335802E-2</v>
      </c>
      <c r="AA1183" s="14"/>
      <c r="AB1183" s="14">
        <v>8.4359984812456601E-2</v>
      </c>
      <c r="AC1183" s="14">
        <v>9.3906179587666297E-2</v>
      </c>
      <c r="AD1183" s="14">
        <v>6.4584325033324105E-2</v>
      </c>
      <c r="AE1183" s="14">
        <v>4.3031695213159797E-2</v>
      </c>
      <c r="AF1183" s="14"/>
      <c r="AG1183" s="14">
        <v>3.9713376895497601E-2</v>
      </c>
      <c r="AH1183" s="14">
        <v>5.4922376939303699E-2</v>
      </c>
      <c r="AI1183" s="14"/>
      <c r="AJ1183" s="14">
        <v>4.5028921441779099E-2</v>
      </c>
      <c r="AK1183" s="14">
        <v>5.85093301449926E-2</v>
      </c>
      <c r="AL1183" s="14"/>
      <c r="AM1183" s="14">
        <v>0.100215345470998</v>
      </c>
      <c r="AN1183" s="14">
        <v>5.3269456871087403E-2</v>
      </c>
    </row>
    <row r="1184" spans="2:40" x14ac:dyDescent="0.35">
      <c r="B1184" t="s">
        <v>301</v>
      </c>
      <c r="C1184" s="14">
        <v>4.2801595975220798E-2</v>
      </c>
      <c r="D1184" s="14">
        <v>3.1499061525492603E-2</v>
      </c>
      <c r="E1184" s="14">
        <v>5.3456678510537703E-2</v>
      </c>
      <c r="F1184" s="14"/>
      <c r="G1184" s="14" t="s">
        <v>76</v>
      </c>
      <c r="H1184" s="14" t="s">
        <v>76</v>
      </c>
      <c r="I1184" s="14">
        <v>4.2801595975220798E-2</v>
      </c>
      <c r="J1184" s="14"/>
      <c r="K1184" s="14" t="s">
        <v>76</v>
      </c>
      <c r="L1184" s="14">
        <v>3.4776662242010398E-2</v>
      </c>
      <c r="M1184" s="14">
        <v>5.8095427017906397E-2</v>
      </c>
      <c r="N1184" s="14"/>
      <c r="O1184" s="14">
        <v>4.64273753986124E-2</v>
      </c>
      <c r="P1184" s="14">
        <v>1.6336760357153399E-2</v>
      </c>
      <c r="Q1184" s="14"/>
      <c r="R1184" s="14">
        <v>4.4379732837071903E-2</v>
      </c>
      <c r="S1184" s="14">
        <v>6.6492641875355904E-2</v>
      </c>
      <c r="T1184" s="14">
        <v>4.65518911497644E-2</v>
      </c>
      <c r="U1184" s="14">
        <v>3.7332997420060202E-2</v>
      </c>
      <c r="V1184" s="14">
        <v>7.9173942963178309E-3</v>
      </c>
      <c r="W1184" s="14">
        <v>3.9430422562615697E-2</v>
      </c>
      <c r="X1184" s="14">
        <v>3.3444039616567299E-2</v>
      </c>
      <c r="Y1184" s="14">
        <v>6.6308791734667402E-2</v>
      </c>
      <c r="Z1184" s="14">
        <v>3.4843735840765402E-2</v>
      </c>
      <c r="AA1184" s="14"/>
      <c r="AB1184" s="14">
        <v>5.5579299457366303E-2</v>
      </c>
      <c r="AC1184" s="14">
        <v>0</v>
      </c>
      <c r="AD1184" s="14">
        <v>5.3879616235518499E-2</v>
      </c>
      <c r="AE1184" s="14">
        <v>4.4749625520413401E-2</v>
      </c>
      <c r="AF1184" s="14"/>
      <c r="AG1184" s="14">
        <v>6.5759756217073501E-3</v>
      </c>
      <c r="AH1184" s="14">
        <v>8.2925912454283199E-2</v>
      </c>
      <c r="AI1184" s="14"/>
      <c r="AJ1184" s="14">
        <v>3.3260273680120502E-2</v>
      </c>
      <c r="AK1184" s="14">
        <v>7.8460764787469495E-2</v>
      </c>
      <c r="AL1184" s="14"/>
      <c r="AM1184" s="14">
        <v>4.3631254624821297E-3</v>
      </c>
      <c r="AN1184" s="14">
        <v>0.113264311386403</v>
      </c>
    </row>
    <row r="1185" spans="2:40" x14ac:dyDescent="0.35">
      <c r="B1185" t="s">
        <v>70</v>
      </c>
      <c r="C1185" s="14">
        <v>4.52653931147581E-2</v>
      </c>
      <c r="D1185" s="14">
        <v>3.1886914687101003E-2</v>
      </c>
      <c r="E1185" s="14">
        <v>5.7832478691235402E-2</v>
      </c>
      <c r="F1185" s="14"/>
      <c r="G1185" s="14" t="s">
        <v>76</v>
      </c>
      <c r="H1185" s="14" t="s">
        <v>76</v>
      </c>
      <c r="I1185" s="14">
        <v>4.52653931147581E-2</v>
      </c>
      <c r="J1185" s="14"/>
      <c r="K1185" s="14" t="s">
        <v>76</v>
      </c>
      <c r="L1185" s="14">
        <v>5.2115003931612697E-2</v>
      </c>
      <c r="M1185" s="14">
        <v>3.2211479646588499E-2</v>
      </c>
      <c r="N1185" s="14"/>
      <c r="O1185" s="14">
        <v>4.8829137452976498E-2</v>
      </c>
      <c r="P1185" s="14">
        <v>2.36429683385222E-2</v>
      </c>
      <c r="Q1185" s="14"/>
      <c r="R1185" s="14">
        <v>1.020092474875E-2</v>
      </c>
      <c r="S1185" s="14">
        <v>4.0619070776587898E-2</v>
      </c>
      <c r="T1185" s="14">
        <v>5.2699217967241897E-2</v>
      </c>
      <c r="U1185" s="14">
        <v>3.1254114300620098E-2</v>
      </c>
      <c r="V1185" s="14">
        <v>0.106346352174307</v>
      </c>
      <c r="W1185" s="14">
        <v>5.6379208539461302E-2</v>
      </c>
      <c r="X1185" s="14">
        <v>6.20628020631665E-2</v>
      </c>
      <c r="Y1185" s="14">
        <v>2.5618739072530601E-2</v>
      </c>
      <c r="Z1185" s="14">
        <v>4.8176326925394898E-2</v>
      </c>
      <c r="AA1185" s="14"/>
      <c r="AB1185" s="14">
        <v>2.27574521686555E-2</v>
      </c>
      <c r="AC1185" s="14">
        <v>1.7153136441127901E-2</v>
      </c>
      <c r="AD1185" s="14">
        <v>3.4366853445639597E-2</v>
      </c>
      <c r="AE1185" s="14">
        <v>1.38115470026496E-2</v>
      </c>
      <c r="AF1185" s="14"/>
      <c r="AG1185" s="14">
        <v>3.0391919478686101E-2</v>
      </c>
      <c r="AH1185" s="14">
        <v>0</v>
      </c>
      <c r="AI1185" s="14"/>
      <c r="AJ1185" s="14">
        <v>1.9769945557280899E-2</v>
      </c>
      <c r="AK1185" s="14">
        <v>3.8959845136646701E-2</v>
      </c>
      <c r="AL1185" s="14"/>
      <c r="AM1185" s="14">
        <v>2.3428281859835101E-2</v>
      </c>
      <c r="AN1185" s="14">
        <v>7.4947731146268695E-2</v>
      </c>
    </row>
    <row r="1186" spans="2:40" x14ac:dyDescent="0.35">
      <c r="C1186" s="14"/>
      <c r="D1186" s="14"/>
      <c r="E1186" s="14"/>
      <c r="F1186" s="14"/>
      <c r="G1186" s="14"/>
      <c r="H1186" s="14"/>
      <c r="I1186" s="14"/>
      <c r="J1186" s="14"/>
      <c r="K1186" s="14"/>
      <c r="L1186" s="14"/>
      <c r="M1186" s="14"/>
      <c r="N1186" s="14"/>
      <c r="O1186" s="14"/>
      <c r="P1186" s="14"/>
      <c r="Q1186" s="14"/>
      <c r="R1186" s="14"/>
      <c r="S1186" s="14"/>
      <c r="T1186" s="14"/>
      <c r="U1186" s="14"/>
      <c r="V1186" s="14"/>
      <c r="W1186" s="14"/>
      <c r="X1186" s="14"/>
      <c r="Y1186" s="14"/>
      <c r="Z1186" s="14"/>
      <c r="AA1186" s="14"/>
      <c r="AB1186" s="14"/>
      <c r="AC1186" s="14"/>
      <c r="AD1186" s="14"/>
      <c r="AE1186" s="14"/>
      <c r="AF1186" s="14"/>
      <c r="AG1186" s="14"/>
      <c r="AH1186" s="14"/>
      <c r="AI1186" s="14"/>
      <c r="AJ1186" s="14"/>
      <c r="AK1186" s="14"/>
      <c r="AL1186" s="14"/>
      <c r="AM1186" s="14"/>
      <c r="AN1186" s="14"/>
    </row>
    <row r="1187" spans="2:40" x14ac:dyDescent="0.35">
      <c r="B1187" s="6" t="s">
        <v>329</v>
      </c>
      <c r="C1187" s="14"/>
      <c r="D1187" s="14"/>
      <c r="E1187" s="14"/>
      <c r="F1187" s="14"/>
      <c r="G1187" s="14"/>
      <c r="H1187" s="14"/>
      <c r="I1187" s="14"/>
      <c r="J1187" s="14"/>
      <c r="K1187" s="14"/>
      <c r="L1187" s="14"/>
      <c r="M1187" s="14"/>
      <c r="N1187" s="14"/>
      <c r="O1187" s="14"/>
      <c r="P1187" s="14"/>
      <c r="Q1187" s="14"/>
      <c r="R1187" s="14"/>
      <c r="S1187" s="14"/>
      <c r="T1187" s="14"/>
      <c r="U1187" s="14"/>
      <c r="V1187" s="14"/>
      <c r="W1187" s="14"/>
      <c r="X1187" s="14"/>
      <c r="Y1187" s="14"/>
      <c r="Z1187" s="14"/>
      <c r="AA1187" s="14"/>
      <c r="AB1187" s="14"/>
      <c r="AC1187" s="14"/>
      <c r="AD1187" s="14"/>
      <c r="AE1187" s="14"/>
      <c r="AF1187" s="14"/>
      <c r="AG1187" s="14"/>
      <c r="AH1187" s="14"/>
      <c r="AI1187" s="14"/>
      <c r="AJ1187" s="14"/>
      <c r="AK1187" s="14"/>
      <c r="AL1187" s="14"/>
      <c r="AM1187" s="14"/>
      <c r="AN1187" s="14"/>
    </row>
    <row r="1188" spans="2:40" x14ac:dyDescent="0.35">
      <c r="B1188" s="24" t="s">
        <v>89</v>
      </c>
      <c r="C1188" s="14"/>
      <c r="D1188" s="14"/>
      <c r="E1188" s="14"/>
      <c r="F1188" s="14"/>
      <c r="G1188" s="14"/>
      <c r="H1188" s="14"/>
      <c r="I1188" s="14"/>
      <c r="J1188" s="14"/>
      <c r="K1188" s="14"/>
      <c r="L1188" s="14"/>
      <c r="M1188" s="14"/>
      <c r="N1188" s="14"/>
      <c r="O1188" s="14"/>
      <c r="P1188" s="14"/>
      <c r="Q1188" s="14"/>
      <c r="R1188" s="14"/>
      <c r="S1188" s="14"/>
      <c r="T1188" s="14"/>
      <c r="U1188" s="14"/>
      <c r="V1188" s="14"/>
      <c r="W1188" s="14"/>
      <c r="X1188" s="14"/>
      <c r="Y1188" s="14"/>
      <c r="Z1188" s="14"/>
      <c r="AA1188" s="14"/>
      <c r="AB1188" s="14"/>
      <c r="AC1188" s="14"/>
      <c r="AD1188" s="14"/>
      <c r="AE1188" s="14"/>
      <c r="AF1188" s="14"/>
      <c r="AG1188" s="14"/>
      <c r="AH1188" s="14"/>
      <c r="AI1188" s="14"/>
      <c r="AJ1188" s="14"/>
      <c r="AK1188" s="14"/>
      <c r="AL1188" s="14"/>
      <c r="AM1188" s="14"/>
      <c r="AN1188" s="14"/>
    </row>
    <row r="1189" spans="2:40" x14ac:dyDescent="0.35">
      <c r="B1189" t="s">
        <v>324</v>
      </c>
      <c r="C1189" s="14">
        <v>6.4956520279230101E-2</v>
      </c>
      <c r="D1189" s="14">
        <v>6.3796222398698796E-2</v>
      </c>
      <c r="E1189" s="14">
        <v>6.6510711299367101E-2</v>
      </c>
      <c r="F1189" s="14"/>
      <c r="G1189" s="14">
        <v>6.6863598459633994E-2</v>
      </c>
      <c r="H1189" s="14">
        <v>6.2634615981312994E-2</v>
      </c>
      <c r="I1189" s="14" t="s">
        <v>76</v>
      </c>
      <c r="J1189" s="14"/>
      <c r="K1189" s="14">
        <v>6.4956520279230101E-2</v>
      </c>
      <c r="L1189" s="14" t="s">
        <v>76</v>
      </c>
      <c r="M1189" s="14" t="s">
        <v>76</v>
      </c>
      <c r="N1189" s="14"/>
      <c r="O1189" s="14">
        <v>5.9377024780622602E-2</v>
      </c>
      <c r="P1189" s="14">
        <v>0.11496626267707501</v>
      </c>
      <c r="Q1189" s="14"/>
      <c r="R1189" s="14">
        <v>8.26611657317807E-2</v>
      </c>
      <c r="S1189" s="14">
        <v>5.4864619330822997E-2</v>
      </c>
      <c r="T1189" s="14">
        <v>6.76883727345821E-2</v>
      </c>
      <c r="U1189" s="14">
        <v>6.5435161101722802E-2</v>
      </c>
      <c r="V1189" s="14">
        <v>4.8182373343230202E-2</v>
      </c>
      <c r="W1189" s="14">
        <v>3.8023046167033801E-2</v>
      </c>
      <c r="X1189" s="14">
        <v>8.3498654864826993E-2</v>
      </c>
      <c r="Y1189" s="14">
        <v>4.0245532612117302E-2</v>
      </c>
      <c r="Z1189" s="14">
        <v>7.9586679144564507E-2</v>
      </c>
      <c r="AA1189" s="14"/>
      <c r="AB1189" s="14" t="s">
        <v>76</v>
      </c>
      <c r="AC1189" s="14" t="s">
        <v>76</v>
      </c>
      <c r="AD1189" s="14" t="s">
        <v>76</v>
      </c>
      <c r="AE1189" s="14" t="s">
        <v>76</v>
      </c>
      <c r="AF1189" s="14"/>
      <c r="AG1189" s="14" t="s">
        <v>76</v>
      </c>
      <c r="AH1189" s="14" t="s">
        <v>76</v>
      </c>
      <c r="AI1189" s="14"/>
      <c r="AJ1189" s="14" t="s">
        <v>76</v>
      </c>
      <c r="AK1189" s="14" t="s">
        <v>76</v>
      </c>
      <c r="AL1189" s="14"/>
      <c r="AM1189" s="14">
        <v>7.4455186730898806E-2</v>
      </c>
      <c r="AN1189" s="14">
        <v>2.53672079803514E-2</v>
      </c>
    </row>
    <row r="1190" spans="2:40" x14ac:dyDescent="0.35">
      <c r="B1190" t="s">
        <v>325</v>
      </c>
      <c r="C1190" s="14">
        <v>0.15926901706497601</v>
      </c>
      <c r="D1190" s="14">
        <v>0.18798706984340099</v>
      </c>
      <c r="E1190" s="14">
        <v>0.12668264530289899</v>
      </c>
      <c r="F1190" s="14"/>
      <c r="G1190" s="14">
        <v>0.15892971821913501</v>
      </c>
      <c r="H1190" s="14">
        <v>0.159682119923858</v>
      </c>
      <c r="I1190" s="14" t="s">
        <v>76</v>
      </c>
      <c r="J1190" s="14"/>
      <c r="K1190" s="14">
        <v>0.15926901706497601</v>
      </c>
      <c r="L1190" s="14" t="s">
        <v>76</v>
      </c>
      <c r="M1190" s="14" t="s">
        <v>76</v>
      </c>
      <c r="N1190" s="14"/>
      <c r="O1190" s="14">
        <v>0.15276101954454599</v>
      </c>
      <c r="P1190" s="14">
        <v>0.23687929848376299</v>
      </c>
      <c r="Q1190" s="14"/>
      <c r="R1190" s="14">
        <v>0.19972412351080701</v>
      </c>
      <c r="S1190" s="14">
        <v>0.148044654245889</v>
      </c>
      <c r="T1190" s="14">
        <v>0.15238321944389899</v>
      </c>
      <c r="U1190" s="14">
        <v>0.133740813801071</v>
      </c>
      <c r="V1190" s="14">
        <v>0.18929022481724</v>
      </c>
      <c r="W1190" s="14">
        <v>0.18649131134426999</v>
      </c>
      <c r="X1190" s="14">
        <v>8.7781075303004802E-2</v>
      </c>
      <c r="Y1190" s="14">
        <v>0.13070926343551001</v>
      </c>
      <c r="Z1190" s="14">
        <v>0.17775044951767099</v>
      </c>
      <c r="AA1190" s="14"/>
      <c r="AB1190" s="14" t="s">
        <v>76</v>
      </c>
      <c r="AC1190" s="14" t="s">
        <v>76</v>
      </c>
      <c r="AD1190" s="14" t="s">
        <v>76</v>
      </c>
      <c r="AE1190" s="14" t="s">
        <v>76</v>
      </c>
      <c r="AF1190" s="14"/>
      <c r="AG1190" s="14" t="s">
        <v>76</v>
      </c>
      <c r="AH1190" s="14" t="s">
        <v>76</v>
      </c>
      <c r="AI1190" s="14"/>
      <c r="AJ1190" s="14" t="s">
        <v>76</v>
      </c>
      <c r="AK1190" s="14" t="s">
        <v>76</v>
      </c>
      <c r="AL1190" s="14"/>
      <c r="AM1190" s="14">
        <v>0.15249926432007499</v>
      </c>
      <c r="AN1190" s="14">
        <v>0.162885563861521</v>
      </c>
    </row>
    <row r="1191" spans="2:40" x14ac:dyDescent="0.35">
      <c r="B1191" t="s">
        <v>326</v>
      </c>
      <c r="C1191" s="14">
        <v>0.164571373917443</v>
      </c>
      <c r="D1191" s="14">
        <v>0.13624729602143801</v>
      </c>
      <c r="E1191" s="14">
        <v>0.19643183469057601</v>
      </c>
      <c r="F1191" s="14"/>
      <c r="G1191" s="14">
        <v>0.15466550958095601</v>
      </c>
      <c r="H1191" s="14">
        <v>0.176631953926073</v>
      </c>
      <c r="I1191" s="14" t="s">
        <v>76</v>
      </c>
      <c r="J1191" s="14"/>
      <c r="K1191" s="14">
        <v>0.164571373917443</v>
      </c>
      <c r="L1191" s="14" t="s">
        <v>76</v>
      </c>
      <c r="M1191" s="14" t="s">
        <v>76</v>
      </c>
      <c r="N1191" s="14"/>
      <c r="O1191" s="14">
        <v>0.16370761334460299</v>
      </c>
      <c r="P1191" s="14">
        <v>0.176434327637739</v>
      </c>
      <c r="Q1191" s="14"/>
      <c r="R1191" s="14">
        <v>0.18752778362292399</v>
      </c>
      <c r="S1191" s="14">
        <v>0.17690588065429999</v>
      </c>
      <c r="T1191" s="14">
        <v>0.110421728248141</v>
      </c>
      <c r="U1191" s="14">
        <v>0.14574737433760601</v>
      </c>
      <c r="V1191" s="14">
        <v>0.16972324037991601</v>
      </c>
      <c r="W1191" s="14">
        <v>0.16698584407766701</v>
      </c>
      <c r="X1191" s="14">
        <v>0.217853234262397</v>
      </c>
      <c r="Y1191" s="14">
        <v>0.17051160717703201</v>
      </c>
      <c r="Z1191" s="14">
        <v>0.13074254205873201</v>
      </c>
      <c r="AA1191" s="14"/>
      <c r="AB1191" s="14" t="s">
        <v>76</v>
      </c>
      <c r="AC1191" s="14" t="s">
        <v>76</v>
      </c>
      <c r="AD1191" s="14" t="s">
        <v>76</v>
      </c>
      <c r="AE1191" s="14" t="s">
        <v>76</v>
      </c>
      <c r="AF1191" s="14"/>
      <c r="AG1191" s="14" t="s">
        <v>76</v>
      </c>
      <c r="AH1191" s="14" t="s">
        <v>76</v>
      </c>
      <c r="AI1191" s="14"/>
      <c r="AJ1191" s="14" t="s">
        <v>76</v>
      </c>
      <c r="AK1191" s="14" t="s">
        <v>76</v>
      </c>
      <c r="AL1191" s="14"/>
      <c r="AM1191" s="14">
        <v>0.16274637523197</v>
      </c>
      <c r="AN1191" s="14">
        <v>0.20584639627933601</v>
      </c>
    </row>
    <row r="1192" spans="2:40" x14ac:dyDescent="0.35">
      <c r="B1192" t="s">
        <v>327</v>
      </c>
      <c r="C1192" s="14">
        <v>0.33172811980730199</v>
      </c>
      <c r="D1192" s="14">
        <v>0.33572530991281602</v>
      </c>
      <c r="E1192" s="14">
        <v>0.32875024166883299</v>
      </c>
      <c r="F1192" s="14"/>
      <c r="G1192" s="14">
        <v>0.33493420377014099</v>
      </c>
      <c r="H1192" s="14">
        <v>0.32782465103014802</v>
      </c>
      <c r="I1192" s="14" t="s">
        <v>76</v>
      </c>
      <c r="J1192" s="14"/>
      <c r="K1192" s="14">
        <v>0.33172811980730199</v>
      </c>
      <c r="L1192" s="14" t="s">
        <v>76</v>
      </c>
      <c r="M1192" s="14" t="s">
        <v>76</v>
      </c>
      <c r="N1192" s="14"/>
      <c r="O1192" s="14">
        <v>0.33499458997225601</v>
      </c>
      <c r="P1192" s="14">
        <v>0.29577082449016401</v>
      </c>
      <c r="Q1192" s="14"/>
      <c r="R1192" s="14">
        <v>0.31055085431672103</v>
      </c>
      <c r="S1192" s="14">
        <v>0.36180291952172799</v>
      </c>
      <c r="T1192" s="14">
        <v>0.35518015341206399</v>
      </c>
      <c r="U1192" s="14">
        <v>0.349559535805611</v>
      </c>
      <c r="V1192" s="14">
        <v>0.32053167645421199</v>
      </c>
      <c r="W1192" s="14">
        <v>0.34488911521450299</v>
      </c>
      <c r="X1192" s="14">
        <v>0.19714351777674</v>
      </c>
      <c r="Y1192" s="14">
        <v>0.41914339342922702</v>
      </c>
      <c r="Z1192" s="14">
        <v>0.36766158083009198</v>
      </c>
      <c r="AA1192" s="14"/>
      <c r="AB1192" s="14" t="s">
        <v>76</v>
      </c>
      <c r="AC1192" s="14" t="s">
        <v>76</v>
      </c>
      <c r="AD1192" s="14" t="s">
        <v>76</v>
      </c>
      <c r="AE1192" s="14" t="s">
        <v>76</v>
      </c>
      <c r="AF1192" s="14"/>
      <c r="AG1192" s="14" t="s">
        <v>76</v>
      </c>
      <c r="AH1192" s="14" t="s">
        <v>76</v>
      </c>
      <c r="AI1192" s="14"/>
      <c r="AJ1192" s="14" t="s">
        <v>76</v>
      </c>
      <c r="AK1192" s="14" t="s">
        <v>76</v>
      </c>
      <c r="AL1192" s="14"/>
      <c r="AM1192" s="14">
        <v>0.335903076546955</v>
      </c>
      <c r="AN1192" s="14">
        <v>0.34397466933103099</v>
      </c>
    </row>
    <row r="1193" spans="2:40" x14ac:dyDescent="0.35">
      <c r="B1193" t="s">
        <v>328</v>
      </c>
      <c r="C1193" s="14">
        <v>0.15437476829713201</v>
      </c>
      <c r="D1193" s="14">
        <v>0.156043316676726</v>
      </c>
      <c r="E1193" s="14">
        <v>0.15059987140509501</v>
      </c>
      <c r="F1193" s="14"/>
      <c r="G1193" s="14">
        <v>0.135217790099249</v>
      </c>
      <c r="H1193" s="14">
        <v>0.17769875704065999</v>
      </c>
      <c r="I1193" s="14" t="s">
        <v>76</v>
      </c>
      <c r="J1193" s="14"/>
      <c r="K1193" s="14">
        <v>0.15437476829713201</v>
      </c>
      <c r="L1193" s="14" t="s">
        <v>76</v>
      </c>
      <c r="M1193" s="14" t="s">
        <v>76</v>
      </c>
      <c r="N1193" s="14"/>
      <c r="O1193" s="14">
        <v>0.15368954153000999</v>
      </c>
      <c r="P1193" s="14">
        <v>0.16035711601353</v>
      </c>
      <c r="Q1193" s="14"/>
      <c r="R1193" s="14">
        <v>0.174384200466769</v>
      </c>
      <c r="S1193" s="14">
        <v>0.153068920398133</v>
      </c>
      <c r="T1193" s="14">
        <v>0.18973184107730401</v>
      </c>
      <c r="U1193" s="14">
        <v>0.16807459543834999</v>
      </c>
      <c r="V1193" s="14">
        <v>0.123392250797304</v>
      </c>
      <c r="W1193" s="14">
        <v>0.133890157391929</v>
      </c>
      <c r="X1193" s="14">
        <v>0.20987108769908799</v>
      </c>
      <c r="Y1193" s="14">
        <v>9.2590351708926905E-2</v>
      </c>
      <c r="Z1193" s="14">
        <v>0.100026075890516</v>
      </c>
      <c r="AA1193" s="14"/>
      <c r="AB1193" s="14" t="s">
        <v>76</v>
      </c>
      <c r="AC1193" s="14" t="s">
        <v>76</v>
      </c>
      <c r="AD1193" s="14" t="s">
        <v>76</v>
      </c>
      <c r="AE1193" s="14" t="s">
        <v>76</v>
      </c>
      <c r="AF1193" s="14"/>
      <c r="AG1193" s="14" t="s">
        <v>76</v>
      </c>
      <c r="AH1193" s="14" t="s">
        <v>76</v>
      </c>
      <c r="AI1193" s="14"/>
      <c r="AJ1193" s="14" t="s">
        <v>76</v>
      </c>
      <c r="AK1193" s="14" t="s">
        <v>76</v>
      </c>
      <c r="AL1193" s="14"/>
      <c r="AM1193" s="14">
        <v>0.15750351665807599</v>
      </c>
      <c r="AN1193" s="14">
        <v>0.145568564160557</v>
      </c>
    </row>
    <row r="1194" spans="2:40" x14ac:dyDescent="0.35">
      <c r="B1194" t="s">
        <v>70</v>
      </c>
      <c r="C1194" s="14">
        <v>0.125100200633916</v>
      </c>
      <c r="D1194" s="14">
        <v>0.12020078514691999</v>
      </c>
      <c r="E1194" s="14">
        <v>0.13102469563322999</v>
      </c>
      <c r="F1194" s="14"/>
      <c r="G1194" s="14">
        <v>0.14938917987088399</v>
      </c>
      <c r="H1194" s="14">
        <v>9.5527902097947495E-2</v>
      </c>
      <c r="I1194" s="14" t="s">
        <v>76</v>
      </c>
      <c r="J1194" s="14"/>
      <c r="K1194" s="14">
        <v>0.125100200633916</v>
      </c>
      <c r="L1194" s="14" t="s">
        <v>76</v>
      </c>
      <c r="M1194" s="14" t="s">
        <v>76</v>
      </c>
      <c r="N1194" s="14"/>
      <c r="O1194" s="14">
        <v>0.13547021082796301</v>
      </c>
      <c r="P1194" s="14">
        <v>1.55921706977286E-2</v>
      </c>
      <c r="Q1194" s="14"/>
      <c r="R1194" s="14">
        <v>4.51518723509974E-2</v>
      </c>
      <c r="S1194" s="14">
        <v>0.10531300584912601</v>
      </c>
      <c r="T1194" s="14">
        <v>0.124594685084009</v>
      </c>
      <c r="U1194" s="14">
        <v>0.13744251951563899</v>
      </c>
      <c r="V1194" s="14">
        <v>0.14888023420809801</v>
      </c>
      <c r="W1194" s="14">
        <v>0.129720525804597</v>
      </c>
      <c r="X1194" s="14">
        <v>0.20385243009394299</v>
      </c>
      <c r="Y1194" s="14">
        <v>0.14679985163718601</v>
      </c>
      <c r="Z1194" s="14">
        <v>0.14423267255842401</v>
      </c>
      <c r="AA1194" s="14"/>
      <c r="AB1194" s="14" t="s">
        <v>76</v>
      </c>
      <c r="AC1194" s="14" t="s">
        <v>76</v>
      </c>
      <c r="AD1194" s="14" t="s">
        <v>76</v>
      </c>
      <c r="AE1194" s="14" t="s">
        <v>76</v>
      </c>
      <c r="AF1194" s="14"/>
      <c r="AG1194" s="14" t="s">
        <v>76</v>
      </c>
      <c r="AH1194" s="14" t="s">
        <v>76</v>
      </c>
      <c r="AI1194" s="14"/>
      <c r="AJ1194" s="14" t="s">
        <v>76</v>
      </c>
      <c r="AK1194" s="14" t="s">
        <v>76</v>
      </c>
      <c r="AL1194" s="14"/>
      <c r="AM1194" s="14">
        <v>0.116892580512026</v>
      </c>
      <c r="AN1194" s="14">
        <v>0.116357598387203</v>
      </c>
    </row>
    <row r="1195" spans="2:40" x14ac:dyDescent="0.35">
      <c r="C1195" s="14"/>
      <c r="D1195" s="14"/>
      <c r="E1195" s="14"/>
      <c r="F1195" s="14"/>
      <c r="G1195" s="14"/>
      <c r="H1195" s="14"/>
      <c r="I1195" s="14"/>
      <c r="J1195" s="14"/>
      <c r="K1195" s="14"/>
      <c r="L1195" s="14"/>
      <c r="M1195" s="14"/>
      <c r="N1195" s="14"/>
      <c r="O1195" s="14"/>
      <c r="P1195" s="14"/>
      <c r="Q1195" s="14"/>
      <c r="R1195" s="14"/>
      <c r="S1195" s="14"/>
      <c r="T1195" s="14"/>
      <c r="U1195" s="14"/>
      <c r="V1195" s="14"/>
      <c r="W1195" s="14"/>
      <c r="X1195" s="14"/>
      <c r="Y1195" s="14"/>
      <c r="Z1195" s="14"/>
      <c r="AA1195" s="14"/>
      <c r="AB1195" s="14"/>
      <c r="AC1195" s="14"/>
      <c r="AD1195" s="14"/>
      <c r="AE1195" s="14"/>
      <c r="AF1195" s="14"/>
      <c r="AG1195" s="14"/>
      <c r="AH1195" s="14"/>
      <c r="AI1195" s="14"/>
      <c r="AJ1195" s="14"/>
      <c r="AK1195" s="14"/>
      <c r="AL1195" s="14"/>
      <c r="AM1195" s="14"/>
      <c r="AN1195" s="14"/>
    </row>
    <row r="1196" spans="2:40" x14ac:dyDescent="0.35">
      <c r="B1196" s="6" t="s">
        <v>334</v>
      </c>
      <c r="C1196" s="14"/>
      <c r="D1196" s="14"/>
      <c r="E1196" s="14"/>
      <c r="F1196" s="14"/>
      <c r="G1196" s="14"/>
      <c r="H1196" s="14"/>
      <c r="I1196" s="14"/>
      <c r="J1196" s="14"/>
      <c r="K1196" s="14"/>
      <c r="L1196" s="14"/>
      <c r="M1196" s="14"/>
      <c r="N1196" s="14"/>
      <c r="O1196" s="14"/>
      <c r="P1196" s="14"/>
      <c r="Q1196" s="14"/>
      <c r="R1196" s="14"/>
      <c r="S1196" s="14"/>
      <c r="T1196" s="14"/>
      <c r="U1196" s="14"/>
      <c r="V1196" s="14"/>
      <c r="W1196" s="14"/>
      <c r="X1196" s="14"/>
      <c r="Y1196" s="14"/>
      <c r="Z1196" s="14"/>
      <c r="AA1196" s="14"/>
      <c r="AB1196" s="14"/>
      <c r="AC1196" s="14"/>
      <c r="AD1196" s="14"/>
      <c r="AE1196" s="14"/>
      <c r="AF1196" s="14"/>
      <c r="AG1196" s="14"/>
      <c r="AH1196" s="14"/>
      <c r="AI1196" s="14"/>
      <c r="AJ1196" s="14"/>
      <c r="AK1196" s="14"/>
      <c r="AL1196" s="14"/>
      <c r="AM1196" s="14"/>
      <c r="AN1196" s="14"/>
    </row>
    <row r="1197" spans="2:40" x14ac:dyDescent="0.35">
      <c r="B1197" s="24" t="s">
        <v>89</v>
      </c>
      <c r="C1197" s="14"/>
      <c r="D1197" s="14"/>
      <c r="E1197" s="14"/>
      <c r="F1197" s="14"/>
      <c r="G1197" s="14"/>
      <c r="H1197" s="14"/>
      <c r="I1197" s="14"/>
      <c r="J1197" s="14"/>
      <c r="K1197" s="14"/>
      <c r="L1197" s="14"/>
      <c r="M1197" s="14"/>
      <c r="N1197" s="14"/>
      <c r="O1197" s="14"/>
      <c r="P1197" s="14"/>
      <c r="Q1197" s="14"/>
      <c r="R1197" s="14"/>
      <c r="S1197" s="14"/>
      <c r="T1197" s="14"/>
      <c r="U1197" s="14"/>
      <c r="V1197" s="14"/>
      <c r="W1197" s="14"/>
      <c r="X1197" s="14"/>
      <c r="Y1197" s="14"/>
      <c r="Z1197" s="14"/>
      <c r="AA1197" s="14"/>
      <c r="AB1197" s="14"/>
      <c r="AC1197" s="14"/>
      <c r="AD1197" s="14"/>
      <c r="AE1197" s="14"/>
      <c r="AF1197" s="14"/>
      <c r="AG1197" s="14"/>
      <c r="AH1197" s="14"/>
      <c r="AI1197" s="14"/>
      <c r="AJ1197" s="14"/>
      <c r="AK1197" s="14"/>
      <c r="AL1197" s="14"/>
      <c r="AM1197" s="14"/>
      <c r="AN1197" s="14"/>
    </row>
    <row r="1198" spans="2:40" x14ac:dyDescent="0.35">
      <c r="B1198" t="s">
        <v>330</v>
      </c>
      <c r="C1198" s="14">
        <v>6.9867922026165499E-2</v>
      </c>
      <c r="D1198" s="14">
        <v>7.2535457794610306E-2</v>
      </c>
      <c r="E1198" s="14">
        <v>6.4632645393006699E-2</v>
      </c>
      <c r="F1198" s="14"/>
      <c r="G1198" s="14">
        <v>6.3160802366850899E-2</v>
      </c>
      <c r="H1198" s="14">
        <v>7.8033968978843807E-2</v>
      </c>
      <c r="I1198" s="14" t="s">
        <v>76</v>
      </c>
      <c r="J1198" s="14"/>
      <c r="K1198" s="14">
        <v>6.9867922026165499E-2</v>
      </c>
      <c r="L1198" s="14" t="s">
        <v>76</v>
      </c>
      <c r="M1198" s="14" t="s">
        <v>76</v>
      </c>
      <c r="N1198" s="14"/>
      <c r="O1198" s="14">
        <v>6.0899040058259399E-2</v>
      </c>
      <c r="P1198" s="14">
        <v>0.15480413967801501</v>
      </c>
      <c r="Q1198" s="14"/>
      <c r="R1198" s="14">
        <v>8.5262580433534504E-2</v>
      </c>
      <c r="S1198" s="14">
        <v>8.0041640914209497E-2</v>
      </c>
      <c r="T1198" s="14">
        <v>7.5872087642557401E-2</v>
      </c>
      <c r="U1198" s="14">
        <v>2.7418050976618199E-2</v>
      </c>
      <c r="V1198" s="14">
        <v>4.7192594712801898E-2</v>
      </c>
      <c r="W1198" s="14">
        <v>8.6520784278569296E-2</v>
      </c>
      <c r="X1198" s="14">
        <v>0.114448279729568</v>
      </c>
      <c r="Y1198" s="14">
        <v>5.3419693913446697E-2</v>
      </c>
      <c r="Z1198" s="14">
        <v>4.2274085794734399E-2</v>
      </c>
      <c r="AA1198" s="14"/>
      <c r="AB1198" s="14" t="s">
        <v>76</v>
      </c>
      <c r="AC1198" s="14" t="s">
        <v>76</v>
      </c>
      <c r="AD1198" s="14" t="s">
        <v>76</v>
      </c>
      <c r="AE1198" s="14" t="s">
        <v>76</v>
      </c>
      <c r="AF1198" s="14"/>
      <c r="AG1198" s="14" t="s">
        <v>76</v>
      </c>
      <c r="AH1198" s="14" t="s">
        <v>76</v>
      </c>
      <c r="AI1198" s="14"/>
      <c r="AJ1198" s="14" t="s">
        <v>76</v>
      </c>
      <c r="AK1198" s="14" t="s">
        <v>76</v>
      </c>
      <c r="AL1198" s="14"/>
      <c r="AM1198" s="14">
        <v>7.8000909869586299E-2</v>
      </c>
      <c r="AN1198" s="14">
        <v>3.4148483070872197E-2</v>
      </c>
    </row>
    <row r="1199" spans="2:40" x14ac:dyDescent="0.35">
      <c r="B1199" t="s">
        <v>331</v>
      </c>
      <c r="C1199" s="14">
        <v>0.42179277793317699</v>
      </c>
      <c r="D1199" s="14">
        <v>0.44592757798993699</v>
      </c>
      <c r="E1199" s="14">
        <v>0.39537097742526101</v>
      </c>
      <c r="F1199" s="14"/>
      <c r="G1199" s="14">
        <v>0.40435167126442101</v>
      </c>
      <c r="H1199" s="14">
        <v>0.44302766014762202</v>
      </c>
      <c r="I1199" s="14" t="s">
        <v>76</v>
      </c>
      <c r="J1199" s="14"/>
      <c r="K1199" s="14">
        <v>0.42179277793317699</v>
      </c>
      <c r="L1199" s="14" t="s">
        <v>76</v>
      </c>
      <c r="M1199" s="14" t="s">
        <v>76</v>
      </c>
      <c r="N1199" s="14"/>
      <c r="O1199" s="14">
        <v>0.42056209077756601</v>
      </c>
      <c r="P1199" s="14">
        <v>0.43331797369784802</v>
      </c>
      <c r="Q1199" s="14"/>
      <c r="R1199" s="14">
        <v>0.42949756275714701</v>
      </c>
      <c r="S1199" s="14">
        <v>0.38388302083175302</v>
      </c>
      <c r="T1199" s="14">
        <v>0.382043216335335</v>
      </c>
      <c r="U1199" s="14">
        <v>0.40580230105125797</v>
      </c>
      <c r="V1199" s="14">
        <v>0.41760221327218</v>
      </c>
      <c r="W1199" s="14">
        <v>0.39956171330676898</v>
      </c>
      <c r="X1199" s="14">
        <v>0.48037339240187499</v>
      </c>
      <c r="Y1199" s="14">
        <v>0.53216864778335504</v>
      </c>
      <c r="Z1199" s="14">
        <v>0.43912114771114502</v>
      </c>
      <c r="AA1199" s="14"/>
      <c r="AB1199" s="14" t="s">
        <v>76</v>
      </c>
      <c r="AC1199" s="14" t="s">
        <v>76</v>
      </c>
      <c r="AD1199" s="14" t="s">
        <v>76</v>
      </c>
      <c r="AE1199" s="14" t="s">
        <v>76</v>
      </c>
      <c r="AF1199" s="14"/>
      <c r="AG1199" s="14" t="s">
        <v>76</v>
      </c>
      <c r="AH1199" s="14" t="s">
        <v>76</v>
      </c>
      <c r="AI1199" s="14"/>
      <c r="AJ1199" s="14" t="s">
        <v>76</v>
      </c>
      <c r="AK1199" s="14" t="s">
        <v>76</v>
      </c>
      <c r="AL1199" s="14"/>
      <c r="AM1199" s="14">
        <v>0.486779554780643</v>
      </c>
      <c r="AN1199" s="14">
        <v>0.20385763102339899</v>
      </c>
    </row>
    <row r="1200" spans="2:40" x14ac:dyDescent="0.35">
      <c r="B1200" t="s">
        <v>332</v>
      </c>
      <c r="C1200" s="14">
        <v>0.274039956814569</v>
      </c>
      <c r="D1200" s="14">
        <v>0.26965486282581502</v>
      </c>
      <c r="E1200" s="14">
        <v>0.28003581623153601</v>
      </c>
      <c r="F1200" s="14"/>
      <c r="G1200" s="14">
        <v>0.27095712946461098</v>
      </c>
      <c r="H1200" s="14">
        <v>0.277793358299183</v>
      </c>
      <c r="I1200" s="14" t="s">
        <v>76</v>
      </c>
      <c r="J1200" s="14"/>
      <c r="K1200" s="14">
        <v>0.274039956814569</v>
      </c>
      <c r="L1200" s="14" t="s">
        <v>76</v>
      </c>
      <c r="M1200" s="14" t="s">
        <v>76</v>
      </c>
      <c r="N1200" s="14"/>
      <c r="O1200" s="14">
        <v>0.276329979114811</v>
      </c>
      <c r="P1200" s="14">
        <v>0.28394932751799501</v>
      </c>
      <c r="Q1200" s="14"/>
      <c r="R1200" s="14">
        <v>0.30962858528242099</v>
      </c>
      <c r="S1200" s="14">
        <v>0.26638750595977301</v>
      </c>
      <c r="T1200" s="14">
        <v>0.26969551651552598</v>
      </c>
      <c r="U1200" s="14">
        <v>0.312525595085135</v>
      </c>
      <c r="V1200" s="14">
        <v>0.32096394792163602</v>
      </c>
      <c r="W1200" s="14">
        <v>0.31650469543615301</v>
      </c>
      <c r="X1200" s="14">
        <v>0.12837305799259499</v>
      </c>
      <c r="Y1200" s="14">
        <v>0.32539359658751299</v>
      </c>
      <c r="Z1200" s="14">
        <v>0.24141729605415199</v>
      </c>
      <c r="AA1200" s="14"/>
      <c r="AB1200" s="14" t="s">
        <v>76</v>
      </c>
      <c r="AC1200" s="14" t="s">
        <v>76</v>
      </c>
      <c r="AD1200" s="14" t="s">
        <v>76</v>
      </c>
      <c r="AE1200" s="14" t="s">
        <v>76</v>
      </c>
      <c r="AF1200" s="14"/>
      <c r="AG1200" s="14" t="s">
        <v>76</v>
      </c>
      <c r="AH1200" s="14" t="s">
        <v>76</v>
      </c>
      <c r="AI1200" s="14"/>
      <c r="AJ1200" s="14" t="s">
        <v>76</v>
      </c>
      <c r="AK1200" s="14" t="s">
        <v>76</v>
      </c>
      <c r="AL1200" s="14"/>
      <c r="AM1200" s="14">
        <v>0.25895280541652199</v>
      </c>
      <c r="AN1200" s="14">
        <v>0.325184454531807</v>
      </c>
    </row>
    <row r="1201" spans="2:40" x14ac:dyDescent="0.35">
      <c r="B1201" t="s">
        <v>333</v>
      </c>
      <c r="C1201" s="14">
        <v>0.106027300515661</v>
      </c>
      <c r="D1201" s="14">
        <v>9.9763813073371399E-2</v>
      </c>
      <c r="E1201" s="14">
        <v>0.113370686258989</v>
      </c>
      <c r="F1201" s="14"/>
      <c r="G1201" s="14">
        <v>0.11295320349336101</v>
      </c>
      <c r="H1201" s="14">
        <v>9.7594880672511403E-2</v>
      </c>
      <c r="I1201" s="14" t="s">
        <v>76</v>
      </c>
      <c r="J1201" s="14"/>
      <c r="K1201" s="14">
        <v>0.106027300515661</v>
      </c>
      <c r="L1201" s="14" t="s">
        <v>76</v>
      </c>
      <c r="M1201" s="14" t="s">
        <v>76</v>
      </c>
      <c r="N1201" s="14"/>
      <c r="O1201" s="14">
        <v>0.10701338499167599</v>
      </c>
      <c r="P1201" s="14">
        <v>0.105854293622831</v>
      </c>
      <c r="Q1201" s="14"/>
      <c r="R1201" s="14">
        <v>0.121509576622768</v>
      </c>
      <c r="S1201" s="14">
        <v>0.118310479474164</v>
      </c>
      <c r="T1201" s="14">
        <v>0.11615948551099201</v>
      </c>
      <c r="U1201" s="14">
        <v>0.114916445011212</v>
      </c>
      <c r="V1201" s="14">
        <v>8.6732456591490703E-2</v>
      </c>
      <c r="W1201" s="14">
        <v>7.6938266895754406E-2</v>
      </c>
      <c r="X1201" s="14">
        <v>0.134843570984302</v>
      </c>
      <c r="Y1201" s="14">
        <v>1.8702826819882699E-2</v>
      </c>
      <c r="Z1201" s="14">
        <v>9.9123752839674006E-2</v>
      </c>
      <c r="AA1201" s="14"/>
      <c r="AB1201" s="14" t="s">
        <v>76</v>
      </c>
      <c r="AC1201" s="14" t="s">
        <v>76</v>
      </c>
      <c r="AD1201" s="14" t="s">
        <v>76</v>
      </c>
      <c r="AE1201" s="14" t="s">
        <v>76</v>
      </c>
      <c r="AF1201" s="14"/>
      <c r="AG1201" s="14" t="s">
        <v>76</v>
      </c>
      <c r="AH1201" s="14" t="s">
        <v>76</v>
      </c>
      <c r="AI1201" s="14"/>
      <c r="AJ1201" s="14" t="s">
        <v>76</v>
      </c>
      <c r="AK1201" s="14" t="s">
        <v>76</v>
      </c>
      <c r="AL1201" s="14"/>
      <c r="AM1201" s="14">
        <v>8.6841674825821405E-2</v>
      </c>
      <c r="AN1201" s="14">
        <v>0.18442115616643201</v>
      </c>
    </row>
    <row r="1202" spans="2:40" x14ac:dyDescent="0.35">
      <c r="B1202" t="s">
        <v>70</v>
      </c>
      <c r="C1202" s="14">
        <v>0.128272042710427</v>
      </c>
      <c r="D1202" s="14">
        <v>0.112118288316266</v>
      </c>
      <c r="E1202" s="14">
        <v>0.14658987469120699</v>
      </c>
      <c r="F1202" s="14"/>
      <c r="G1202" s="14">
        <v>0.14857719341075601</v>
      </c>
      <c r="H1202" s="14">
        <v>0.10355013190184</v>
      </c>
      <c r="I1202" s="14" t="s">
        <v>76</v>
      </c>
      <c r="J1202" s="14"/>
      <c r="K1202" s="14">
        <v>0.128272042710427</v>
      </c>
      <c r="L1202" s="14" t="s">
        <v>76</v>
      </c>
      <c r="M1202" s="14" t="s">
        <v>76</v>
      </c>
      <c r="N1202" s="14"/>
      <c r="O1202" s="14">
        <v>0.13519550505768799</v>
      </c>
      <c r="P1202" s="14">
        <v>2.20742654833114E-2</v>
      </c>
      <c r="Q1202" s="14"/>
      <c r="R1202" s="14">
        <v>5.4101694904129798E-2</v>
      </c>
      <c r="S1202" s="14">
        <v>0.15137735282010001</v>
      </c>
      <c r="T1202" s="14">
        <v>0.15622969399559</v>
      </c>
      <c r="U1202" s="14">
        <v>0.13933760787577701</v>
      </c>
      <c r="V1202" s="14">
        <v>0.12750878750189101</v>
      </c>
      <c r="W1202" s="14">
        <v>0.120474540082755</v>
      </c>
      <c r="X1202" s="14">
        <v>0.14196169889165999</v>
      </c>
      <c r="Y1202" s="14">
        <v>7.03152348958032E-2</v>
      </c>
      <c r="Z1202" s="14">
        <v>0.17806371760029399</v>
      </c>
      <c r="AA1202" s="14"/>
      <c r="AB1202" s="14" t="s">
        <v>76</v>
      </c>
      <c r="AC1202" s="14" t="s">
        <v>76</v>
      </c>
      <c r="AD1202" s="14" t="s">
        <v>76</v>
      </c>
      <c r="AE1202" s="14" t="s">
        <v>76</v>
      </c>
      <c r="AF1202" s="14"/>
      <c r="AG1202" s="14" t="s">
        <v>76</v>
      </c>
      <c r="AH1202" s="14" t="s">
        <v>76</v>
      </c>
      <c r="AI1202" s="14"/>
      <c r="AJ1202" s="14" t="s">
        <v>76</v>
      </c>
      <c r="AK1202" s="14" t="s">
        <v>76</v>
      </c>
      <c r="AL1202" s="14"/>
      <c r="AM1202" s="14">
        <v>8.9425055107427098E-2</v>
      </c>
      <c r="AN1202" s="14">
        <v>0.25238827520749002</v>
      </c>
    </row>
    <row r="1203" spans="2:40" x14ac:dyDescent="0.35">
      <c r="C1203" s="14"/>
      <c r="D1203" s="14"/>
      <c r="E1203" s="14"/>
      <c r="F1203" s="14"/>
      <c r="G1203" s="14"/>
      <c r="H1203" s="14"/>
      <c r="I1203" s="14"/>
      <c r="J1203" s="14"/>
      <c r="K1203" s="14"/>
      <c r="L1203" s="14"/>
      <c r="M1203" s="14"/>
      <c r="N1203" s="14"/>
      <c r="O1203" s="14"/>
      <c r="P1203" s="14"/>
      <c r="Q1203" s="14"/>
      <c r="R1203" s="14"/>
      <c r="S1203" s="14"/>
      <c r="T1203" s="14"/>
      <c r="U1203" s="14"/>
      <c r="V1203" s="14"/>
      <c r="W1203" s="14"/>
      <c r="X1203" s="14"/>
      <c r="Y1203" s="14"/>
      <c r="Z1203" s="14"/>
      <c r="AA1203" s="14"/>
      <c r="AB1203" s="14"/>
      <c r="AC1203" s="14"/>
      <c r="AD1203" s="14"/>
      <c r="AE1203" s="14"/>
      <c r="AF1203" s="14"/>
      <c r="AG1203" s="14"/>
      <c r="AH1203" s="14"/>
      <c r="AI1203" s="14"/>
      <c r="AJ1203" s="14"/>
      <c r="AK1203" s="14"/>
      <c r="AL1203" s="14"/>
      <c r="AM1203" s="14"/>
      <c r="AN1203" s="14"/>
    </row>
    <row r="1204" spans="2:40" x14ac:dyDescent="0.35">
      <c r="B1204" s="6" t="s">
        <v>335</v>
      </c>
      <c r="C1204" s="14"/>
      <c r="D1204" s="14"/>
      <c r="E1204" s="14"/>
      <c r="F1204" s="14"/>
      <c r="G1204" s="14"/>
      <c r="H1204" s="14"/>
      <c r="I1204" s="14"/>
      <c r="J1204" s="14"/>
      <c r="K1204" s="14"/>
      <c r="L1204" s="14"/>
      <c r="M1204" s="14"/>
      <c r="N1204" s="14"/>
      <c r="O1204" s="14"/>
      <c r="P1204" s="14"/>
      <c r="Q1204" s="14"/>
      <c r="R1204" s="14"/>
      <c r="S1204" s="14"/>
      <c r="T1204" s="14"/>
      <c r="U1204" s="14"/>
      <c r="V1204" s="14"/>
      <c r="W1204" s="14"/>
      <c r="X1204" s="14"/>
      <c r="Y1204" s="14"/>
      <c r="Z1204" s="14"/>
      <c r="AA1204" s="14"/>
      <c r="AB1204" s="14"/>
      <c r="AC1204" s="14"/>
      <c r="AD1204" s="14"/>
      <c r="AE1204" s="14"/>
      <c r="AF1204" s="14"/>
      <c r="AG1204" s="14"/>
      <c r="AH1204" s="14"/>
      <c r="AI1204" s="14"/>
      <c r="AJ1204" s="14"/>
      <c r="AK1204" s="14"/>
      <c r="AL1204" s="14"/>
      <c r="AM1204" s="14"/>
      <c r="AN1204" s="14"/>
    </row>
    <row r="1205" spans="2:40" x14ac:dyDescent="0.35">
      <c r="B1205" s="24" t="s">
        <v>89</v>
      </c>
      <c r="C1205" s="14"/>
      <c r="D1205" s="14"/>
      <c r="E1205" s="14"/>
      <c r="F1205" s="14"/>
      <c r="G1205" s="14"/>
      <c r="H1205" s="14"/>
      <c r="I1205" s="14"/>
      <c r="J1205" s="14"/>
      <c r="K1205" s="14"/>
      <c r="L1205" s="14"/>
      <c r="M1205" s="14"/>
      <c r="N1205" s="14"/>
      <c r="O1205" s="14"/>
      <c r="P1205" s="14"/>
      <c r="Q1205" s="14"/>
      <c r="R1205" s="14"/>
      <c r="S1205" s="14"/>
      <c r="T1205" s="14"/>
      <c r="U1205" s="14"/>
      <c r="V1205" s="14"/>
      <c r="W1205" s="14"/>
      <c r="X1205" s="14"/>
      <c r="Y1205" s="14"/>
      <c r="Z1205" s="14"/>
      <c r="AA1205" s="14"/>
      <c r="AB1205" s="14"/>
      <c r="AC1205" s="14"/>
      <c r="AD1205" s="14"/>
      <c r="AE1205" s="14"/>
      <c r="AF1205" s="14"/>
      <c r="AG1205" s="14"/>
      <c r="AH1205" s="14"/>
      <c r="AI1205" s="14"/>
      <c r="AJ1205" s="14"/>
      <c r="AK1205" s="14"/>
      <c r="AL1205" s="14"/>
      <c r="AM1205" s="14"/>
      <c r="AN1205" s="14"/>
    </row>
    <row r="1206" spans="2:40" x14ac:dyDescent="0.35">
      <c r="B1206" t="s">
        <v>330</v>
      </c>
      <c r="C1206" s="14">
        <v>0.20714338060119</v>
      </c>
      <c r="D1206" s="14">
        <v>0.208674830323374</v>
      </c>
      <c r="E1206" s="14">
        <v>0.20466705422866599</v>
      </c>
      <c r="F1206" s="14"/>
      <c r="G1206" s="14">
        <v>0.20192027856667599</v>
      </c>
      <c r="H1206" s="14">
        <v>0.21350260760457801</v>
      </c>
      <c r="I1206" s="14" t="s">
        <v>76</v>
      </c>
      <c r="J1206" s="14"/>
      <c r="K1206" s="14">
        <v>0.20714338060119</v>
      </c>
      <c r="L1206" s="14" t="s">
        <v>76</v>
      </c>
      <c r="M1206" s="14" t="s">
        <v>76</v>
      </c>
      <c r="N1206" s="14"/>
      <c r="O1206" s="14">
        <v>0.192403272365511</v>
      </c>
      <c r="P1206" s="14">
        <v>0.32001567958871602</v>
      </c>
      <c r="Q1206" s="14"/>
      <c r="R1206" s="14">
        <v>0.28550906217686001</v>
      </c>
      <c r="S1206" s="14">
        <v>0.18197587303479401</v>
      </c>
      <c r="T1206" s="14">
        <v>0.206319364488142</v>
      </c>
      <c r="U1206" s="14">
        <v>0.150002288430791</v>
      </c>
      <c r="V1206" s="14">
        <v>0.16511692338637299</v>
      </c>
      <c r="W1206" s="14">
        <v>0.21231207446956901</v>
      </c>
      <c r="X1206" s="14">
        <v>0.190397041736491</v>
      </c>
      <c r="Y1206" s="14">
        <v>0.37386558390765001</v>
      </c>
      <c r="Z1206" s="14">
        <v>0.171045265744943</v>
      </c>
      <c r="AA1206" s="14"/>
      <c r="AB1206" s="14" t="s">
        <v>76</v>
      </c>
      <c r="AC1206" s="14" t="s">
        <v>76</v>
      </c>
      <c r="AD1206" s="14" t="s">
        <v>76</v>
      </c>
      <c r="AE1206" s="14" t="s">
        <v>76</v>
      </c>
      <c r="AF1206" s="14"/>
      <c r="AG1206" s="14" t="s">
        <v>76</v>
      </c>
      <c r="AH1206" s="14" t="s">
        <v>76</v>
      </c>
      <c r="AI1206" s="14"/>
      <c r="AJ1206" s="14" t="s">
        <v>76</v>
      </c>
      <c r="AK1206" s="14" t="s">
        <v>76</v>
      </c>
      <c r="AL1206" s="14"/>
      <c r="AM1206" s="14">
        <v>0.229970384016188</v>
      </c>
      <c r="AN1206" s="14">
        <v>0.153745940830707</v>
      </c>
    </row>
    <row r="1207" spans="2:40" x14ac:dyDescent="0.35">
      <c r="B1207" t="s">
        <v>331</v>
      </c>
      <c r="C1207" s="14">
        <v>0.42504059588484799</v>
      </c>
      <c r="D1207" s="14">
        <v>0.40254943245324898</v>
      </c>
      <c r="E1207" s="14">
        <v>0.45159905900326203</v>
      </c>
      <c r="F1207" s="14"/>
      <c r="G1207" s="14">
        <v>0.414676084214397</v>
      </c>
      <c r="H1207" s="14">
        <v>0.43765958782797698</v>
      </c>
      <c r="I1207" s="14" t="s">
        <v>76</v>
      </c>
      <c r="J1207" s="14"/>
      <c r="K1207" s="14">
        <v>0.42504059588484799</v>
      </c>
      <c r="L1207" s="14" t="s">
        <v>76</v>
      </c>
      <c r="M1207" s="14" t="s">
        <v>76</v>
      </c>
      <c r="N1207" s="14"/>
      <c r="O1207" s="14">
        <v>0.44118995063249</v>
      </c>
      <c r="P1207" s="14">
        <v>0.308666549128291</v>
      </c>
      <c r="Q1207" s="14"/>
      <c r="R1207" s="14">
        <v>0.35913423631775998</v>
      </c>
      <c r="S1207" s="14">
        <v>0.42245734717939598</v>
      </c>
      <c r="T1207" s="14">
        <v>0.42927719607541598</v>
      </c>
      <c r="U1207" s="14">
        <v>0.44968378278530702</v>
      </c>
      <c r="V1207" s="14">
        <v>0.50609162470723601</v>
      </c>
      <c r="W1207" s="14">
        <v>0.45655747464530999</v>
      </c>
      <c r="X1207" s="14">
        <v>0.42870700562144998</v>
      </c>
      <c r="Y1207" s="14">
        <v>0.44967491458812803</v>
      </c>
      <c r="Z1207" s="14">
        <v>0.38653609821345097</v>
      </c>
      <c r="AA1207" s="14"/>
      <c r="AB1207" s="14" t="s">
        <v>76</v>
      </c>
      <c r="AC1207" s="14" t="s">
        <v>76</v>
      </c>
      <c r="AD1207" s="14" t="s">
        <v>76</v>
      </c>
      <c r="AE1207" s="14" t="s">
        <v>76</v>
      </c>
      <c r="AF1207" s="14"/>
      <c r="AG1207" s="14" t="s">
        <v>76</v>
      </c>
      <c r="AH1207" s="14" t="s">
        <v>76</v>
      </c>
      <c r="AI1207" s="14"/>
      <c r="AJ1207" s="14" t="s">
        <v>76</v>
      </c>
      <c r="AK1207" s="14" t="s">
        <v>76</v>
      </c>
      <c r="AL1207" s="14"/>
      <c r="AM1207" s="14">
        <v>0.393282453808043</v>
      </c>
      <c r="AN1207" s="14">
        <v>0.48902163698041601</v>
      </c>
    </row>
    <row r="1208" spans="2:40" x14ac:dyDescent="0.35">
      <c r="B1208" t="s">
        <v>332</v>
      </c>
      <c r="C1208" s="14">
        <v>0.158879933859435</v>
      </c>
      <c r="D1208" s="14">
        <v>0.15911738425025401</v>
      </c>
      <c r="E1208" s="14">
        <v>0.15929837738150199</v>
      </c>
      <c r="F1208" s="14"/>
      <c r="G1208" s="14">
        <v>0.14969028464909501</v>
      </c>
      <c r="H1208" s="14">
        <v>0.17006850820163599</v>
      </c>
      <c r="I1208" s="14" t="s">
        <v>76</v>
      </c>
      <c r="J1208" s="14"/>
      <c r="K1208" s="14">
        <v>0.158879933859435</v>
      </c>
      <c r="L1208" s="14" t="s">
        <v>76</v>
      </c>
      <c r="M1208" s="14" t="s">
        <v>76</v>
      </c>
      <c r="N1208" s="14"/>
      <c r="O1208" s="14">
        <v>0.15895358762782699</v>
      </c>
      <c r="P1208" s="14">
        <v>0.18552023635925699</v>
      </c>
      <c r="Q1208" s="14"/>
      <c r="R1208" s="14">
        <v>0.17508326674935201</v>
      </c>
      <c r="S1208" s="14">
        <v>0.14770434093635601</v>
      </c>
      <c r="T1208" s="14">
        <v>0.18655610530869399</v>
      </c>
      <c r="U1208" s="14">
        <v>0.20550690246334899</v>
      </c>
      <c r="V1208" s="14">
        <v>0.15305293996052399</v>
      </c>
      <c r="W1208" s="14">
        <v>0.151572189280366</v>
      </c>
      <c r="X1208" s="14">
        <v>7.7058701439309193E-2</v>
      </c>
      <c r="Y1208" s="14">
        <v>4.12159038638331E-2</v>
      </c>
      <c r="Z1208" s="14">
        <v>0.20848620285939901</v>
      </c>
      <c r="AA1208" s="14"/>
      <c r="AB1208" s="14" t="s">
        <v>76</v>
      </c>
      <c r="AC1208" s="14" t="s">
        <v>76</v>
      </c>
      <c r="AD1208" s="14" t="s">
        <v>76</v>
      </c>
      <c r="AE1208" s="14" t="s">
        <v>76</v>
      </c>
      <c r="AF1208" s="14"/>
      <c r="AG1208" s="14" t="s">
        <v>76</v>
      </c>
      <c r="AH1208" s="14" t="s">
        <v>76</v>
      </c>
      <c r="AI1208" s="14"/>
      <c r="AJ1208" s="14" t="s">
        <v>76</v>
      </c>
      <c r="AK1208" s="14" t="s">
        <v>76</v>
      </c>
      <c r="AL1208" s="14"/>
      <c r="AM1208" s="14">
        <v>0.14657192742009501</v>
      </c>
      <c r="AN1208" s="14">
        <v>0.20292686588078199</v>
      </c>
    </row>
    <row r="1209" spans="2:40" x14ac:dyDescent="0.35">
      <c r="B1209" t="s">
        <v>333</v>
      </c>
      <c r="C1209" s="14">
        <v>6.8322037829980697E-2</v>
      </c>
      <c r="D1209" s="14">
        <v>7.1083241875815301E-2</v>
      </c>
      <c r="E1209" s="14">
        <v>6.5576974749802702E-2</v>
      </c>
      <c r="F1209" s="14"/>
      <c r="G1209" s="14">
        <v>6.8835967939811601E-2</v>
      </c>
      <c r="H1209" s="14">
        <v>6.7696318054511206E-2</v>
      </c>
      <c r="I1209" s="14" t="s">
        <v>76</v>
      </c>
      <c r="J1209" s="14"/>
      <c r="K1209" s="14">
        <v>6.8322037829980697E-2</v>
      </c>
      <c r="L1209" s="14" t="s">
        <v>76</v>
      </c>
      <c r="M1209" s="14" t="s">
        <v>76</v>
      </c>
      <c r="N1209" s="14"/>
      <c r="O1209" s="14">
        <v>6.42673707848571E-2</v>
      </c>
      <c r="P1209" s="14">
        <v>0.108190077152351</v>
      </c>
      <c r="Q1209" s="14"/>
      <c r="R1209" s="14">
        <v>8.1645764719133304E-2</v>
      </c>
      <c r="S1209" s="14">
        <v>7.1846933833279295E-2</v>
      </c>
      <c r="T1209" s="14">
        <v>3.3896123922978597E-2</v>
      </c>
      <c r="U1209" s="14">
        <v>6.1278319242147099E-2</v>
      </c>
      <c r="V1209" s="14">
        <v>6.6221968092881403E-2</v>
      </c>
      <c r="W1209" s="14">
        <v>7.2059288066612506E-2</v>
      </c>
      <c r="X1209" s="14">
        <v>0.12227322339726</v>
      </c>
      <c r="Y1209" s="14">
        <v>5.4950221628497102E-2</v>
      </c>
      <c r="Z1209" s="14">
        <v>4.0251765847870401E-2</v>
      </c>
      <c r="AA1209" s="14"/>
      <c r="AB1209" s="14" t="s">
        <v>76</v>
      </c>
      <c r="AC1209" s="14" t="s">
        <v>76</v>
      </c>
      <c r="AD1209" s="14" t="s">
        <v>76</v>
      </c>
      <c r="AE1209" s="14" t="s">
        <v>76</v>
      </c>
      <c r="AF1209" s="14"/>
      <c r="AG1209" s="14" t="s">
        <v>76</v>
      </c>
      <c r="AH1209" s="14" t="s">
        <v>76</v>
      </c>
      <c r="AI1209" s="14"/>
      <c r="AJ1209" s="14" t="s">
        <v>76</v>
      </c>
      <c r="AK1209" s="14" t="s">
        <v>76</v>
      </c>
      <c r="AL1209" s="14"/>
      <c r="AM1209" s="14">
        <v>7.45581590211329E-2</v>
      </c>
      <c r="AN1209" s="14">
        <v>7.1653328621486004E-2</v>
      </c>
    </row>
    <row r="1210" spans="2:40" x14ac:dyDescent="0.35">
      <c r="B1210" t="s">
        <v>70</v>
      </c>
      <c r="C1210" s="14">
        <v>0.140614051824546</v>
      </c>
      <c r="D1210" s="14">
        <v>0.15857511109730699</v>
      </c>
      <c r="E1210" s="14">
        <v>0.118858534636767</v>
      </c>
      <c r="F1210" s="14"/>
      <c r="G1210" s="14">
        <v>0.16487738463002</v>
      </c>
      <c r="H1210" s="14">
        <v>0.111072978311298</v>
      </c>
      <c r="I1210" s="14" t="s">
        <v>76</v>
      </c>
      <c r="J1210" s="14"/>
      <c r="K1210" s="14">
        <v>0.140614051824546</v>
      </c>
      <c r="L1210" s="14" t="s">
        <v>76</v>
      </c>
      <c r="M1210" s="14" t="s">
        <v>76</v>
      </c>
      <c r="N1210" s="14"/>
      <c r="O1210" s="14">
        <v>0.14318581858931501</v>
      </c>
      <c r="P1210" s="14">
        <v>7.7607457771384905E-2</v>
      </c>
      <c r="Q1210" s="14"/>
      <c r="R1210" s="14">
        <v>9.86276700368941E-2</v>
      </c>
      <c r="S1210" s="14">
        <v>0.17601550501617499</v>
      </c>
      <c r="T1210" s="14">
        <v>0.143951210204769</v>
      </c>
      <c r="U1210" s="14">
        <v>0.133528707078406</v>
      </c>
      <c r="V1210" s="14">
        <v>0.109516543852985</v>
      </c>
      <c r="W1210" s="14">
        <v>0.107498973538142</v>
      </c>
      <c r="X1210" s="14">
        <v>0.18156402780549</v>
      </c>
      <c r="Y1210" s="14">
        <v>8.0293376011891293E-2</v>
      </c>
      <c r="Z1210" s="14">
        <v>0.193680667334336</v>
      </c>
      <c r="AA1210" s="14"/>
      <c r="AB1210" s="14" t="s">
        <v>76</v>
      </c>
      <c r="AC1210" s="14" t="s">
        <v>76</v>
      </c>
      <c r="AD1210" s="14" t="s">
        <v>76</v>
      </c>
      <c r="AE1210" s="14" t="s">
        <v>76</v>
      </c>
      <c r="AF1210" s="14"/>
      <c r="AG1210" s="14" t="s">
        <v>76</v>
      </c>
      <c r="AH1210" s="14" t="s">
        <v>76</v>
      </c>
      <c r="AI1210" s="14"/>
      <c r="AJ1210" s="14" t="s">
        <v>76</v>
      </c>
      <c r="AK1210" s="14" t="s">
        <v>76</v>
      </c>
      <c r="AL1210" s="14"/>
      <c r="AM1210" s="14">
        <v>0.155617075734541</v>
      </c>
      <c r="AN1210" s="14">
        <v>8.2652227686608196E-2</v>
      </c>
    </row>
    <row r="1211" spans="2:40" x14ac:dyDescent="0.35"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</row>
    <row r="1212" spans="2:40" x14ac:dyDescent="0.35">
      <c r="B1212" s="6" t="s">
        <v>348</v>
      </c>
      <c r="C1212" s="14"/>
      <c r="D1212" s="14"/>
      <c r="E1212" s="14"/>
      <c r="F1212" s="14"/>
      <c r="G1212" s="14"/>
      <c r="H1212" s="14"/>
      <c r="I1212" s="14"/>
      <c r="J1212" s="14"/>
      <c r="K1212" s="14"/>
      <c r="L1212" s="14"/>
      <c r="M1212" s="14"/>
      <c r="N1212" s="14"/>
      <c r="O1212" s="14"/>
      <c r="P1212" s="14"/>
      <c r="Q1212" s="14"/>
      <c r="R1212" s="14"/>
      <c r="S1212" s="14"/>
      <c r="T1212" s="14"/>
      <c r="U1212" s="14"/>
      <c r="V1212" s="14"/>
      <c r="W1212" s="14"/>
      <c r="X1212" s="14"/>
      <c r="Y1212" s="14"/>
      <c r="Z1212" s="14"/>
      <c r="AA1212" s="14"/>
      <c r="AB1212" s="14"/>
      <c r="AC1212" s="14"/>
      <c r="AD1212" s="14"/>
      <c r="AE1212" s="14"/>
      <c r="AF1212" s="14"/>
      <c r="AG1212" s="14"/>
      <c r="AH1212" s="14"/>
      <c r="AI1212" s="14"/>
      <c r="AJ1212" s="14"/>
      <c r="AK1212" s="14"/>
      <c r="AL1212" s="14"/>
      <c r="AM1212" s="14"/>
      <c r="AN1212" s="14"/>
    </row>
    <row r="1213" spans="2:40" x14ac:dyDescent="0.35">
      <c r="B1213" s="24" t="s">
        <v>89</v>
      </c>
      <c r="C1213" s="14"/>
      <c r="D1213" s="14"/>
      <c r="E1213" s="14"/>
      <c r="F1213" s="14"/>
      <c r="G1213" s="14"/>
      <c r="H1213" s="14"/>
      <c r="I1213" s="14"/>
      <c r="J1213" s="14"/>
      <c r="K1213" s="14"/>
      <c r="L1213" s="14"/>
      <c r="M1213" s="14"/>
      <c r="N1213" s="14"/>
      <c r="O1213" s="14"/>
      <c r="P1213" s="14"/>
      <c r="Q1213" s="14"/>
      <c r="R1213" s="14"/>
      <c r="S1213" s="14"/>
      <c r="T1213" s="14"/>
      <c r="U1213" s="14"/>
      <c r="V1213" s="14"/>
      <c r="W1213" s="14"/>
      <c r="X1213" s="14"/>
      <c r="Y1213" s="14"/>
      <c r="Z1213" s="14"/>
      <c r="AA1213" s="14"/>
      <c r="AB1213" s="14"/>
      <c r="AC1213" s="14"/>
      <c r="AD1213" s="14"/>
      <c r="AE1213" s="14"/>
      <c r="AF1213" s="14"/>
      <c r="AG1213" s="14"/>
      <c r="AH1213" s="14"/>
      <c r="AI1213" s="14"/>
      <c r="AJ1213" s="14"/>
      <c r="AK1213" s="14"/>
      <c r="AL1213" s="14"/>
      <c r="AM1213" s="14"/>
      <c r="AN1213" s="14"/>
    </row>
    <row r="1214" spans="2:40" x14ac:dyDescent="0.35">
      <c r="B1214" t="s">
        <v>344</v>
      </c>
      <c r="C1214" s="14">
        <v>0.69324163160830699</v>
      </c>
      <c r="D1214" s="14">
        <v>0.697643041245672</v>
      </c>
      <c r="E1214" s="14">
        <v>0.68968772724635496</v>
      </c>
      <c r="F1214" s="14"/>
      <c r="G1214" s="14">
        <v>0.74055271123100697</v>
      </c>
      <c r="H1214" s="14">
        <v>0.63563948386008096</v>
      </c>
      <c r="I1214" s="14" t="s">
        <v>76</v>
      </c>
      <c r="J1214" s="14"/>
      <c r="K1214" s="14">
        <v>0.69324163160830699</v>
      </c>
      <c r="L1214" s="14" t="s">
        <v>76</v>
      </c>
      <c r="M1214" s="14" t="s">
        <v>76</v>
      </c>
      <c r="N1214" s="14"/>
      <c r="O1214" s="14">
        <v>0.69185933286540202</v>
      </c>
      <c r="P1214" s="14">
        <v>0.67939403523059605</v>
      </c>
      <c r="Q1214" s="14"/>
      <c r="R1214" s="14">
        <v>0.70629004981246801</v>
      </c>
      <c r="S1214" s="14">
        <v>0.68963827059638305</v>
      </c>
      <c r="T1214" s="14">
        <v>0.71774375435839699</v>
      </c>
      <c r="U1214" s="14">
        <v>0.70428320981154602</v>
      </c>
      <c r="V1214" s="14">
        <v>0.58908132855122097</v>
      </c>
      <c r="W1214" s="14">
        <v>0.718846317025021</v>
      </c>
      <c r="X1214" s="14">
        <v>0.68367785347688603</v>
      </c>
      <c r="Y1214" s="14">
        <v>0.68008809096423495</v>
      </c>
      <c r="Z1214" s="14">
        <v>0.72049833231448701</v>
      </c>
      <c r="AA1214" s="14"/>
      <c r="AB1214" s="14" t="s">
        <v>76</v>
      </c>
      <c r="AC1214" s="14" t="s">
        <v>76</v>
      </c>
      <c r="AD1214" s="14" t="s">
        <v>76</v>
      </c>
      <c r="AE1214" s="14" t="s">
        <v>76</v>
      </c>
      <c r="AF1214" s="14"/>
      <c r="AG1214" s="14" t="s">
        <v>76</v>
      </c>
      <c r="AH1214" s="14" t="s">
        <v>76</v>
      </c>
      <c r="AI1214" s="14"/>
      <c r="AJ1214" s="14" t="s">
        <v>76</v>
      </c>
      <c r="AK1214" s="14" t="s">
        <v>76</v>
      </c>
      <c r="AL1214" s="14"/>
      <c r="AM1214" s="14">
        <v>0.72564939905123405</v>
      </c>
      <c r="AN1214" s="14">
        <v>0.66495290295081599</v>
      </c>
    </row>
    <row r="1215" spans="2:40" x14ac:dyDescent="0.35">
      <c r="B1215" t="s">
        <v>345</v>
      </c>
      <c r="C1215" s="14">
        <v>0.128979524244281</v>
      </c>
      <c r="D1215" s="14">
        <v>0.12805443574311001</v>
      </c>
      <c r="E1215" s="14">
        <v>0.13054885549878401</v>
      </c>
      <c r="F1215" s="14"/>
      <c r="G1215" s="14">
        <v>0.108497082724217</v>
      </c>
      <c r="H1215" s="14">
        <v>0.153917290029635</v>
      </c>
      <c r="I1215" s="14" t="s">
        <v>76</v>
      </c>
      <c r="J1215" s="14"/>
      <c r="K1215" s="14">
        <v>0.128979524244281</v>
      </c>
      <c r="L1215" s="14" t="s">
        <v>76</v>
      </c>
      <c r="M1215" s="14" t="s">
        <v>76</v>
      </c>
      <c r="N1215" s="14"/>
      <c r="O1215" s="14">
        <v>0.12715942597264501</v>
      </c>
      <c r="P1215" s="14">
        <v>0.16755029581521599</v>
      </c>
      <c r="Q1215" s="14"/>
      <c r="R1215" s="14">
        <v>0.15197839508265601</v>
      </c>
      <c r="S1215" s="14">
        <v>9.1466360097770899E-2</v>
      </c>
      <c r="T1215" s="14">
        <v>7.3064070353229302E-2</v>
      </c>
      <c r="U1215" s="14">
        <v>0.101008987103569</v>
      </c>
      <c r="V1215" s="14">
        <v>0.17637421712642101</v>
      </c>
      <c r="W1215" s="14">
        <v>0.123115600706432</v>
      </c>
      <c r="X1215" s="14">
        <v>0.12557272384593199</v>
      </c>
      <c r="Y1215" s="14">
        <v>0.22305412366984601</v>
      </c>
      <c r="Z1215" s="14">
        <v>0.15852997659652099</v>
      </c>
      <c r="AA1215" s="14"/>
      <c r="AB1215" s="14" t="s">
        <v>76</v>
      </c>
      <c r="AC1215" s="14" t="s">
        <v>76</v>
      </c>
      <c r="AD1215" s="14" t="s">
        <v>76</v>
      </c>
      <c r="AE1215" s="14" t="s">
        <v>76</v>
      </c>
      <c r="AF1215" s="14"/>
      <c r="AG1215" s="14" t="s">
        <v>76</v>
      </c>
      <c r="AH1215" s="14" t="s">
        <v>76</v>
      </c>
      <c r="AI1215" s="14"/>
      <c r="AJ1215" s="14" t="s">
        <v>76</v>
      </c>
      <c r="AK1215" s="14" t="s">
        <v>76</v>
      </c>
      <c r="AL1215" s="14"/>
      <c r="AM1215" s="14">
        <v>0.12792958680335201</v>
      </c>
      <c r="AN1215" s="14">
        <v>0.12625793096811699</v>
      </c>
    </row>
    <row r="1216" spans="2:40" x14ac:dyDescent="0.35">
      <c r="B1216" t="s">
        <v>346</v>
      </c>
      <c r="C1216" s="14">
        <v>0.131472823712492</v>
      </c>
      <c r="D1216" s="14">
        <v>0.12669947664885201</v>
      </c>
      <c r="E1216" s="14">
        <v>0.13468604215097399</v>
      </c>
      <c r="F1216" s="14"/>
      <c r="G1216" s="14">
        <v>0.10404979024441501</v>
      </c>
      <c r="H1216" s="14">
        <v>0.16486089344436</v>
      </c>
      <c r="I1216" s="14" t="s">
        <v>76</v>
      </c>
      <c r="J1216" s="14"/>
      <c r="K1216" s="14">
        <v>0.131472823712492</v>
      </c>
      <c r="L1216" s="14" t="s">
        <v>76</v>
      </c>
      <c r="M1216" s="14" t="s">
        <v>76</v>
      </c>
      <c r="N1216" s="14"/>
      <c r="O1216" s="14">
        <v>0.13353642526838699</v>
      </c>
      <c r="P1216" s="14">
        <v>0.13546708311293701</v>
      </c>
      <c r="Q1216" s="14"/>
      <c r="R1216" s="14">
        <v>0.120672922360368</v>
      </c>
      <c r="S1216" s="14">
        <v>0.11905196020068801</v>
      </c>
      <c r="T1216" s="14">
        <v>0.15113802663985601</v>
      </c>
      <c r="U1216" s="14">
        <v>0.16003665240443901</v>
      </c>
      <c r="V1216" s="14">
        <v>0.16530246924060199</v>
      </c>
      <c r="W1216" s="14">
        <v>0.13206772083965601</v>
      </c>
      <c r="X1216" s="14">
        <v>0.15571707333381399</v>
      </c>
      <c r="Y1216" s="14">
        <v>9.6857785365918297E-2</v>
      </c>
      <c r="Z1216" s="14">
        <v>8.1247619042726801E-2</v>
      </c>
      <c r="AA1216" s="14"/>
      <c r="AB1216" s="14" t="s">
        <v>76</v>
      </c>
      <c r="AC1216" s="14" t="s">
        <v>76</v>
      </c>
      <c r="AD1216" s="14" t="s">
        <v>76</v>
      </c>
      <c r="AE1216" s="14" t="s">
        <v>76</v>
      </c>
      <c r="AF1216" s="14"/>
      <c r="AG1216" s="14" t="s">
        <v>76</v>
      </c>
      <c r="AH1216" s="14" t="s">
        <v>76</v>
      </c>
      <c r="AI1216" s="14"/>
      <c r="AJ1216" s="14" t="s">
        <v>76</v>
      </c>
      <c r="AK1216" s="14" t="s">
        <v>76</v>
      </c>
      <c r="AL1216" s="14"/>
      <c r="AM1216" s="14">
        <v>0.104698052921742</v>
      </c>
      <c r="AN1216" s="14">
        <v>0.187639967742045</v>
      </c>
    </row>
    <row r="1217" spans="2:40" x14ac:dyDescent="0.35">
      <c r="B1217" t="s">
        <v>70</v>
      </c>
      <c r="C1217" s="14">
        <v>4.6306020434920603E-2</v>
      </c>
      <c r="D1217" s="14">
        <v>4.7603046362364898E-2</v>
      </c>
      <c r="E1217" s="14">
        <v>4.5077375103887499E-2</v>
      </c>
      <c r="F1217" s="14"/>
      <c r="G1217" s="14">
        <v>4.6900415800361403E-2</v>
      </c>
      <c r="H1217" s="14">
        <v>4.5582332665923903E-2</v>
      </c>
      <c r="I1217" s="14" t="s">
        <v>76</v>
      </c>
      <c r="J1217" s="14"/>
      <c r="K1217" s="14">
        <v>4.6306020434920603E-2</v>
      </c>
      <c r="L1217" s="14" t="s">
        <v>76</v>
      </c>
      <c r="M1217" s="14" t="s">
        <v>76</v>
      </c>
      <c r="N1217" s="14"/>
      <c r="O1217" s="14">
        <v>4.7444815893566097E-2</v>
      </c>
      <c r="P1217" s="14">
        <v>1.75885858412504E-2</v>
      </c>
      <c r="Q1217" s="14"/>
      <c r="R1217" s="14">
        <v>2.10586327445072E-2</v>
      </c>
      <c r="S1217" s="14">
        <v>9.9843409105157294E-2</v>
      </c>
      <c r="T1217" s="14">
        <v>5.8054148648517399E-2</v>
      </c>
      <c r="U1217" s="14">
        <v>3.4671150680445503E-2</v>
      </c>
      <c r="V1217" s="14">
        <v>6.92419850817559E-2</v>
      </c>
      <c r="W1217" s="14">
        <v>2.5970361428890702E-2</v>
      </c>
      <c r="X1217" s="14">
        <v>3.5032349343368602E-2</v>
      </c>
      <c r="Y1217" s="14">
        <v>0</v>
      </c>
      <c r="Z1217" s="14">
        <v>3.9724072046265199E-2</v>
      </c>
      <c r="AA1217" s="14"/>
      <c r="AB1217" s="14" t="s">
        <v>76</v>
      </c>
      <c r="AC1217" s="14" t="s">
        <v>76</v>
      </c>
      <c r="AD1217" s="14" t="s">
        <v>76</v>
      </c>
      <c r="AE1217" s="14" t="s">
        <v>76</v>
      </c>
      <c r="AF1217" s="14"/>
      <c r="AG1217" s="14" t="s">
        <v>76</v>
      </c>
      <c r="AH1217" s="14" t="s">
        <v>76</v>
      </c>
      <c r="AI1217" s="14"/>
      <c r="AJ1217" s="14" t="s">
        <v>76</v>
      </c>
      <c r="AK1217" s="14" t="s">
        <v>76</v>
      </c>
      <c r="AL1217" s="14"/>
      <c r="AM1217" s="14">
        <v>4.1722961223671202E-2</v>
      </c>
      <c r="AN1217" s="14">
        <v>2.11491983390211E-2</v>
      </c>
    </row>
    <row r="1218" spans="2:40" x14ac:dyDescent="0.35">
      <c r="C1218" s="14"/>
      <c r="D1218" s="14"/>
      <c r="E1218" s="14"/>
      <c r="F1218" s="14"/>
      <c r="G1218" s="14"/>
      <c r="H1218" s="14"/>
      <c r="I1218" s="14"/>
      <c r="J1218" s="14"/>
      <c r="K1218" s="14"/>
      <c r="L1218" s="14"/>
      <c r="M1218" s="14"/>
      <c r="N1218" s="14"/>
      <c r="O1218" s="14"/>
      <c r="P1218" s="14"/>
      <c r="Q1218" s="14"/>
      <c r="R1218" s="14"/>
      <c r="S1218" s="14"/>
      <c r="T1218" s="14"/>
      <c r="U1218" s="14"/>
      <c r="V1218" s="14"/>
      <c r="W1218" s="14"/>
      <c r="X1218" s="14"/>
      <c r="Y1218" s="14"/>
      <c r="Z1218" s="14"/>
      <c r="AA1218" s="14"/>
      <c r="AB1218" s="14"/>
      <c r="AC1218" s="14"/>
      <c r="AD1218" s="14"/>
      <c r="AE1218" s="14"/>
      <c r="AF1218" s="14"/>
      <c r="AG1218" s="14"/>
      <c r="AH1218" s="14"/>
      <c r="AI1218" s="14"/>
      <c r="AJ1218" s="14"/>
      <c r="AK1218" s="14"/>
      <c r="AL1218" s="14"/>
      <c r="AM1218" s="14"/>
      <c r="AN1218" s="14"/>
    </row>
    <row r="1219" spans="2:40" x14ac:dyDescent="0.35">
      <c r="B1219" s="6" t="s">
        <v>349</v>
      </c>
      <c r="C1219" s="14"/>
      <c r="D1219" s="14"/>
      <c r="E1219" s="14"/>
      <c r="F1219" s="14"/>
      <c r="G1219" s="14"/>
      <c r="H1219" s="14"/>
      <c r="I1219" s="14"/>
      <c r="J1219" s="14"/>
      <c r="K1219" s="14"/>
      <c r="L1219" s="14"/>
      <c r="M1219" s="14"/>
      <c r="N1219" s="14"/>
      <c r="O1219" s="14"/>
      <c r="P1219" s="14"/>
      <c r="Q1219" s="14"/>
      <c r="R1219" s="14"/>
      <c r="S1219" s="14"/>
      <c r="T1219" s="14"/>
      <c r="U1219" s="14"/>
      <c r="V1219" s="14"/>
      <c r="W1219" s="14"/>
      <c r="X1219" s="14"/>
      <c r="Y1219" s="14"/>
      <c r="Z1219" s="14"/>
      <c r="AA1219" s="14"/>
      <c r="AB1219" s="14"/>
      <c r="AC1219" s="14"/>
      <c r="AD1219" s="14"/>
      <c r="AE1219" s="14"/>
      <c r="AF1219" s="14"/>
      <c r="AG1219" s="14"/>
      <c r="AH1219" s="14"/>
      <c r="AI1219" s="14"/>
      <c r="AJ1219" s="14"/>
      <c r="AK1219" s="14"/>
      <c r="AL1219" s="14"/>
      <c r="AM1219" s="14"/>
      <c r="AN1219" s="14"/>
    </row>
    <row r="1220" spans="2:40" x14ac:dyDescent="0.35">
      <c r="B1220" s="24" t="s">
        <v>89</v>
      </c>
      <c r="C1220" s="14"/>
      <c r="D1220" s="14"/>
      <c r="E1220" s="14"/>
      <c r="F1220" s="14"/>
      <c r="G1220" s="14"/>
      <c r="H1220" s="14"/>
      <c r="I1220" s="14"/>
      <c r="J1220" s="14"/>
      <c r="K1220" s="14"/>
      <c r="L1220" s="14"/>
      <c r="M1220" s="14"/>
      <c r="N1220" s="14"/>
      <c r="O1220" s="14"/>
      <c r="P1220" s="14"/>
      <c r="Q1220" s="14"/>
      <c r="R1220" s="14"/>
      <c r="S1220" s="14"/>
      <c r="T1220" s="14"/>
      <c r="U1220" s="14"/>
      <c r="V1220" s="14"/>
      <c r="W1220" s="14"/>
      <c r="X1220" s="14"/>
      <c r="Y1220" s="14"/>
      <c r="Z1220" s="14"/>
      <c r="AA1220" s="14"/>
      <c r="AB1220" s="14"/>
      <c r="AC1220" s="14"/>
      <c r="AD1220" s="14"/>
      <c r="AE1220" s="14"/>
      <c r="AF1220" s="14"/>
      <c r="AG1220" s="14"/>
      <c r="AH1220" s="14"/>
      <c r="AI1220" s="14"/>
      <c r="AJ1220" s="14"/>
      <c r="AK1220" s="14"/>
      <c r="AL1220" s="14"/>
      <c r="AM1220" s="14"/>
      <c r="AN1220" s="14"/>
    </row>
    <row r="1221" spans="2:40" x14ac:dyDescent="0.35">
      <c r="B1221" t="s">
        <v>344</v>
      </c>
      <c r="C1221" s="14">
        <v>0.52247137578978997</v>
      </c>
      <c r="D1221" s="14">
        <v>0.53669559964647595</v>
      </c>
      <c r="E1221" s="14">
        <v>0.507381877288689</v>
      </c>
      <c r="F1221" s="14"/>
      <c r="G1221" s="14">
        <v>0.53706131075566099</v>
      </c>
      <c r="H1221" s="14">
        <v>0.50470784986217898</v>
      </c>
      <c r="I1221" s="14" t="s">
        <v>76</v>
      </c>
      <c r="J1221" s="14"/>
      <c r="K1221" s="14">
        <v>0.52247137578978997</v>
      </c>
      <c r="L1221" s="14" t="s">
        <v>76</v>
      </c>
      <c r="M1221" s="14" t="s">
        <v>76</v>
      </c>
      <c r="N1221" s="14"/>
      <c r="O1221" s="14">
        <v>0.52288495560011194</v>
      </c>
      <c r="P1221" s="14">
        <v>0.50821931102486595</v>
      </c>
      <c r="Q1221" s="14"/>
      <c r="R1221" s="14">
        <v>0.53416875154638799</v>
      </c>
      <c r="S1221" s="14">
        <v>0.509941004161655</v>
      </c>
      <c r="T1221" s="14">
        <v>0.56182166839767</v>
      </c>
      <c r="U1221" s="14">
        <v>0.49561030321203298</v>
      </c>
      <c r="V1221" s="14">
        <v>0.45851094762040101</v>
      </c>
      <c r="W1221" s="14">
        <v>0.56036685815470699</v>
      </c>
      <c r="X1221" s="14">
        <v>0.51409284092125296</v>
      </c>
      <c r="Y1221" s="14">
        <v>0.52645517531394004</v>
      </c>
      <c r="Z1221" s="14">
        <v>0.53624512291082704</v>
      </c>
      <c r="AA1221" s="14"/>
      <c r="AB1221" s="14" t="s">
        <v>76</v>
      </c>
      <c r="AC1221" s="14" t="s">
        <v>76</v>
      </c>
      <c r="AD1221" s="14" t="s">
        <v>76</v>
      </c>
      <c r="AE1221" s="14" t="s">
        <v>76</v>
      </c>
      <c r="AF1221" s="14"/>
      <c r="AG1221" s="14" t="s">
        <v>76</v>
      </c>
      <c r="AH1221" s="14" t="s">
        <v>76</v>
      </c>
      <c r="AI1221" s="14"/>
      <c r="AJ1221" s="14" t="s">
        <v>76</v>
      </c>
      <c r="AK1221" s="14" t="s">
        <v>76</v>
      </c>
      <c r="AL1221" s="14"/>
      <c r="AM1221" s="14">
        <v>0.55084044651665398</v>
      </c>
      <c r="AN1221" s="14">
        <v>0.42477290271250001</v>
      </c>
    </row>
    <row r="1222" spans="2:40" x14ac:dyDescent="0.35">
      <c r="B1222" t="s">
        <v>345</v>
      </c>
      <c r="C1222" s="14">
        <v>0.15997846534762999</v>
      </c>
      <c r="D1222" s="14">
        <v>0.15373564996238601</v>
      </c>
      <c r="E1222" s="14">
        <v>0.167529898113635</v>
      </c>
      <c r="F1222" s="14"/>
      <c r="G1222" s="14">
        <v>0.15190567204022501</v>
      </c>
      <c r="H1222" s="14">
        <v>0.169807246185912</v>
      </c>
      <c r="I1222" s="14" t="s">
        <v>76</v>
      </c>
      <c r="J1222" s="14"/>
      <c r="K1222" s="14">
        <v>0.15997846534762999</v>
      </c>
      <c r="L1222" s="14" t="s">
        <v>76</v>
      </c>
      <c r="M1222" s="14" t="s">
        <v>76</v>
      </c>
      <c r="N1222" s="14"/>
      <c r="O1222" s="14">
        <v>0.154050442565553</v>
      </c>
      <c r="P1222" s="14">
        <v>0.23301883757408101</v>
      </c>
      <c r="Q1222" s="14"/>
      <c r="R1222" s="14">
        <v>0.203336161157362</v>
      </c>
      <c r="S1222" s="14">
        <v>0.14162298200644699</v>
      </c>
      <c r="T1222" s="14">
        <v>9.70465288508751E-2</v>
      </c>
      <c r="U1222" s="14">
        <v>0.16239800527420301</v>
      </c>
      <c r="V1222" s="14">
        <v>0.18017343600251301</v>
      </c>
      <c r="W1222" s="14">
        <v>0.116755407472715</v>
      </c>
      <c r="X1222" s="14">
        <v>0.16483977621906201</v>
      </c>
      <c r="Y1222" s="14">
        <v>0.20259846183348201</v>
      </c>
      <c r="Z1222" s="14">
        <v>0.18059000180922499</v>
      </c>
      <c r="AA1222" s="14"/>
      <c r="AB1222" s="14" t="s">
        <v>76</v>
      </c>
      <c r="AC1222" s="14" t="s">
        <v>76</v>
      </c>
      <c r="AD1222" s="14" t="s">
        <v>76</v>
      </c>
      <c r="AE1222" s="14" t="s">
        <v>76</v>
      </c>
      <c r="AF1222" s="14"/>
      <c r="AG1222" s="14" t="s">
        <v>76</v>
      </c>
      <c r="AH1222" s="14" t="s">
        <v>76</v>
      </c>
      <c r="AI1222" s="14"/>
      <c r="AJ1222" s="14" t="s">
        <v>76</v>
      </c>
      <c r="AK1222" s="14" t="s">
        <v>76</v>
      </c>
      <c r="AL1222" s="14"/>
      <c r="AM1222" s="14">
        <v>0.14783728535585</v>
      </c>
      <c r="AN1222" s="14">
        <v>0.21131462484322899</v>
      </c>
    </row>
    <row r="1223" spans="2:40" x14ac:dyDescent="0.35">
      <c r="B1223" t="s">
        <v>346</v>
      </c>
      <c r="C1223" s="14">
        <v>0.21777316768465299</v>
      </c>
      <c r="D1223" s="14">
        <v>0.21871353708625099</v>
      </c>
      <c r="E1223" s="14">
        <v>0.21767032745265599</v>
      </c>
      <c r="F1223" s="14"/>
      <c r="G1223" s="14">
        <v>0.20861173510509201</v>
      </c>
      <c r="H1223" s="14">
        <v>0.22892738773716001</v>
      </c>
      <c r="I1223" s="14" t="s">
        <v>76</v>
      </c>
      <c r="J1223" s="14"/>
      <c r="K1223" s="14">
        <v>0.21777316768465299</v>
      </c>
      <c r="L1223" s="14" t="s">
        <v>76</v>
      </c>
      <c r="M1223" s="14" t="s">
        <v>76</v>
      </c>
      <c r="N1223" s="14"/>
      <c r="O1223" s="14">
        <v>0.220907537837982</v>
      </c>
      <c r="P1223" s="14">
        <v>0.19770320308247</v>
      </c>
      <c r="Q1223" s="14"/>
      <c r="R1223" s="14">
        <v>0.19396864323044199</v>
      </c>
      <c r="S1223" s="14">
        <v>0.257850864139475</v>
      </c>
      <c r="T1223" s="14">
        <v>0.20693663649257499</v>
      </c>
      <c r="U1223" s="14">
        <v>0.21240545580457801</v>
      </c>
      <c r="V1223" s="14">
        <v>0.235842891778134</v>
      </c>
      <c r="W1223" s="14">
        <v>0.220731384309101</v>
      </c>
      <c r="X1223" s="14">
        <v>0.25547317717793</v>
      </c>
      <c r="Y1223" s="14">
        <v>0.18797400671285699</v>
      </c>
      <c r="Z1223" s="14">
        <v>0.175698402618084</v>
      </c>
      <c r="AA1223" s="14"/>
      <c r="AB1223" s="14" t="s">
        <v>76</v>
      </c>
      <c r="AC1223" s="14" t="s">
        <v>76</v>
      </c>
      <c r="AD1223" s="14" t="s">
        <v>76</v>
      </c>
      <c r="AE1223" s="14" t="s">
        <v>76</v>
      </c>
      <c r="AF1223" s="14"/>
      <c r="AG1223" s="14" t="s">
        <v>76</v>
      </c>
      <c r="AH1223" s="14" t="s">
        <v>76</v>
      </c>
      <c r="AI1223" s="14"/>
      <c r="AJ1223" s="14" t="s">
        <v>76</v>
      </c>
      <c r="AK1223" s="14" t="s">
        <v>76</v>
      </c>
      <c r="AL1223" s="14"/>
      <c r="AM1223" s="14">
        <v>0.211903323508255</v>
      </c>
      <c r="AN1223" s="14">
        <v>0.238904776246124</v>
      </c>
    </row>
    <row r="1224" spans="2:40" x14ac:dyDescent="0.35">
      <c r="B1224" t="s">
        <v>70</v>
      </c>
      <c r="C1224" s="14">
        <v>9.9776991177926599E-2</v>
      </c>
      <c r="D1224" s="14">
        <v>9.0855213304887605E-2</v>
      </c>
      <c r="E1224" s="14">
        <v>0.10741789714501999</v>
      </c>
      <c r="F1224" s="14"/>
      <c r="G1224" s="14">
        <v>0.102421282099022</v>
      </c>
      <c r="H1224" s="14">
        <v>9.6557516214748604E-2</v>
      </c>
      <c r="I1224" s="14" t="s">
        <v>76</v>
      </c>
      <c r="J1224" s="14"/>
      <c r="K1224" s="14">
        <v>9.9776991177926599E-2</v>
      </c>
      <c r="L1224" s="14" t="s">
        <v>76</v>
      </c>
      <c r="M1224" s="14" t="s">
        <v>76</v>
      </c>
      <c r="N1224" s="14"/>
      <c r="O1224" s="14">
        <v>0.10215706399635301</v>
      </c>
      <c r="P1224" s="14">
        <v>6.1058648318583299E-2</v>
      </c>
      <c r="Q1224" s="14"/>
      <c r="R1224" s="14">
        <v>6.8526444065807698E-2</v>
      </c>
      <c r="S1224" s="14">
        <v>9.0585149692422401E-2</v>
      </c>
      <c r="T1224" s="14">
        <v>0.13419516625888001</v>
      </c>
      <c r="U1224" s="14">
        <v>0.12958623570918601</v>
      </c>
      <c r="V1224" s="14">
        <v>0.12547272459895301</v>
      </c>
      <c r="W1224" s="14">
        <v>0.102146350063478</v>
      </c>
      <c r="X1224" s="14">
        <v>6.5594205681755502E-2</v>
      </c>
      <c r="Y1224" s="14">
        <v>8.2972356139721107E-2</v>
      </c>
      <c r="Z1224" s="14">
        <v>0.107466472661864</v>
      </c>
      <c r="AA1224" s="14"/>
      <c r="AB1224" s="14" t="s">
        <v>76</v>
      </c>
      <c r="AC1224" s="14" t="s">
        <v>76</v>
      </c>
      <c r="AD1224" s="14" t="s">
        <v>76</v>
      </c>
      <c r="AE1224" s="14" t="s">
        <v>76</v>
      </c>
      <c r="AF1224" s="14"/>
      <c r="AG1224" s="14" t="s">
        <v>76</v>
      </c>
      <c r="AH1224" s="14" t="s">
        <v>76</v>
      </c>
      <c r="AI1224" s="14"/>
      <c r="AJ1224" s="14" t="s">
        <v>76</v>
      </c>
      <c r="AK1224" s="14" t="s">
        <v>76</v>
      </c>
      <c r="AL1224" s="14"/>
      <c r="AM1224" s="14">
        <v>8.9418944619241506E-2</v>
      </c>
      <c r="AN1224" s="14">
        <v>0.125007696198147</v>
      </c>
    </row>
    <row r="1225" spans="2:40" x14ac:dyDescent="0.35">
      <c r="C1225" s="14"/>
      <c r="D1225" s="14"/>
      <c r="E1225" s="14"/>
      <c r="F1225" s="14"/>
      <c r="G1225" s="14"/>
      <c r="H1225" s="14"/>
      <c r="I1225" s="14"/>
      <c r="J1225" s="14"/>
      <c r="K1225" s="14"/>
      <c r="L1225" s="14"/>
      <c r="M1225" s="14"/>
      <c r="N1225" s="14"/>
      <c r="O1225" s="14"/>
      <c r="P1225" s="14"/>
      <c r="Q1225" s="14"/>
      <c r="R1225" s="14"/>
      <c r="S1225" s="14"/>
      <c r="T1225" s="14"/>
      <c r="U1225" s="14"/>
      <c r="V1225" s="14"/>
      <c r="W1225" s="14"/>
      <c r="X1225" s="14"/>
      <c r="Y1225" s="14"/>
      <c r="Z1225" s="14"/>
      <c r="AA1225" s="14"/>
      <c r="AB1225" s="14"/>
      <c r="AC1225" s="14"/>
      <c r="AD1225" s="14"/>
      <c r="AE1225" s="14"/>
      <c r="AF1225" s="14"/>
      <c r="AG1225" s="14"/>
      <c r="AH1225" s="14"/>
      <c r="AI1225" s="14"/>
      <c r="AJ1225" s="14"/>
      <c r="AK1225" s="14"/>
      <c r="AL1225" s="14"/>
      <c r="AM1225" s="14"/>
      <c r="AN1225" s="14"/>
    </row>
    <row r="1226" spans="2:40" x14ac:dyDescent="0.35">
      <c r="B1226" s="6" t="s">
        <v>350</v>
      </c>
      <c r="C1226" s="14"/>
      <c r="D1226" s="14"/>
      <c r="E1226" s="14"/>
      <c r="F1226" s="14"/>
      <c r="G1226" s="14"/>
      <c r="H1226" s="14"/>
      <c r="I1226" s="14"/>
      <c r="J1226" s="14"/>
      <c r="K1226" s="14"/>
      <c r="L1226" s="14"/>
      <c r="M1226" s="14"/>
      <c r="N1226" s="14"/>
      <c r="O1226" s="14"/>
      <c r="P1226" s="14"/>
      <c r="Q1226" s="14"/>
      <c r="R1226" s="14"/>
      <c r="S1226" s="14"/>
      <c r="T1226" s="14"/>
      <c r="U1226" s="14"/>
      <c r="V1226" s="14"/>
      <c r="W1226" s="14"/>
      <c r="X1226" s="14"/>
      <c r="Y1226" s="14"/>
      <c r="Z1226" s="14"/>
      <c r="AA1226" s="14"/>
      <c r="AB1226" s="14"/>
      <c r="AC1226" s="14"/>
      <c r="AD1226" s="14"/>
      <c r="AE1226" s="14"/>
      <c r="AF1226" s="14"/>
      <c r="AG1226" s="14"/>
      <c r="AH1226" s="14"/>
      <c r="AI1226" s="14"/>
      <c r="AJ1226" s="14"/>
      <c r="AK1226" s="14"/>
      <c r="AL1226" s="14"/>
      <c r="AM1226" s="14"/>
      <c r="AN1226" s="14"/>
    </row>
    <row r="1227" spans="2:40" x14ac:dyDescent="0.35">
      <c r="B1227" s="24" t="s">
        <v>89</v>
      </c>
      <c r="C1227" s="14"/>
      <c r="D1227" s="14"/>
      <c r="E1227" s="14"/>
      <c r="F1227" s="14"/>
      <c r="G1227" s="14"/>
      <c r="H1227" s="14"/>
      <c r="I1227" s="14"/>
      <c r="J1227" s="14"/>
      <c r="K1227" s="14"/>
      <c r="L1227" s="14"/>
      <c r="M1227" s="14"/>
      <c r="N1227" s="14"/>
      <c r="O1227" s="14"/>
      <c r="P1227" s="14"/>
      <c r="Q1227" s="14"/>
      <c r="R1227" s="14"/>
      <c r="S1227" s="14"/>
      <c r="T1227" s="14"/>
      <c r="U1227" s="14"/>
      <c r="V1227" s="14"/>
      <c r="W1227" s="14"/>
      <c r="X1227" s="14"/>
      <c r="Y1227" s="14"/>
      <c r="Z1227" s="14"/>
      <c r="AA1227" s="14"/>
      <c r="AB1227" s="14"/>
      <c r="AC1227" s="14"/>
      <c r="AD1227" s="14"/>
      <c r="AE1227" s="14"/>
      <c r="AF1227" s="14"/>
      <c r="AG1227" s="14"/>
      <c r="AH1227" s="14"/>
      <c r="AI1227" s="14"/>
      <c r="AJ1227" s="14"/>
      <c r="AK1227" s="14"/>
      <c r="AL1227" s="14"/>
      <c r="AM1227" s="14"/>
      <c r="AN1227" s="14"/>
    </row>
    <row r="1228" spans="2:40" x14ac:dyDescent="0.35">
      <c r="B1228" t="s">
        <v>344</v>
      </c>
      <c r="C1228" s="14">
        <v>0.71612756502747699</v>
      </c>
      <c r="D1228" s="14">
        <v>0.71567262820722999</v>
      </c>
      <c r="E1228" s="14">
        <v>0.71801353895083797</v>
      </c>
      <c r="F1228" s="14"/>
      <c r="G1228" s="14">
        <v>0.73655065949731402</v>
      </c>
      <c r="H1228" s="14">
        <v>0.69126205541515495</v>
      </c>
      <c r="I1228" s="14" t="s">
        <v>76</v>
      </c>
      <c r="J1228" s="14"/>
      <c r="K1228" s="14">
        <v>0.71612756502747699</v>
      </c>
      <c r="L1228" s="14" t="s">
        <v>76</v>
      </c>
      <c r="M1228" s="14" t="s">
        <v>76</v>
      </c>
      <c r="N1228" s="14"/>
      <c r="O1228" s="14">
        <v>0.71307336790921305</v>
      </c>
      <c r="P1228" s="14">
        <v>0.73920805574499204</v>
      </c>
      <c r="Q1228" s="14"/>
      <c r="R1228" s="14">
        <v>0.748520606405361</v>
      </c>
      <c r="S1228" s="14">
        <v>0.75163235392746697</v>
      </c>
      <c r="T1228" s="14">
        <v>0.73495191733113596</v>
      </c>
      <c r="U1228" s="14">
        <v>0.70880358517778996</v>
      </c>
      <c r="V1228" s="14">
        <v>0.68764495139383197</v>
      </c>
      <c r="W1228" s="14">
        <v>0.69012068698138196</v>
      </c>
      <c r="X1228" s="14">
        <v>0.705881454216856</v>
      </c>
      <c r="Y1228" s="14">
        <v>0.69288251725010996</v>
      </c>
      <c r="Z1228" s="14">
        <v>0.680665105999811</v>
      </c>
      <c r="AA1228" s="14"/>
      <c r="AB1228" s="14" t="s">
        <v>76</v>
      </c>
      <c r="AC1228" s="14" t="s">
        <v>76</v>
      </c>
      <c r="AD1228" s="14" t="s">
        <v>76</v>
      </c>
      <c r="AE1228" s="14" t="s">
        <v>76</v>
      </c>
      <c r="AF1228" s="14"/>
      <c r="AG1228" s="14" t="s">
        <v>76</v>
      </c>
      <c r="AH1228" s="14" t="s">
        <v>76</v>
      </c>
      <c r="AI1228" s="14"/>
      <c r="AJ1228" s="14" t="s">
        <v>76</v>
      </c>
      <c r="AK1228" s="14" t="s">
        <v>76</v>
      </c>
      <c r="AL1228" s="14"/>
      <c r="AM1228" s="14">
        <v>0.73474959873351997</v>
      </c>
      <c r="AN1228" s="14">
        <v>0.67309112672391003</v>
      </c>
    </row>
    <row r="1229" spans="2:40" x14ac:dyDescent="0.35">
      <c r="B1229" t="s">
        <v>345</v>
      </c>
      <c r="C1229" s="14">
        <v>0.15874487132117299</v>
      </c>
      <c r="D1229" s="14">
        <v>0.16024026270255001</v>
      </c>
      <c r="E1229" s="14">
        <v>0.155179141005622</v>
      </c>
      <c r="F1229" s="14"/>
      <c r="G1229" s="14">
        <v>0.13708548774395199</v>
      </c>
      <c r="H1229" s="14">
        <v>0.18511558665678199</v>
      </c>
      <c r="I1229" s="14" t="s">
        <v>76</v>
      </c>
      <c r="J1229" s="14"/>
      <c r="K1229" s="14">
        <v>0.15874487132117299</v>
      </c>
      <c r="L1229" s="14" t="s">
        <v>76</v>
      </c>
      <c r="M1229" s="14" t="s">
        <v>76</v>
      </c>
      <c r="N1229" s="14"/>
      <c r="O1229" s="14">
        <v>0.15943728123590001</v>
      </c>
      <c r="P1229" s="14">
        <v>0.179784920950119</v>
      </c>
      <c r="Q1229" s="14"/>
      <c r="R1229" s="14">
        <v>0.189680688285325</v>
      </c>
      <c r="S1229" s="14">
        <v>0.106450860780347</v>
      </c>
      <c r="T1229" s="14">
        <v>0.175442364498158</v>
      </c>
      <c r="U1229" s="14">
        <v>0.158416389566095</v>
      </c>
      <c r="V1229" s="14">
        <v>0.160220224230191</v>
      </c>
      <c r="W1229" s="14">
        <v>0.15285715894239599</v>
      </c>
      <c r="X1229" s="14">
        <v>0.17294739339551499</v>
      </c>
      <c r="Y1229" s="14">
        <v>0.17707956079109799</v>
      </c>
      <c r="Z1229" s="14">
        <v>0.15269166358760899</v>
      </c>
      <c r="AA1229" s="14"/>
      <c r="AB1229" s="14" t="s">
        <v>76</v>
      </c>
      <c r="AC1229" s="14" t="s">
        <v>76</v>
      </c>
      <c r="AD1229" s="14" t="s">
        <v>76</v>
      </c>
      <c r="AE1229" s="14" t="s">
        <v>76</v>
      </c>
      <c r="AF1229" s="14"/>
      <c r="AG1229" s="14" t="s">
        <v>76</v>
      </c>
      <c r="AH1229" s="14" t="s">
        <v>76</v>
      </c>
      <c r="AI1229" s="14"/>
      <c r="AJ1229" s="14" t="s">
        <v>76</v>
      </c>
      <c r="AK1229" s="14" t="s">
        <v>76</v>
      </c>
      <c r="AL1229" s="14"/>
      <c r="AM1229" s="14">
        <v>0.14679982338596501</v>
      </c>
      <c r="AN1229" s="14">
        <v>0.19625035027461399</v>
      </c>
    </row>
    <row r="1230" spans="2:40" x14ac:dyDescent="0.35">
      <c r="B1230" t="s">
        <v>346</v>
      </c>
      <c r="C1230" s="14">
        <v>7.2392968786859899E-2</v>
      </c>
      <c r="D1230" s="14">
        <v>7.3619642544745706E-2</v>
      </c>
      <c r="E1230" s="14">
        <v>7.1353302656871204E-2</v>
      </c>
      <c r="F1230" s="14"/>
      <c r="G1230" s="14">
        <v>8.1397740412483793E-2</v>
      </c>
      <c r="H1230" s="14">
        <v>6.14294864534458E-2</v>
      </c>
      <c r="I1230" s="14" t="s">
        <v>76</v>
      </c>
      <c r="J1230" s="14"/>
      <c r="K1230" s="14">
        <v>7.2392968786859899E-2</v>
      </c>
      <c r="L1230" s="14" t="s">
        <v>76</v>
      </c>
      <c r="M1230" s="14" t="s">
        <v>76</v>
      </c>
      <c r="N1230" s="14"/>
      <c r="O1230" s="14">
        <v>7.2404437523693299E-2</v>
      </c>
      <c r="P1230" s="14">
        <v>6.6804920336295301E-2</v>
      </c>
      <c r="Q1230" s="14"/>
      <c r="R1230" s="14">
        <v>3.7628533779706E-2</v>
      </c>
      <c r="S1230" s="14">
        <v>7.2972412814512097E-2</v>
      </c>
      <c r="T1230" s="14">
        <v>5.76184493076271E-2</v>
      </c>
      <c r="U1230" s="14">
        <v>9.9106624367560306E-2</v>
      </c>
      <c r="V1230" s="14">
        <v>8.2256089461290899E-2</v>
      </c>
      <c r="W1230" s="14">
        <v>8.5648214693730795E-2</v>
      </c>
      <c r="X1230" s="14">
        <v>2.3510328772937201E-2</v>
      </c>
      <c r="Y1230" s="14">
        <v>9.5227875273188697E-2</v>
      </c>
      <c r="Z1230" s="14">
        <v>0.121300445924826</v>
      </c>
      <c r="AA1230" s="14"/>
      <c r="AB1230" s="14" t="s">
        <v>76</v>
      </c>
      <c r="AC1230" s="14" t="s">
        <v>76</v>
      </c>
      <c r="AD1230" s="14" t="s">
        <v>76</v>
      </c>
      <c r="AE1230" s="14" t="s">
        <v>76</v>
      </c>
      <c r="AF1230" s="14"/>
      <c r="AG1230" s="14" t="s">
        <v>76</v>
      </c>
      <c r="AH1230" s="14" t="s">
        <v>76</v>
      </c>
      <c r="AI1230" s="14"/>
      <c r="AJ1230" s="14" t="s">
        <v>76</v>
      </c>
      <c r="AK1230" s="14" t="s">
        <v>76</v>
      </c>
      <c r="AL1230" s="14"/>
      <c r="AM1230" s="14">
        <v>6.77911693761271E-2</v>
      </c>
      <c r="AN1230" s="14">
        <v>7.7795001793697804E-2</v>
      </c>
    </row>
    <row r="1231" spans="2:40" x14ac:dyDescent="0.35">
      <c r="B1231" t="s">
        <v>70</v>
      </c>
      <c r="C1231" s="14">
        <v>5.27345948644906E-2</v>
      </c>
      <c r="D1231" s="14">
        <v>5.0467466545474002E-2</v>
      </c>
      <c r="E1231" s="14">
        <v>5.54540173866684E-2</v>
      </c>
      <c r="F1231" s="14"/>
      <c r="G1231" s="14">
        <v>4.4966112346250003E-2</v>
      </c>
      <c r="H1231" s="14">
        <v>6.2192871474616898E-2</v>
      </c>
      <c r="I1231" s="14" t="s">
        <v>76</v>
      </c>
      <c r="J1231" s="14"/>
      <c r="K1231" s="14">
        <v>5.27345948644906E-2</v>
      </c>
      <c r="L1231" s="14" t="s">
        <v>76</v>
      </c>
      <c r="M1231" s="14" t="s">
        <v>76</v>
      </c>
      <c r="N1231" s="14"/>
      <c r="O1231" s="14">
        <v>5.5084913331193697E-2</v>
      </c>
      <c r="P1231" s="14">
        <v>1.4202102968593901E-2</v>
      </c>
      <c r="Q1231" s="14"/>
      <c r="R1231" s="14">
        <v>2.4170171529607799E-2</v>
      </c>
      <c r="S1231" s="14">
        <v>6.8944372477673405E-2</v>
      </c>
      <c r="T1231" s="14">
        <v>3.1987268863078303E-2</v>
      </c>
      <c r="U1231" s="14">
        <v>3.3673400888555E-2</v>
      </c>
      <c r="V1231" s="14">
        <v>6.9878734914686796E-2</v>
      </c>
      <c r="W1231" s="14">
        <v>7.1373939382490995E-2</v>
      </c>
      <c r="X1231" s="14">
        <v>9.7660823614691902E-2</v>
      </c>
      <c r="Y1231" s="14">
        <v>3.4810046685603203E-2</v>
      </c>
      <c r="Z1231" s="14">
        <v>4.5342784487753703E-2</v>
      </c>
      <c r="AA1231" s="14"/>
      <c r="AB1231" s="14" t="s">
        <v>76</v>
      </c>
      <c r="AC1231" s="14" t="s">
        <v>76</v>
      </c>
      <c r="AD1231" s="14" t="s">
        <v>76</v>
      </c>
      <c r="AE1231" s="14" t="s">
        <v>76</v>
      </c>
      <c r="AF1231" s="14"/>
      <c r="AG1231" s="14" t="s">
        <v>76</v>
      </c>
      <c r="AH1231" s="14" t="s">
        <v>76</v>
      </c>
      <c r="AI1231" s="14"/>
      <c r="AJ1231" s="14" t="s">
        <v>76</v>
      </c>
      <c r="AK1231" s="14" t="s">
        <v>76</v>
      </c>
      <c r="AL1231" s="14"/>
      <c r="AM1231" s="14">
        <v>5.0659408504387403E-2</v>
      </c>
      <c r="AN1231" s="14">
        <v>5.2863521207778298E-2</v>
      </c>
    </row>
    <row r="1232" spans="2:40" x14ac:dyDescent="0.35">
      <c r="C1232" s="14"/>
      <c r="D1232" s="14"/>
      <c r="E1232" s="14"/>
      <c r="F1232" s="14"/>
      <c r="G1232" s="14"/>
      <c r="H1232" s="14"/>
      <c r="I1232" s="14"/>
      <c r="J1232" s="14"/>
      <c r="K1232" s="14"/>
      <c r="L1232" s="14"/>
      <c r="M1232" s="14"/>
      <c r="N1232" s="14"/>
      <c r="O1232" s="14"/>
      <c r="P1232" s="14"/>
      <c r="Q1232" s="14"/>
      <c r="R1232" s="14"/>
      <c r="S1232" s="14"/>
      <c r="T1232" s="14"/>
      <c r="U1232" s="14"/>
      <c r="V1232" s="14"/>
      <c r="W1232" s="14"/>
      <c r="X1232" s="14"/>
      <c r="Y1232" s="14"/>
      <c r="Z1232" s="14"/>
      <c r="AA1232" s="14"/>
      <c r="AB1232" s="14"/>
      <c r="AC1232" s="14"/>
      <c r="AD1232" s="14"/>
      <c r="AE1232" s="14"/>
      <c r="AF1232" s="14"/>
      <c r="AG1232" s="14"/>
      <c r="AH1232" s="14"/>
      <c r="AI1232" s="14"/>
      <c r="AJ1232" s="14"/>
      <c r="AK1232" s="14"/>
      <c r="AL1232" s="14"/>
      <c r="AM1232" s="14"/>
      <c r="AN1232" s="14"/>
    </row>
    <row r="1233" spans="2:40" x14ac:dyDescent="0.35">
      <c r="B1233" s="6" t="s">
        <v>351</v>
      </c>
      <c r="C1233" s="14"/>
      <c r="D1233" s="14"/>
      <c r="E1233" s="14"/>
      <c r="F1233" s="14"/>
      <c r="G1233" s="14"/>
      <c r="H1233" s="14"/>
      <c r="I1233" s="14"/>
      <c r="J1233" s="14"/>
      <c r="K1233" s="14"/>
      <c r="L1233" s="14"/>
      <c r="M1233" s="14"/>
      <c r="N1233" s="14"/>
      <c r="O1233" s="14"/>
      <c r="P1233" s="14"/>
      <c r="Q1233" s="14"/>
      <c r="R1233" s="14"/>
      <c r="S1233" s="14"/>
      <c r="T1233" s="14"/>
      <c r="U1233" s="14"/>
      <c r="V1233" s="14"/>
      <c r="W1233" s="14"/>
      <c r="X1233" s="14"/>
      <c r="Y1233" s="14"/>
      <c r="Z1233" s="14"/>
      <c r="AA1233" s="14"/>
      <c r="AB1233" s="14"/>
      <c r="AC1233" s="14"/>
      <c r="AD1233" s="14"/>
      <c r="AE1233" s="14"/>
      <c r="AF1233" s="14"/>
      <c r="AG1233" s="14"/>
      <c r="AH1233" s="14"/>
      <c r="AI1233" s="14"/>
      <c r="AJ1233" s="14"/>
      <c r="AK1233" s="14"/>
      <c r="AL1233" s="14"/>
      <c r="AM1233" s="14"/>
      <c r="AN1233" s="14"/>
    </row>
    <row r="1234" spans="2:40" x14ac:dyDescent="0.35">
      <c r="B1234" s="24" t="s">
        <v>89</v>
      </c>
      <c r="C1234" s="14"/>
      <c r="D1234" s="14"/>
      <c r="E1234" s="14"/>
      <c r="F1234" s="14"/>
      <c r="G1234" s="14"/>
      <c r="H1234" s="14"/>
      <c r="I1234" s="14"/>
      <c r="J1234" s="14"/>
      <c r="K1234" s="14"/>
      <c r="L1234" s="14"/>
      <c r="M1234" s="14"/>
      <c r="N1234" s="14"/>
      <c r="O1234" s="14"/>
      <c r="P1234" s="14"/>
      <c r="Q1234" s="14"/>
      <c r="R1234" s="14"/>
      <c r="S1234" s="14"/>
      <c r="T1234" s="14"/>
      <c r="U1234" s="14"/>
      <c r="V1234" s="14"/>
      <c r="W1234" s="14"/>
      <c r="X1234" s="14"/>
      <c r="Y1234" s="14"/>
      <c r="Z1234" s="14"/>
      <c r="AA1234" s="14"/>
      <c r="AB1234" s="14"/>
      <c r="AC1234" s="14"/>
      <c r="AD1234" s="14"/>
      <c r="AE1234" s="14"/>
      <c r="AF1234" s="14"/>
      <c r="AG1234" s="14"/>
      <c r="AH1234" s="14"/>
      <c r="AI1234" s="14"/>
      <c r="AJ1234" s="14"/>
      <c r="AK1234" s="14"/>
      <c r="AL1234" s="14"/>
      <c r="AM1234" s="14"/>
      <c r="AN1234" s="14"/>
    </row>
    <row r="1235" spans="2:40" x14ac:dyDescent="0.35">
      <c r="B1235" t="s">
        <v>344</v>
      </c>
      <c r="C1235" s="14">
        <v>0.57031264660615699</v>
      </c>
      <c r="D1235" s="14">
        <v>0.58562154568737501</v>
      </c>
      <c r="E1235" s="14">
        <v>0.551634794359114</v>
      </c>
      <c r="F1235" s="14"/>
      <c r="G1235" s="14">
        <v>0.52332897199275796</v>
      </c>
      <c r="H1235" s="14">
        <v>0.62751617246983205</v>
      </c>
      <c r="I1235" s="14" t="s">
        <v>76</v>
      </c>
      <c r="J1235" s="14"/>
      <c r="K1235" s="14">
        <v>0.57031264660615699</v>
      </c>
      <c r="L1235" s="14" t="s">
        <v>76</v>
      </c>
      <c r="M1235" s="14" t="s">
        <v>76</v>
      </c>
      <c r="N1235" s="14"/>
      <c r="O1235" s="14">
        <v>0.565985507857385</v>
      </c>
      <c r="P1235" s="14">
        <v>0.579372500816147</v>
      </c>
      <c r="Q1235" s="14"/>
      <c r="R1235" s="14">
        <v>0.65517593505613103</v>
      </c>
      <c r="S1235" s="14">
        <v>0.58512408011359895</v>
      </c>
      <c r="T1235" s="14">
        <v>0.591783338986413</v>
      </c>
      <c r="U1235" s="14">
        <v>0.61566893544318901</v>
      </c>
      <c r="V1235" s="14">
        <v>0.47448922277555999</v>
      </c>
      <c r="W1235" s="14">
        <v>0.54694916759519796</v>
      </c>
      <c r="X1235" s="14">
        <v>0.44085235180523602</v>
      </c>
      <c r="Y1235" s="14">
        <v>0.52302158534410204</v>
      </c>
      <c r="Z1235" s="14">
        <v>0.60282695421048704</v>
      </c>
      <c r="AA1235" s="14"/>
      <c r="AB1235" s="14" t="s">
        <v>76</v>
      </c>
      <c r="AC1235" s="14" t="s">
        <v>76</v>
      </c>
      <c r="AD1235" s="14" t="s">
        <v>76</v>
      </c>
      <c r="AE1235" s="14" t="s">
        <v>76</v>
      </c>
      <c r="AF1235" s="14"/>
      <c r="AG1235" s="14" t="s">
        <v>76</v>
      </c>
      <c r="AH1235" s="14" t="s">
        <v>76</v>
      </c>
      <c r="AI1235" s="14"/>
      <c r="AJ1235" s="14" t="s">
        <v>76</v>
      </c>
      <c r="AK1235" s="14" t="s">
        <v>76</v>
      </c>
      <c r="AL1235" s="14"/>
      <c r="AM1235" s="14">
        <v>0.59773453428557799</v>
      </c>
      <c r="AN1235" s="14">
        <v>0.434006100188707</v>
      </c>
    </row>
    <row r="1236" spans="2:40" x14ac:dyDescent="0.35">
      <c r="B1236" t="s">
        <v>345</v>
      </c>
      <c r="C1236" s="14">
        <v>0.15573472195451199</v>
      </c>
      <c r="D1236" s="14">
        <v>0.142744423223788</v>
      </c>
      <c r="E1236" s="14">
        <v>0.170690230608678</v>
      </c>
      <c r="F1236" s="14"/>
      <c r="G1236" s="14">
        <v>0.142199363784344</v>
      </c>
      <c r="H1236" s="14">
        <v>0.17221428038693301</v>
      </c>
      <c r="I1236" s="14" t="s">
        <v>76</v>
      </c>
      <c r="J1236" s="14"/>
      <c r="K1236" s="14">
        <v>0.15573472195451199</v>
      </c>
      <c r="L1236" s="14" t="s">
        <v>76</v>
      </c>
      <c r="M1236" s="14" t="s">
        <v>76</v>
      </c>
      <c r="N1236" s="14"/>
      <c r="O1236" s="14">
        <v>0.14921955266444101</v>
      </c>
      <c r="P1236" s="14">
        <v>0.23280226168746401</v>
      </c>
      <c r="Q1236" s="14"/>
      <c r="R1236" s="14">
        <v>0.142636462560712</v>
      </c>
      <c r="S1236" s="14">
        <v>0.110061792636982</v>
      </c>
      <c r="T1236" s="14">
        <v>0.15046943319950901</v>
      </c>
      <c r="U1236" s="14">
        <v>0.195798673788531</v>
      </c>
      <c r="V1236" s="14">
        <v>0.14965080277422499</v>
      </c>
      <c r="W1236" s="14">
        <v>0.16555376148279999</v>
      </c>
      <c r="X1236" s="14">
        <v>0.19608327815723101</v>
      </c>
      <c r="Y1236" s="14">
        <v>0.251241829214084</v>
      </c>
      <c r="Z1236" s="14">
        <v>0.122247218874738</v>
      </c>
      <c r="AA1236" s="14"/>
      <c r="AB1236" s="14" t="s">
        <v>76</v>
      </c>
      <c r="AC1236" s="14" t="s">
        <v>76</v>
      </c>
      <c r="AD1236" s="14" t="s">
        <v>76</v>
      </c>
      <c r="AE1236" s="14" t="s">
        <v>76</v>
      </c>
      <c r="AF1236" s="14"/>
      <c r="AG1236" s="14" t="s">
        <v>76</v>
      </c>
      <c r="AH1236" s="14" t="s">
        <v>76</v>
      </c>
      <c r="AI1236" s="14"/>
      <c r="AJ1236" s="14" t="s">
        <v>76</v>
      </c>
      <c r="AK1236" s="14" t="s">
        <v>76</v>
      </c>
      <c r="AL1236" s="14"/>
      <c r="AM1236" s="14">
        <v>0.14405419333011299</v>
      </c>
      <c r="AN1236" s="14">
        <v>0.243551877671184</v>
      </c>
    </row>
    <row r="1237" spans="2:40" x14ac:dyDescent="0.35">
      <c r="B1237" t="s">
        <v>346</v>
      </c>
      <c r="C1237" s="14">
        <v>0.14826988338477901</v>
      </c>
      <c r="D1237" s="14">
        <v>0.152452658644149</v>
      </c>
      <c r="E1237" s="14">
        <v>0.144303084451706</v>
      </c>
      <c r="F1237" s="14"/>
      <c r="G1237" s="14">
        <v>0.18487926135981</v>
      </c>
      <c r="H1237" s="14">
        <v>0.10369726285052799</v>
      </c>
      <c r="I1237" s="14" t="s">
        <v>76</v>
      </c>
      <c r="J1237" s="14"/>
      <c r="K1237" s="14">
        <v>0.14826988338477901</v>
      </c>
      <c r="L1237" s="14" t="s">
        <v>76</v>
      </c>
      <c r="M1237" s="14" t="s">
        <v>76</v>
      </c>
      <c r="N1237" s="14"/>
      <c r="O1237" s="14">
        <v>0.151706259944168</v>
      </c>
      <c r="P1237" s="14">
        <v>0.12538749468125501</v>
      </c>
      <c r="Q1237" s="14"/>
      <c r="R1237" s="14">
        <v>0.12938706451245599</v>
      </c>
      <c r="S1237" s="14">
        <v>0.147474006068776</v>
      </c>
      <c r="T1237" s="14">
        <v>0.10536379969856299</v>
      </c>
      <c r="U1237" s="14">
        <v>7.8832615791848804E-2</v>
      </c>
      <c r="V1237" s="14">
        <v>0.23859750051496001</v>
      </c>
      <c r="W1237" s="14">
        <v>0.17444118751718199</v>
      </c>
      <c r="X1237" s="14">
        <v>0.25453503834362501</v>
      </c>
      <c r="Y1237" s="14">
        <v>9.3753744906712899E-2</v>
      </c>
      <c r="Z1237" s="14">
        <v>0.113677063993102</v>
      </c>
      <c r="AA1237" s="14"/>
      <c r="AB1237" s="14" t="s">
        <v>76</v>
      </c>
      <c r="AC1237" s="14" t="s">
        <v>76</v>
      </c>
      <c r="AD1237" s="14" t="s">
        <v>76</v>
      </c>
      <c r="AE1237" s="14" t="s">
        <v>76</v>
      </c>
      <c r="AF1237" s="14"/>
      <c r="AG1237" s="14" t="s">
        <v>76</v>
      </c>
      <c r="AH1237" s="14" t="s">
        <v>76</v>
      </c>
      <c r="AI1237" s="14"/>
      <c r="AJ1237" s="14" t="s">
        <v>76</v>
      </c>
      <c r="AK1237" s="14" t="s">
        <v>76</v>
      </c>
      <c r="AL1237" s="14"/>
      <c r="AM1237" s="14">
        <v>0.15447801182522899</v>
      </c>
      <c r="AN1237" s="14">
        <v>0.13227197304313601</v>
      </c>
    </row>
    <row r="1238" spans="2:40" x14ac:dyDescent="0.35">
      <c r="B1238" t="s">
        <v>70</v>
      </c>
      <c r="C1238" s="14">
        <v>0.12568274805455201</v>
      </c>
      <c r="D1238" s="14">
        <v>0.119181372444688</v>
      </c>
      <c r="E1238" s="14">
        <v>0.133371890580501</v>
      </c>
      <c r="F1238" s="14"/>
      <c r="G1238" s="14">
        <v>0.149592402863088</v>
      </c>
      <c r="H1238" s="14">
        <v>9.65722842927067E-2</v>
      </c>
      <c r="I1238" s="14" t="s">
        <v>76</v>
      </c>
      <c r="J1238" s="14"/>
      <c r="K1238" s="14">
        <v>0.12568274805455201</v>
      </c>
      <c r="L1238" s="14" t="s">
        <v>76</v>
      </c>
      <c r="M1238" s="14" t="s">
        <v>76</v>
      </c>
      <c r="N1238" s="14"/>
      <c r="O1238" s="14">
        <v>0.13308867953400599</v>
      </c>
      <c r="P1238" s="14">
        <v>6.2437742815134901E-2</v>
      </c>
      <c r="Q1238" s="14"/>
      <c r="R1238" s="14">
        <v>7.2800537870701107E-2</v>
      </c>
      <c r="S1238" s="14">
        <v>0.157340121180644</v>
      </c>
      <c r="T1238" s="14">
        <v>0.152383428115516</v>
      </c>
      <c r="U1238" s="14">
        <v>0.10969977497643101</v>
      </c>
      <c r="V1238" s="14">
        <v>0.13726247393525501</v>
      </c>
      <c r="W1238" s="14">
        <v>0.11305588340481899</v>
      </c>
      <c r="X1238" s="14">
        <v>0.10852933169390799</v>
      </c>
      <c r="Y1238" s="14">
        <v>0.13198284053510101</v>
      </c>
      <c r="Z1238" s="14">
        <v>0.16124876292167301</v>
      </c>
      <c r="AA1238" s="14"/>
      <c r="AB1238" s="14" t="s">
        <v>76</v>
      </c>
      <c r="AC1238" s="14" t="s">
        <v>76</v>
      </c>
      <c r="AD1238" s="14" t="s">
        <v>76</v>
      </c>
      <c r="AE1238" s="14" t="s">
        <v>76</v>
      </c>
      <c r="AF1238" s="14"/>
      <c r="AG1238" s="14" t="s">
        <v>76</v>
      </c>
      <c r="AH1238" s="14" t="s">
        <v>76</v>
      </c>
      <c r="AI1238" s="14"/>
      <c r="AJ1238" s="14" t="s">
        <v>76</v>
      </c>
      <c r="AK1238" s="14" t="s">
        <v>76</v>
      </c>
      <c r="AL1238" s="14"/>
      <c r="AM1238" s="14">
        <v>0.103733260559081</v>
      </c>
      <c r="AN1238" s="14">
        <v>0.19017004909697299</v>
      </c>
    </row>
    <row r="1239" spans="2:40" x14ac:dyDescent="0.35">
      <c r="C1239" s="14"/>
      <c r="D1239" s="14"/>
      <c r="E1239" s="14"/>
      <c r="F1239" s="14"/>
      <c r="G1239" s="14"/>
      <c r="H1239" s="14"/>
      <c r="I1239" s="14"/>
      <c r="J1239" s="14"/>
      <c r="K1239" s="14"/>
      <c r="L1239" s="14"/>
      <c r="M1239" s="14"/>
      <c r="N1239" s="14"/>
      <c r="O1239" s="14"/>
      <c r="P1239" s="14"/>
      <c r="Q1239" s="14"/>
      <c r="R1239" s="14"/>
      <c r="S1239" s="14"/>
      <c r="T1239" s="14"/>
      <c r="U1239" s="14"/>
      <c r="V1239" s="14"/>
      <c r="W1239" s="14"/>
      <c r="X1239" s="14"/>
      <c r="Y1239" s="14"/>
      <c r="Z1239" s="14"/>
      <c r="AA1239" s="14"/>
      <c r="AB1239" s="14"/>
      <c r="AC1239" s="14"/>
      <c r="AD1239" s="14"/>
      <c r="AE1239" s="14"/>
      <c r="AF1239" s="14"/>
      <c r="AG1239" s="14"/>
      <c r="AH1239" s="14"/>
      <c r="AI1239" s="14"/>
      <c r="AJ1239" s="14"/>
      <c r="AK1239" s="14"/>
      <c r="AL1239" s="14"/>
      <c r="AM1239" s="14"/>
      <c r="AN1239" s="14"/>
    </row>
    <row r="1240" spans="2:40" x14ac:dyDescent="0.35">
      <c r="B1240" s="6" t="s">
        <v>352</v>
      </c>
      <c r="C1240" s="14"/>
      <c r="D1240" s="14"/>
      <c r="E1240" s="14"/>
      <c r="F1240" s="14"/>
      <c r="G1240" s="14"/>
      <c r="H1240" s="14"/>
      <c r="I1240" s="14"/>
      <c r="J1240" s="14"/>
      <c r="K1240" s="14"/>
      <c r="L1240" s="14"/>
      <c r="M1240" s="14"/>
      <c r="N1240" s="14"/>
      <c r="O1240" s="14"/>
      <c r="P1240" s="14"/>
      <c r="Q1240" s="14"/>
      <c r="R1240" s="14"/>
      <c r="S1240" s="14"/>
      <c r="T1240" s="14"/>
      <c r="U1240" s="14"/>
      <c r="V1240" s="14"/>
      <c r="W1240" s="14"/>
      <c r="X1240" s="14"/>
      <c r="Y1240" s="14"/>
      <c r="Z1240" s="14"/>
      <c r="AA1240" s="14"/>
      <c r="AB1240" s="14"/>
      <c r="AC1240" s="14"/>
      <c r="AD1240" s="14"/>
      <c r="AE1240" s="14"/>
      <c r="AF1240" s="14"/>
      <c r="AG1240" s="14"/>
      <c r="AH1240" s="14"/>
      <c r="AI1240" s="14"/>
      <c r="AJ1240" s="14"/>
      <c r="AK1240" s="14"/>
      <c r="AL1240" s="14"/>
      <c r="AM1240" s="14"/>
      <c r="AN1240" s="14"/>
    </row>
    <row r="1241" spans="2:40" x14ac:dyDescent="0.35">
      <c r="B1241" s="24" t="s">
        <v>89</v>
      </c>
      <c r="C1241" s="14"/>
      <c r="D1241" s="14"/>
      <c r="E1241" s="14"/>
      <c r="F1241" s="14"/>
      <c r="G1241" s="14"/>
      <c r="H1241" s="14"/>
      <c r="I1241" s="14"/>
      <c r="J1241" s="14"/>
      <c r="K1241" s="14"/>
      <c r="L1241" s="14"/>
      <c r="M1241" s="14"/>
      <c r="N1241" s="14"/>
      <c r="O1241" s="14"/>
      <c r="P1241" s="14"/>
      <c r="Q1241" s="14"/>
      <c r="R1241" s="14"/>
      <c r="S1241" s="14"/>
      <c r="T1241" s="14"/>
      <c r="U1241" s="14"/>
      <c r="V1241" s="14"/>
      <c r="W1241" s="14"/>
      <c r="X1241" s="14"/>
      <c r="Y1241" s="14"/>
      <c r="Z1241" s="14"/>
      <c r="AA1241" s="14"/>
      <c r="AB1241" s="14"/>
      <c r="AC1241" s="14"/>
      <c r="AD1241" s="14"/>
      <c r="AE1241" s="14"/>
      <c r="AF1241" s="14"/>
      <c r="AG1241" s="14"/>
      <c r="AH1241" s="14"/>
      <c r="AI1241" s="14"/>
      <c r="AJ1241" s="14"/>
      <c r="AK1241" s="14"/>
      <c r="AL1241" s="14"/>
      <c r="AM1241" s="14"/>
      <c r="AN1241" s="14"/>
    </row>
    <row r="1242" spans="2:40" x14ac:dyDescent="0.35">
      <c r="B1242" t="s">
        <v>344</v>
      </c>
      <c r="C1242" s="14">
        <v>0.71035226664805795</v>
      </c>
      <c r="D1242" s="14">
        <v>0.70852345706630004</v>
      </c>
      <c r="E1242" s="14">
        <v>0.71372479519704202</v>
      </c>
      <c r="F1242" s="14"/>
      <c r="G1242" s="14">
        <v>0.63243964750717496</v>
      </c>
      <c r="H1242" s="14">
        <v>0.80521237626709596</v>
      </c>
      <c r="I1242" s="14" t="s">
        <v>76</v>
      </c>
      <c r="J1242" s="14"/>
      <c r="K1242" s="14">
        <v>0.71035226664805795</v>
      </c>
      <c r="L1242" s="14" t="s">
        <v>76</v>
      </c>
      <c r="M1242" s="14" t="s">
        <v>76</v>
      </c>
      <c r="N1242" s="14"/>
      <c r="O1242" s="14">
        <v>0.70797904799936295</v>
      </c>
      <c r="P1242" s="14">
        <v>0.74211417162865601</v>
      </c>
      <c r="Q1242" s="14"/>
      <c r="R1242" s="14">
        <v>0.72777529686144904</v>
      </c>
      <c r="S1242" s="14">
        <v>0.71539099611428603</v>
      </c>
      <c r="T1242" s="14">
        <v>0.64815562965404305</v>
      </c>
      <c r="U1242" s="14">
        <v>0.71651292888380003</v>
      </c>
      <c r="V1242" s="14">
        <v>0.66015612427403403</v>
      </c>
      <c r="W1242" s="14">
        <v>0.74805473183014703</v>
      </c>
      <c r="X1242" s="14">
        <v>0.73664019185363505</v>
      </c>
      <c r="Y1242" s="14">
        <v>0.67961099309177997</v>
      </c>
      <c r="Z1242" s="14">
        <v>0.72724056392539504</v>
      </c>
      <c r="AA1242" s="14"/>
      <c r="AB1242" s="14" t="s">
        <v>76</v>
      </c>
      <c r="AC1242" s="14" t="s">
        <v>76</v>
      </c>
      <c r="AD1242" s="14" t="s">
        <v>76</v>
      </c>
      <c r="AE1242" s="14" t="s">
        <v>76</v>
      </c>
      <c r="AF1242" s="14"/>
      <c r="AG1242" s="14" t="s">
        <v>76</v>
      </c>
      <c r="AH1242" s="14" t="s">
        <v>76</v>
      </c>
      <c r="AI1242" s="14"/>
      <c r="AJ1242" s="14" t="s">
        <v>76</v>
      </c>
      <c r="AK1242" s="14" t="s">
        <v>76</v>
      </c>
      <c r="AL1242" s="14"/>
      <c r="AM1242" s="14">
        <v>0.727638117701497</v>
      </c>
      <c r="AN1242" s="14">
        <v>0.69080264952110904</v>
      </c>
    </row>
    <row r="1243" spans="2:40" x14ac:dyDescent="0.35">
      <c r="B1243" t="s">
        <v>345</v>
      </c>
      <c r="C1243" s="14">
        <v>0.115260316316547</v>
      </c>
      <c r="D1243" s="14">
        <v>0.112494321563815</v>
      </c>
      <c r="E1243" s="14">
        <v>0.11879595730039499</v>
      </c>
      <c r="F1243" s="14"/>
      <c r="G1243" s="14">
        <v>0.11165826227686799</v>
      </c>
      <c r="H1243" s="14">
        <v>0.119645886264336</v>
      </c>
      <c r="I1243" s="14" t="s">
        <v>76</v>
      </c>
      <c r="J1243" s="14"/>
      <c r="K1243" s="14">
        <v>0.115260316316547</v>
      </c>
      <c r="L1243" s="14" t="s">
        <v>76</v>
      </c>
      <c r="M1243" s="14" t="s">
        <v>76</v>
      </c>
      <c r="N1243" s="14"/>
      <c r="O1243" s="14">
        <v>0.119374587426016</v>
      </c>
      <c r="P1243" s="14">
        <v>9.0074870055783296E-2</v>
      </c>
      <c r="Q1243" s="14"/>
      <c r="R1243" s="14">
        <v>0.133273252471834</v>
      </c>
      <c r="S1243" s="14">
        <v>9.4056742220878106E-2</v>
      </c>
      <c r="T1243" s="14">
        <v>0.19356678584700901</v>
      </c>
      <c r="U1243" s="14">
        <v>9.1034933653028394E-2</v>
      </c>
      <c r="V1243" s="14">
        <v>0.12811048812009099</v>
      </c>
      <c r="W1243" s="14">
        <v>8.3415000386167101E-2</v>
      </c>
      <c r="X1243" s="14">
        <v>6.4178472297469397E-2</v>
      </c>
      <c r="Y1243" s="14">
        <v>0.13971069544923001</v>
      </c>
      <c r="Z1243" s="14">
        <v>0.12244205878071</v>
      </c>
      <c r="AA1243" s="14"/>
      <c r="AB1243" s="14" t="s">
        <v>76</v>
      </c>
      <c r="AC1243" s="14" t="s">
        <v>76</v>
      </c>
      <c r="AD1243" s="14" t="s">
        <v>76</v>
      </c>
      <c r="AE1243" s="14" t="s">
        <v>76</v>
      </c>
      <c r="AF1243" s="14"/>
      <c r="AG1243" s="14" t="s">
        <v>76</v>
      </c>
      <c r="AH1243" s="14" t="s">
        <v>76</v>
      </c>
      <c r="AI1243" s="14"/>
      <c r="AJ1243" s="14" t="s">
        <v>76</v>
      </c>
      <c r="AK1243" s="14" t="s">
        <v>76</v>
      </c>
      <c r="AL1243" s="14"/>
      <c r="AM1243" s="14">
        <v>0.101087092406763</v>
      </c>
      <c r="AN1243" s="14">
        <v>0.14540523346730799</v>
      </c>
    </row>
    <row r="1244" spans="2:40" x14ac:dyDescent="0.35">
      <c r="B1244" t="s">
        <v>346</v>
      </c>
      <c r="C1244" s="14">
        <v>0.138052426876006</v>
      </c>
      <c r="D1244" s="14">
        <v>0.153059811630331</v>
      </c>
      <c r="E1244" s="14">
        <v>0.122134854219421</v>
      </c>
      <c r="F1244" s="14"/>
      <c r="G1244" s="14">
        <v>0.206539471820229</v>
      </c>
      <c r="H1244" s="14">
        <v>5.4668134799447501E-2</v>
      </c>
      <c r="I1244" s="14" t="s">
        <v>76</v>
      </c>
      <c r="J1244" s="14"/>
      <c r="K1244" s="14">
        <v>0.138052426876006</v>
      </c>
      <c r="L1244" s="14" t="s">
        <v>76</v>
      </c>
      <c r="M1244" s="14" t="s">
        <v>76</v>
      </c>
      <c r="N1244" s="14"/>
      <c r="O1244" s="14">
        <v>0.13620456951426799</v>
      </c>
      <c r="P1244" s="14">
        <v>0.15111759895975799</v>
      </c>
      <c r="Q1244" s="14"/>
      <c r="R1244" s="14">
        <v>0.120961448485934</v>
      </c>
      <c r="S1244" s="14">
        <v>0.17439021102077601</v>
      </c>
      <c r="T1244" s="14">
        <v>8.3617171488524003E-2</v>
      </c>
      <c r="U1244" s="14">
        <v>0.167129857112924</v>
      </c>
      <c r="V1244" s="14">
        <v>0.14211624781454599</v>
      </c>
      <c r="W1244" s="14">
        <v>0.13599905882702201</v>
      </c>
      <c r="X1244" s="14">
        <v>0.16352162339387299</v>
      </c>
      <c r="Y1244" s="14">
        <v>0.107025261945522</v>
      </c>
      <c r="Z1244" s="14">
        <v>0.124827410944416</v>
      </c>
      <c r="AA1244" s="14"/>
      <c r="AB1244" s="14" t="s">
        <v>76</v>
      </c>
      <c r="AC1244" s="14" t="s">
        <v>76</v>
      </c>
      <c r="AD1244" s="14" t="s">
        <v>76</v>
      </c>
      <c r="AE1244" s="14" t="s">
        <v>76</v>
      </c>
      <c r="AF1244" s="14"/>
      <c r="AG1244" s="14" t="s">
        <v>76</v>
      </c>
      <c r="AH1244" s="14" t="s">
        <v>76</v>
      </c>
      <c r="AI1244" s="14"/>
      <c r="AJ1244" s="14" t="s">
        <v>76</v>
      </c>
      <c r="AK1244" s="14" t="s">
        <v>76</v>
      </c>
      <c r="AL1244" s="14"/>
      <c r="AM1244" s="14">
        <v>0.1401674890846</v>
      </c>
      <c r="AN1244" s="14">
        <v>0.132252477840198</v>
      </c>
    </row>
    <row r="1245" spans="2:40" x14ac:dyDescent="0.35">
      <c r="B1245" t="s">
        <v>70</v>
      </c>
      <c r="C1245" s="14">
        <v>3.6334990159389097E-2</v>
      </c>
      <c r="D1245" s="14">
        <v>2.5922409739554099E-2</v>
      </c>
      <c r="E1245" s="14">
        <v>4.5344393283142603E-2</v>
      </c>
      <c r="F1245" s="14"/>
      <c r="G1245" s="14">
        <v>4.9362618395728398E-2</v>
      </c>
      <c r="H1245" s="14">
        <v>2.0473602669120801E-2</v>
      </c>
      <c r="I1245" s="14" t="s">
        <v>76</v>
      </c>
      <c r="J1245" s="14"/>
      <c r="K1245" s="14">
        <v>3.6334990159389097E-2</v>
      </c>
      <c r="L1245" s="14" t="s">
        <v>76</v>
      </c>
      <c r="M1245" s="14" t="s">
        <v>76</v>
      </c>
      <c r="N1245" s="14"/>
      <c r="O1245" s="14">
        <v>3.6441795060352299E-2</v>
      </c>
      <c r="P1245" s="14">
        <v>1.6693359355801799E-2</v>
      </c>
      <c r="Q1245" s="14"/>
      <c r="R1245" s="14">
        <v>1.7990002180783199E-2</v>
      </c>
      <c r="S1245" s="14">
        <v>1.6162050644060601E-2</v>
      </c>
      <c r="T1245" s="14">
        <v>7.4660413010423393E-2</v>
      </c>
      <c r="U1245" s="14">
        <v>2.5322280350246799E-2</v>
      </c>
      <c r="V1245" s="14">
        <v>6.9617139791329899E-2</v>
      </c>
      <c r="W1245" s="14">
        <v>3.2531208956663699E-2</v>
      </c>
      <c r="X1245" s="14">
        <v>3.5659712455023099E-2</v>
      </c>
      <c r="Y1245" s="14">
        <v>7.3653049513468599E-2</v>
      </c>
      <c r="Z1245" s="14">
        <v>2.54899663494784E-2</v>
      </c>
      <c r="AA1245" s="14"/>
      <c r="AB1245" s="14" t="s">
        <v>76</v>
      </c>
      <c r="AC1245" s="14" t="s">
        <v>76</v>
      </c>
      <c r="AD1245" s="14" t="s">
        <v>76</v>
      </c>
      <c r="AE1245" s="14" t="s">
        <v>76</v>
      </c>
      <c r="AF1245" s="14"/>
      <c r="AG1245" s="14" t="s">
        <v>76</v>
      </c>
      <c r="AH1245" s="14" t="s">
        <v>76</v>
      </c>
      <c r="AI1245" s="14"/>
      <c r="AJ1245" s="14" t="s">
        <v>76</v>
      </c>
      <c r="AK1245" s="14" t="s">
        <v>76</v>
      </c>
      <c r="AL1245" s="14"/>
      <c r="AM1245" s="14">
        <v>3.1107300807140501E-2</v>
      </c>
      <c r="AN1245" s="14">
        <v>3.1539639171385303E-2</v>
      </c>
    </row>
    <row r="1246" spans="2:40" x14ac:dyDescent="0.35">
      <c r="C1246" s="14"/>
      <c r="D1246" s="14"/>
      <c r="E1246" s="14"/>
      <c r="F1246" s="14"/>
      <c r="G1246" s="14"/>
      <c r="H1246" s="14"/>
      <c r="I1246" s="14"/>
      <c r="J1246" s="14"/>
      <c r="K1246" s="14"/>
      <c r="L1246" s="14"/>
      <c r="M1246" s="14"/>
      <c r="N1246" s="14"/>
      <c r="O1246" s="14"/>
      <c r="P1246" s="14"/>
      <c r="Q1246" s="14"/>
      <c r="R1246" s="14"/>
      <c r="S1246" s="14"/>
      <c r="T1246" s="14"/>
      <c r="U1246" s="14"/>
      <c r="V1246" s="14"/>
      <c r="W1246" s="14"/>
      <c r="X1246" s="14"/>
      <c r="Y1246" s="14"/>
      <c r="Z1246" s="14"/>
      <c r="AA1246" s="14"/>
      <c r="AB1246" s="14"/>
      <c r="AC1246" s="14"/>
      <c r="AD1246" s="14"/>
      <c r="AE1246" s="14"/>
      <c r="AF1246" s="14"/>
      <c r="AG1246" s="14"/>
      <c r="AH1246" s="14"/>
      <c r="AI1246" s="14"/>
      <c r="AJ1246" s="14"/>
      <c r="AK1246" s="14"/>
      <c r="AL1246" s="14"/>
      <c r="AM1246" s="14"/>
      <c r="AN1246" s="14"/>
    </row>
    <row r="1247" spans="2:40" x14ac:dyDescent="0.35">
      <c r="B1247" s="6" t="s">
        <v>353</v>
      </c>
      <c r="C1247" s="14"/>
      <c r="D1247" s="14"/>
      <c r="E1247" s="14"/>
      <c r="F1247" s="14"/>
      <c r="G1247" s="14"/>
      <c r="H1247" s="14"/>
      <c r="I1247" s="14"/>
      <c r="J1247" s="14"/>
      <c r="K1247" s="14"/>
      <c r="L1247" s="14"/>
      <c r="M1247" s="14"/>
      <c r="N1247" s="14"/>
      <c r="O1247" s="14"/>
      <c r="P1247" s="14"/>
      <c r="Q1247" s="14"/>
      <c r="R1247" s="14"/>
      <c r="S1247" s="14"/>
      <c r="T1247" s="14"/>
      <c r="U1247" s="14"/>
      <c r="V1247" s="14"/>
      <c r="W1247" s="14"/>
      <c r="X1247" s="14"/>
      <c r="Y1247" s="14"/>
      <c r="Z1247" s="14"/>
      <c r="AA1247" s="14"/>
      <c r="AB1247" s="14"/>
      <c r="AC1247" s="14"/>
      <c r="AD1247" s="14"/>
      <c r="AE1247" s="14"/>
      <c r="AF1247" s="14"/>
      <c r="AG1247" s="14"/>
      <c r="AH1247" s="14"/>
      <c r="AI1247" s="14"/>
      <c r="AJ1247" s="14"/>
      <c r="AK1247" s="14"/>
      <c r="AL1247" s="14"/>
      <c r="AM1247" s="14"/>
      <c r="AN1247" s="14"/>
    </row>
    <row r="1248" spans="2:40" x14ac:dyDescent="0.35">
      <c r="B1248" s="24" t="s">
        <v>89</v>
      </c>
      <c r="C1248" s="14"/>
      <c r="D1248" s="14"/>
      <c r="E1248" s="14"/>
      <c r="F1248" s="14"/>
      <c r="G1248" s="14"/>
      <c r="H1248" s="14"/>
      <c r="I1248" s="14"/>
      <c r="J1248" s="14"/>
      <c r="K1248" s="14"/>
      <c r="L1248" s="14"/>
      <c r="M1248" s="14"/>
      <c r="N1248" s="14"/>
      <c r="O1248" s="14"/>
      <c r="P1248" s="14"/>
      <c r="Q1248" s="14"/>
      <c r="R1248" s="14"/>
      <c r="S1248" s="14"/>
      <c r="T1248" s="14"/>
      <c r="U1248" s="14"/>
      <c r="V1248" s="14"/>
      <c r="W1248" s="14"/>
      <c r="X1248" s="14"/>
      <c r="Y1248" s="14"/>
      <c r="Z1248" s="14"/>
      <c r="AA1248" s="14"/>
      <c r="AB1248" s="14"/>
      <c r="AC1248" s="14"/>
      <c r="AD1248" s="14"/>
      <c r="AE1248" s="14"/>
      <c r="AF1248" s="14"/>
      <c r="AG1248" s="14"/>
      <c r="AH1248" s="14"/>
      <c r="AI1248" s="14"/>
      <c r="AJ1248" s="14"/>
      <c r="AK1248" s="14"/>
      <c r="AL1248" s="14"/>
      <c r="AM1248" s="14"/>
      <c r="AN1248" s="14"/>
    </row>
    <row r="1249" spans="2:40" x14ac:dyDescent="0.35">
      <c r="B1249" t="s">
        <v>344</v>
      </c>
      <c r="C1249" s="14">
        <v>0.60223837482887099</v>
      </c>
      <c r="D1249" s="14">
        <v>0.60192835001399303</v>
      </c>
      <c r="E1249" s="14">
        <v>0.60515559019481702</v>
      </c>
      <c r="F1249" s="14"/>
      <c r="G1249" s="14">
        <v>0.57075795305079902</v>
      </c>
      <c r="H1249" s="14">
        <v>0.64056639272442795</v>
      </c>
      <c r="I1249" s="14" t="s">
        <v>76</v>
      </c>
      <c r="J1249" s="14"/>
      <c r="K1249" s="14">
        <v>0.60223837482887099</v>
      </c>
      <c r="L1249" s="14" t="s">
        <v>76</v>
      </c>
      <c r="M1249" s="14" t="s">
        <v>76</v>
      </c>
      <c r="N1249" s="14"/>
      <c r="O1249" s="14">
        <v>0.610126182475069</v>
      </c>
      <c r="P1249" s="14">
        <v>0.55239309151816895</v>
      </c>
      <c r="Q1249" s="14"/>
      <c r="R1249" s="14">
        <v>0.64488372874368405</v>
      </c>
      <c r="S1249" s="14">
        <v>0.60355772053966095</v>
      </c>
      <c r="T1249" s="14">
        <v>0.52770886134855</v>
      </c>
      <c r="U1249" s="14">
        <v>0.63330112125814397</v>
      </c>
      <c r="V1249" s="14">
        <v>0.52879436260874502</v>
      </c>
      <c r="W1249" s="14">
        <v>0.601945567484094</v>
      </c>
      <c r="X1249" s="14">
        <v>0.67359455846084104</v>
      </c>
      <c r="Y1249" s="14">
        <v>0.61215581938154595</v>
      </c>
      <c r="Z1249" s="14">
        <v>0.57316515295099502</v>
      </c>
      <c r="AA1249" s="14"/>
      <c r="AB1249" s="14" t="s">
        <v>76</v>
      </c>
      <c r="AC1249" s="14" t="s">
        <v>76</v>
      </c>
      <c r="AD1249" s="14" t="s">
        <v>76</v>
      </c>
      <c r="AE1249" s="14" t="s">
        <v>76</v>
      </c>
      <c r="AF1249" s="14"/>
      <c r="AG1249" s="14" t="s">
        <v>76</v>
      </c>
      <c r="AH1249" s="14" t="s">
        <v>76</v>
      </c>
      <c r="AI1249" s="14"/>
      <c r="AJ1249" s="14" t="s">
        <v>76</v>
      </c>
      <c r="AK1249" s="14" t="s">
        <v>76</v>
      </c>
      <c r="AL1249" s="14"/>
      <c r="AM1249" s="14">
        <v>0.62029910837631597</v>
      </c>
      <c r="AN1249" s="14">
        <v>0.60022939049566204</v>
      </c>
    </row>
    <row r="1250" spans="2:40" x14ac:dyDescent="0.35">
      <c r="B1250" t="s">
        <v>345</v>
      </c>
      <c r="C1250" s="14">
        <v>0.12369484572285</v>
      </c>
      <c r="D1250" s="14">
        <v>0.10374944161692699</v>
      </c>
      <c r="E1250" s="14">
        <v>0.14616391122646399</v>
      </c>
      <c r="F1250" s="14"/>
      <c r="G1250" s="14">
        <v>0.11370393313719</v>
      </c>
      <c r="H1250" s="14">
        <v>0.135858973607658</v>
      </c>
      <c r="I1250" s="14" t="s">
        <v>76</v>
      </c>
      <c r="J1250" s="14"/>
      <c r="K1250" s="14">
        <v>0.12369484572285</v>
      </c>
      <c r="L1250" s="14" t="s">
        <v>76</v>
      </c>
      <c r="M1250" s="14" t="s">
        <v>76</v>
      </c>
      <c r="N1250" s="14"/>
      <c r="O1250" s="14">
        <v>0.116065421441527</v>
      </c>
      <c r="P1250" s="14">
        <v>0.20583499093704299</v>
      </c>
      <c r="Q1250" s="14"/>
      <c r="R1250" s="14">
        <v>9.8361857667702599E-2</v>
      </c>
      <c r="S1250" s="14">
        <v>0.14813113267853401</v>
      </c>
      <c r="T1250" s="14">
        <v>0.132266831380248</v>
      </c>
      <c r="U1250" s="14">
        <v>0.173419429766345</v>
      </c>
      <c r="V1250" s="14">
        <v>0.13121556968784701</v>
      </c>
      <c r="W1250" s="14">
        <v>0.10572699126669</v>
      </c>
      <c r="X1250" s="14">
        <v>5.0838987863996002E-2</v>
      </c>
      <c r="Y1250" s="14">
        <v>0.12592230304942301</v>
      </c>
      <c r="Z1250" s="14">
        <v>0.14427883906540001</v>
      </c>
      <c r="AA1250" s="14"/>
      <c r="AB1250" s="14" t="s">
        <v>76</v>
      </c>
      <c r="AC1250" s="14" t="s">
        <v>76</v>
      </c>
      <c r="AD1250" s="14" t="s">
        <v>76</v>
      </c>
      <c r="AE1250" s="14" t="s">
        <v>76</v>
      </c>
      <c r="AF1250" s="14"/>
      <c r="AG1250" s="14" t="s">
        <v>76</v>
      </c>
      <c r="AH1250" s="14" t="s">
        <v>76</v>
      </c>
      <c r="AI1250" s="14"/>
      <c r="AJ1250" s="14" t="s">
        <v>76</v>
      </c>
      <c r="AK1250" s="14" t="s">
        <v>76</v>
      </c>
      <c r="AL1250" s="14"/>
      <c r="AM1250" s="14">
        <v>0.108627291712563</v>
      </c>
      <c r="AN1250" s="14">
        <v>0.16334524097980699</v>
      </c>
    </row>
    <row r="1251" spans="2:40" x14ac:dyDescent="0.35">
      <c r="B1251" t="s">
        <v>346</v>
      </c>
      <c r="C1251" s="14">
        <v>0.22795136378584399</v>
      </c>
      <c r="D1251" s="14">
        <v>0.253452247597592</v>
      </c>
      <c r="E1251" s="14">
        <v>0.19919767843828401</v>
      </c>
      <c r="F1251" s="14"/>
      <c r="G1251" s="14">
        <v>0.26706079605788502</v>
      </c>
      <c r="H1251" s="14">
        <v>0.180334879147382</v>
      </c>
      <c r="I1251" s="14" t="s">
        <v>76</v>
      </c>
      <c r="J1251" s="14"/>
      <c r="K1251" s="14">
        <v>0.22795136378584399</v>
      </c>
      <c r="L1251" s="14" t="s">
        <v>76</v>
      </c>
      <c r="M1251" s="14" t="s">
        <v>76</v>
      </c>
      <c r="N1251" s="14"/>
      <c r="O1251" s="14">
        <v>0.225317344405701</v>
      </c>
      <c r="P1251" s="14">
        <v>0.217746051468063</v>
      </c>
      <c r="Q1251" s="14"/>
      <c r="R1251" s="14">
        <v>0.222319547757792</v>
      </c>
      <c r="S1251" s="14">
        <v>0.20889702292405499</v>
      </c>
      <c r="T1251" s="14">
        <v>0.248296604823488</v>
      </c>
      <c r="U1251" s="14">
        <v>0.15925811297561601</v>
      </c>
      <c r="V1251" s="14">
        <v>0.31059953059093198</v>
      </c>
      <c r="W1251" s="14">
        <v>0.23936623688517999</v>
      </c>
      <c r="X1251" s="14">
        <v>0.23990674122014</v>
      </c>
      <c r="Y1251" s="14">
        <v>0.208413672393957</v>
      </c>
      <c r="Z1251" s="14">
        <v>0.228843941517102</v>
      </c>
      <c r="AA1251" s="14"/>
      <c r="AB1251" s="14" t="s">
        <v>76</v>
      </c>
      <c r="AC1251" s="14" t="s">
        <v>76</v>
      </c>
      <c r="AD1251" s="14" t="s">
        <v>76</v>
      </c>
      <c r="AE1251" s="14" t="s">
        <v>76</v>
      </c>
      <c r="AF1251" s="14"/>
      <c r="AG1251" s="14" t="s">
        <v>76</v>
      </c>
      <c r="AH1251" s="14" t="s">
        <v>76</v>
      </c>
      <c r="AI1251" s="14"/>
      <c r="AJ1251" s="14" t="s">
        <v>76</v>
      </c>
      <c r="AK1251" s="14" t="s">
        <v>76</v>
      </c>
      <c r="AL1251" s="14"/>
      <c r="AM1251" s="14">
        <v>0.23619775274148899</v>
      </c>
      <c r="AN1251" s="14">
        <v>0.16520250619072899</v>
      </c>
    </row>
    <row r="1252" spans="2:40" x14ac:dyDescent="0.35">
      <c r="B1252" t="s">
        <v>70</v>
      </c>
      <c r="C1252" s="14">
        <v>4.6115415662435197E-2</v>
      </c>
      <c r="D1252" s="14">
        <v>4.0869960771488002E-2</v>
      </c>
      <c r="E1252" s="14">
        <v>4.9482820140436201E-2</v>
      </c>
      <c r="F1252" s="14"/>
      <c r="G1252" s="14">
        <v>4.8477317754126899E-2</v>
      </c>
      <c r="H1252" s="14">
        <v>4.32397545205324E-2</v>
      </c>
      <c r="I1252" s="14" t="s">
        <v>76</v>
      </c>
      <c r="J1252" s="14"/>
      <c r="K1252" s="14">
        <v>4.6115415662435197E-2</v>
      </c>
      <c r="L1252" s="14" t="s">
        <v>76</v>
      </c>
      <c r="M1252" s="14" t="s">
        <v>76</v>
      </c>
      <c r="N1252" s="14"/>
      <c r="O1252" s="14">
        <v>4.8491051677702401E-2</v>
      </c>
      <c r="P1252" s="14">
        <v>2.4025866076725501E-2</v>
      </c>
      <c r="Q1252" s="14"/>
      <c r="R1252" s="14">
        <v>3.4434865830821802E-2</v>
      </c>
      <c r="S1252" s="14">
        <v>3.9414123857749901E-2</v>
      </c>
      <c r="T1252" s="14">
        <v>9.1727702447714596E-2</v>
      </c>
      <c r="U1252" s="14">
        <v>3.4021335999894597E-2</v>
      </c>
      <c r="V1252" s="14">
        <v>2.9390537112476401E-2</v>
      </c>
      <c r="W1252" s="14">
        <v>5.2961204364037E-2</v>
      </c>
      <c r="X1252" s="14">
        <v>3.5659712455023099E-2</v>
      </c>
      <c r="Y1252" s="14">
        <v>5.3508205175073598E-2</v>
      </c>
      <c r="Z1252" s="14">
        <v>5.37120664665027E-2</v>
      </c>
      <c r="AA1252" s="14"/>
      <c r="AB1252" s="14" t="s">
        <v>76</v>
      </c>
      <c r="AC1252" s="14" t="s">
        <v>76</v>
      </c>
      <c r="AD1252" s="14" t="s">
        <v>76</v>
      </c>
      <c r="AE1252" s="14" t="s">
        <v>76</v>
      </c>
      <c r="AF1252" s="14"/>
      <c r="AG1252" s="14" t="s">
        <v>76</v>
      </c>
      <c r="AH1252" s="14" t="s">
        <v>76</v>
      </c>
      <c r="AI1252" s="14"/>
      <c r="AJ1252" s="14" t="s">
        <v>76</v>
      </c>
      <c r="AK1252" s="14" t="s">
        <v>76</v>
      </c>
      <c r="AL1252" s="14"/>
      <c r="AM1252" s="14">
        <v>3.4875847169632199E-2</v>
      </c>
      <c r="AN1252" s="14">
        <v>7.1222862333802706E-2</v>
      </c>
    </row>
    <row r="1253" spans="2:40" x14ac:dyDescent="0.35">
      <c r="C1253" s="14"/>
      <c r="D1253" s="14"/>
      <c r="E1253" s="14"/>
      <c r="F1253" s="14"/>
      <c r="G1253" s="14"/>
      <c r="H1253" s="14"/>
      <c r="I1253" s="14"/>
      <c r="J1253" s="14"/>
      <c r="K1253" s="14"/>
      <c r="L1253" s="14"/>
      <c r="M1253" s="14"/>
      <c r="N1253" s="14"/>
      <c r="O1253" s="14"/>
      <c r="P1253" s="14"/>
      <c r="Q1253" s="14"/>
      <c r="R1253" s="14"/>
      <c r="S1253" s="14"/>
      <c r="T1253" s="14"/>
      <c r="U1253" s="14"/>
      <c r="V1253" s="14"/>
      <c r="W1253" s="14"/>
      <c r="X1253" s="14"/>
      <c r="Y1253" s="14"/>
      <c r="Z1253" s="14"/>
      <c r="AA1253" s="14"/>
      <c r="AB1253" s="14"/>
      <c r="AC1253" s="14"/>
      <c r="AD1253" s="14"/>
      <c r="AE1253" s="14"/>
      <c r="AF1253" s="14"/>
      <c r="AG1253" s="14"/>
      <c r="AH1253" s="14"/>
      <c r="AI1253" s="14"/>
      <c r="AJ1253" s="14"/>
      <c r="AK1253" s="14"/>
      <c r="AL1253" s="14"/>
      <c r="AM1253" s="14"/>
      <c r="AN1253" s="14"/>
    </row>
    <row r="1254" spans="2:40" x14ac:dyDescent="0.35">
      <c r="B1254" s="6" t="s">
        <v>354</v>
      </c>
      <c r="C1254" s="14"/>
      <c r="D1254" s="14"/>
      <c r="E1254" s="14"/>
      <c r="F1254" s="14"/>
      <c r="G1254" s="14"/>
      <c r="H1254" s="14"/>
      <c r="I1254" s="14"/>
      <c r="J1254" s="14"/>
      <c r="K1254" s="14"/>
      <c r="L1254" s="14"/>
      <c r="M1254" s="14"/>
      <c r="N1254" s="14"/>
      <c r="O1254" s="14"/>
      <c r="P1254" s="14"/>
      <c r="Q1254" s="14"/>
      <c r="R1254" s="14"/>
      <c r="S1254" s="14"/>
      <c r="T1254" s="14"/>
      <c r="U1254" s="14"/>
      <c r="V1254" s="14"/>
      <c r="W1254" s="14"/>
      <c r="X1254" s="14"/>
      <c r="Y1254" s="14"/>
      <c r="Z1254" s="14"/>
      <c r="AA1254" s="14"/>
      <c r="AB1254" s="14"/>
      <c r="AC1254" s="14"/>
      <c r="AD1254" s="14"/>
      <c r="AE1254" s="14"/>
      <c r="AF1254" s="14"/>
      <c r="AG1254" s="14"/>
      <c r="AH1254" s="14"/>
      <c r="AI1254" s="14"/>
      <c r="AJ1254" s="14"/>
      <c r="AK1254" s="14"/>
      <c r="AL1254" s="14"/>
      <c r="AM1254" s="14"/>
      <c r="AN1254" s="14"/>
    </row>
    <row r="1255" spans="2:40" x14ac:dyDescent="0.35">
      <c r="B1255" s="24" t="s">
        <v>89</v>
      </c>
      <c r="C1255" s="14"/>
      <c r="D1255" s="14"/>
      <c r="E1255" s="14"/>
      <c r="F1255" s="14"/>
      <c r="G1255" s="14"/>
      <c r="H1255" s="14"/>
      <c r="I1255" s="14"/>
      <c r="J1255" s="14"/>
      <c r="K1255" s="14"/>
      <c r="L1255" s="14"/>
      <c r="M1255" s="14"/>
      <c r="N1255" s="14"/>
      <c r="O1255" s="14"/>
      <c r="P1255" s="14"/>
      <c r="Q1255" s="14"/>
      <c r="R1255" s="14"/>
      <c r="S1255" s="14"/>
      <c r="T1255" s="14"/>
      <c r="U1255" s="14"/>
      <c r="V1255" s="14"/>
      <c r="W1255" s="14"/>
      <c r="X1255" s="14"/>
      <c r="Y1255" s="14"/>
      <c r="Z1255" s="14"/>
      <c r="AA1255" s="14"/>
      <c r="AB1255" s="14"/>
      <c r="AC1255" s="14"/>
      <c r="AD1255" s="14"/>
      <c r="AE1255" s="14"/>
      <c r="AF1255" s="14"/>
      <c r="AG1255" s="14"/>
      <c r="AH1255" s="14"/>
      <c r="AI1255" s="14"/>
      <c r="AJ1255" s="14"/>
      <c r="AK1255" s="14"/>
      <c r="AL1255" s="14"/>
      <c r="AM1255" s="14"/>
      <c r="AN1255" s="14"/>
    </row>
    <row r="1256" spans="2:40" x14ac:dyDescent="0.35">
      <c r="B1256" t="s">
        <v>344</v>
      </c>
      <c r="C1256" s="14">
        <v>0.43985047605931898</v>
      </c>
      <c r="D1256" s="14">
        <v>0.43675803768058102</v>
      </c>
      <c r="E1256" s="14">
        <v>0.443455873436649</v>
      </c>
      <c r="F1256" s="14"/>
      <c r="G1256" s="14">
        <v>0.39193159186960103</v>
      </c>
      <c r="H1256" s="14">
        <v>0.49819263753690002</v>
      </c>
      <c r="I1256" s="14" t="s">
        <v>76</v>
      </c>
      <c r="J1256" s="14"/>
      <c r="K1256" s="14">
        <v>0.43985047605931898</v>
      </c>
      <c r="L1256" s="14" t="s">
        <v>76</v>
      </c>
      <c r="M1256" s="14" t="s">
        <v>76</v>
      </c>
      <c r="N1256" s="14"/>
      <c r="O1256" s="14">
        <v>0.42777524346921503</v>
      </c>
      <c r="P1256" s="14">
        <v>0.52277853406167296</v>
      </c>
      <c r="Q1256" s="14"/>
      <c r="R1256" s="14">
        <v>0.53802772266981302</v>
      </c>
      <c r="S1256" s="14">
        <v>0.43136160788422201</v>
      </c>
      <c r="T1256" s="14">
        <v>0.415369117170864</v>
      </c>
      <c r="U1256" s="14">
        <v>0.367816288800691</v>
      </c>
      <c r="V1256" s="14">
        <v>0.41526431770257699</v>
      </c>
      <c r="W1256" s="14">
        <v>0.44787846826092298</v>
      </c>
      <c r="X1256" s="14">
        <v>0.52379978876414501</v>
      </c>
      <c r="Y1256" s="14">
        <v>0.37106098804841398</v>
      </c>
      <c r="Z1256" s="14">
        <v>0.37548509074561498</v>
      </c>
      <c r="AA1256" s="14"/>
      <c r="AB1256" s="14" t="s">
        <v>76</v>
      </c>
      <c r="AC1256" s="14" t="s">
        <v>76</v>
      </c>
      <c r="AD1256" s="14" t="s">
        <v>76</v>
      </c>
      <c r="AE1256" s="14" t="s">
        <v>76</v>
      </c>
      <c r="AF1256" s="14"/>
      <c r="AG1256" s="14" t="s">
        <v>76</v>
      </c>
      <c r="AH1256" s="14" t="s">
        <v>76</v>
      </c>
      <c r="AI1256" s="14"/>
      <c r="AJ1256" s="14" t="s">
        <v>76</v>
      </c>
      <c r="AK1256" s="14" t="s">
        <v>76</v>
      </c>
      <c r="AL1256" s="14"/>
      <c r="AM1256" s="14">
        <v>0.48735035474048999</v>
      </c>
      <c r="AN1256" s="14">
        <v>0.31536200949537102</v>
      </c>
    </row>
    <row r="1257" spans="2:40" x14ac:dyDescent="0.35">
      <c r="B1257" t="s">
        <v>345</v>
      </c>
      <c r="C1257" s="14">
        <v>0.17433230170550601</v>
      </c>
      <c r="D1257" s="14">
        <v>0.17393398902629401</v>
      </c>
      <c r="E1257" s="14">
        <v>0.17551618479686201</v>
      </c>
      <c r="F1257" s="14"/>
      <c r="G1257" s="14">
        <v>0.16001241731937299</v>
      </c>
      <c r="H1257" s="14">
        <v>0.19176703586768701</v>
      </c>
      <c r="I1257" s="14" t="s">
        <v>76</v>
      </c>
      <c r="J1257" s="14"/>
      <c r="K1257" s="14">
        <v>0.17433230170550601</v>
      </c>
      <c r="L1257" s="14" t="s">
        <v>76</v>
      </c>
      <c r="M1257" s="14" t="s">
        <v>76</v>
      </c>
      <c r="N1257" s="14"/>
      <c r="O1257" s="14">
        <v>0.17549701231748699</v>
      </c>
      <c r="P1257" s="14">
        <v>0.18537476263993999</v>
      </c>
      <c r="Q1257" s="14"/>
      <c r="R1257" s="14">
        <v>0.15880728588665799</v>
      </c>
      <c r="S1257" s="14">
        <v>0.16248370322720501</v>
      </c>
      <c r="T1257" s="14">
        <v>0.17160457032537499</v>
      </c>
      <c r="U1257" s="14">
        <v>0.21198383281041799</v>
      </c>
      <c r="V1257" s="14">
        <v>0.18035343137434201</v>
      </c>
      <c r="W1257" s="14">
        <v>0.200240770110684</v>
      </c>
      <c r="X1257" s="14">
        <v>0.133083143067493</v>
      </c>
      <c r="Y1257" s="14">
        <v>0.13186085186836399</v>
      </c>
      <c r="Z1257" s="14">
        <v>0.202087530139199</v>
      </c>
      <c r="AA1257" s="14"/>
      <c r="AB1257" s="14" t="s">
        <v>76</v>
      </c>
      <c r="AC1257" s="14" t="s">
        <v>76</v>
      </c>
      <c r="AD1257" s="14" t="s">
        <v>76</v>
      </c>
      <c r="AE1257" s="14" t="s">
        <v>76</v>
      </c>
      <c r="AF1257" s="14"/>
      <c r="AG1257" s="14" t="s">
        <v>76</v>
      </c>
      <c r="AH1257" s="14" t="s">
        <v>76</v>
      </c>
      <c r="AI1257" s="14"/>
      <c r="AJ1257" s="14" t="s">
        <v>76</v>
      </c>
      <c r="AK1257" s="14" t="s">
        <v>76</v>
      </c>
      <c r="AL1257" s="14"/>
      <c r="AM1257" s="14">
        <v>0.15723481611579099</v>
      </c>
      <c r="AN1257" s="14">
        <v>0.227981578638773</v>
      </c>
    </row>
    <row r="1258" spans="2:40" x14ac:dyDescent="0.35">
      <c r="B1258" t="s">
        <v>346</v>
      </c>
      <c r="C1258" s="14">
        <v>0.22893946015248601</v>
      </c>
      <c r="D1258" s="14">
        <v>0.229753754159079</v>
      </c>
      <c r="E1258" s="14">
        <v>0.22902306873157199</v>
      </c>
      <c r="F1258" s="14"/>
      <c r="G1258" s="14">
        <v>0.250332792076495</v>
      </c>
      <c r="H1258" s="14">
        <v>0.20289266781248799</v>
      </c>
      <c r="I1258" s="14" t="s">
        <v>76</v>
      </c>
      <c r="J1258" s="14"/>
      <c r="K1258" s="14">
        <v>0.22893946015248601</v>
      </c>
      <c r="L1258" s="14" t="s">
        <v>76</v>
      </c>
      <c r="M1258" s="14" t="s">
        <v>76</v>
      </c>
      <c r="N1258" s="14"/>
      <c r="O1258" s="14">
        <v>0.22893840757772699</v>
      </c>
      <c r="P1258" s="14">
        <v>0.231281556705282</v>
      </c>
      <c r="Q1258" s="14"/>
      <c r="R1258" s="14">
        <v>0.18858992969563201</v>
      </c>
      <c r="S1258" s="14">
        <v>0.24025131571436101</v>
      </c>
      <c r="T1258" s="14">
        <v>0.22377939061635099</v>
      </c>
      <c r="U1258" s="14">
        <v>0.240927740778592</v>
      </c>
      <c r="V1258" s="14">
        <v>0.25402041713866302</v>
      </c>
      <c r="W1258" s="14">
        <v>0.20321156633992399</v>
      </c>
      <c r="X1258" s="14">
        <v>0.23428909868247599</v>
      </c>
      <c r="Y1258" s="14">
        <v>0.29416002748569398</v>
      </c>
      <c r="Z1258" s="14">
        <v>0.23448008972763901</v>
      </c>
      <c r="AA1258" s="14"/>
      <c r="AB1258" s="14" t="s">
        <v>76</v>
      </c>
      <c r="AC1258" s="14" t="s">
        <v>76</v>
      </c>
      <c r="AD1258" s="14" t="s">
        <v>76</v>
      </c>
      <c r="AE1258" s="14" t="s">
        <v>76</v>
      </c>
      <c r="AF1258" s="14"/>
      <c r="AG1258" s="14" t="s">
        <v>76</v>
      </c>
      <c r="AH1258" s="14" t="s">
        <v>76</v>
      </c>
      <c r="AI1258" s="14"/>
      <c r="AJ1258" s="14" t="s">
        <v>76</v>
      </c>
      <c r="AK1258" s="14" t="s">
        <v>76</v>
      </c>
      <c r="AL1258" s="14"/>
      <c r="AM1258" s="14">
        <v>0.21272923587860099</v>
      </c>
      <c r="AN1258" s="14">
        <v>0.26664819459252298</v>
      </c>
    </row>
    <row r="1259" spans="2:40" x14ac:dyDescent="0.35">
      <c r="B1259" t="s">
        <v>70</v>
      </c>
      <c r="C1259" s="14">
        <v>0.156877762082689</v>
      </c>
      <c r="D1259" s="14">
        <v>0.15955421913404699</v>
      </c>
      <c r="E1259" s="14">
        <v>0.152004873034917</v>
      </c>
      <c r="F1259" s="14"/>
      <c r="G1259" s="14">
        <v>0.19772319873453101</v>
      </c>
      <c r="H1259" s="14">
        <v>0.107147658782925</v>
      </c>
      <c r="I1259" s="14" t="s">
        <v>76</v>
      </c>
      <c r="J1259" s="14"/>
      <c r="K1259" s="14">
        <v>0.156877762082689</v>
      </c>
      <c r="L1259" s="14" t="s">
        <v>76</v>
      </c>
      <c r="M1259" s="14" t="s">
        <v>76</v>
      </c>
      <c r="N1259" s="14"/>
      <c r="O1259" s="14">
        <v>0.167789336635572</v>
      </c>
      <c r="P1259" s="14">
        <v>6.0565146593105003E-2</v>
      </c>
      <c r="Q1259" s="14"/>
      <c r="R1259" s="14">
        <v>0.114575061747897</v>
      </c>
      <c r="S1259" s="14">
        <v>0.165903373174213</v>
      </c>
      <c r="T1259" s="14">
        <v>0.18924692188740899</v>
      </c>
      <c r="U1259" s="14">
        <v>0.179272137610299</v>
      </c>
      <c r="V1259" s="14">
        <v>0.15036183378442</v>
      </c>
      <c r="W1259" s="14">
        <v>0.148669195288468</v>
      </c>
      <c r="X1259" s="14">
        <v>0.10882796948588599</v>
      </c>
      <c r="Y1259" s="14">
        <v>0.202918132597528</v>
      </c>
      <c r="Z1259" s="14">
        <v>0.18794728938754701</v>
      </c>
      <c r="AA1259" s="14"/>
      <c r="AB1259" s="14" t="s">
        <v>76</v>
      </c>
      <c r="AC1259" s="14" t="s">
        <v>76</v>
      </c>
      <c r="AD1259" s="14" t="s">
        <v>76</v>
      </c>
      <c r="AE1259" s="14" t="s">
        <v>76</v>
      </c>
      <c r="AF1259" s="14"/>
      <c r="AG1259" s="14" t="s">
        <v>76</v>
      </c>
      <c r="AH1259" s="14" t="s">
        <v>76</v>
      </c>
      <c r="AI1259" s="14"/>
      <c r="AJ1259" s="14" t="s">
        <v>76</v>
      </c>
      <c r="AK1259" s="14" t="s">
        <v>76</v>
      </c>
      <c r="AL1259" s="14"/>
      <c r="AM1259" s="14">
        <v>0.14268559326511801</v>
      </c>
      <c r="AN1259" s="14">
        <v>0.190008217273332</v>
      </c>
    </row>
    <row r="1260" spans="2:40" x14ac:dyDescent="0.35">
      <c r="C1260" s="14"/>
      <c r="D1260" s="14"/>
      <c r="E1260" s="14"/>
      <c r="F1260" s="14"/>
      <c r="G1260" s="14"/>
      <c r="H1260" s="14"/>
      <c r="I1260" s="14"/>
      <c r="J1260" s="14"/>
      <c r="K1260" s="14"/>
      <c r="L1260" s="14"/>
      <c r="M1260" s="14"/>
      <c r="N1260" s="14"/>
      <c r="O1260" s="14"/>
      <c r="P1260" s="14"/>
      <c r="Q1260" s="14"/>
      <c r="R1260" s="14"/>
      <c r="S1260" s="14"/>
      <c r="T1260" s="14"/>
      <c r="U1260" s="14"/>
      <c r="V1260" s="14"/>
      <c r="W1260" s="14"/>
      <c r="X1260" s="14"/>
      <c r="Y1260" s="14"/>
      <c r="Z1260" s="14"/>
      <c r="AA1260" s="14"/>
      <c r="AB1260" s="14"/>
      <c r="AC1260" s="14"/>
      <c r="AD1260" s="14"/>
      <c r="AE1260" s="14"/>
      <c r="AF1260" s="14"/>
      <c r="AG1260" s="14"/>
      <c r="AH1260" s="14"/>
      <c r="AI1260" s="14"/>
      <c r="AJ1260" s="14"/>
      <c r="AK1260" s="14"/>
      <c r="AL1260" s="14"/>
      <c r="AM1260" s="14"/>
      <c r="AN1260" s="14"/>
    </row>
    <row r="1261" spans="2:40" x14ac:dyDescent="0.35">
      <c r="B1261" s="6" t="s">
        <v>355</v>
      </c>
      <c r="C1261" s="14"/>
      <c r="D1261" s="14"/>
      <c r="E1261" s="14"/>
      <c r="F1261" s="14"/>
      <c r="G1261" s="14"/>
      <c r="H1261" s="14"/>
      <c r="I1261" s="14"/>
      <c r="J1261" s="14"/>
      <c r="K1261" s="14"/>
      <c r="L1261" s="14"/>
      <c r="M1261" s="14"/>
      <c r="N1261" s="14"/>
      <c r="O1261" s="14"/>
      <c r="P1261" s="14"/>
      <c r="Q1261" s="14"/>
      <c r="R1261" s="14"/>
      <c r="S1261" s="14"/>
      <c r="T1261" s="14"/>
      <c r="U1261" s="14"/>
      <c r="V1261" s="14"/>
      <c r="W1261" s="14"/>
      <c r="X1261" s="14"/>
      <c r="Y1261" s="14"/>
      <c r="Z1261" s="14"/>
      <c r="AA1261" s="14"/>
      <c r="AB1261" s="14"/>
      <c r="AC1261" s="14"/>
      <c r="AD1261" s="14"/>
      <c r="AE1261" s="14"/>
      <c r="AF1261" s="14"/>
      <c r="AG1261" s="14"/>
      <c r="AH1261" s="14"/>
      <c r="AI1261" s="14"/>
      <c r="AJ1261" s="14"/>
      <c r="AK1261" s="14"/>
      <c r="AL1261" s="14"/>
      <c r="AM1261" s="14"/>
      <c r="AN1261" s="14"/>
    </row>
    <row r="1262" spans="2:40" x14ac:dyDescent="0.35">
      <c r="B1262" s="24" t="s">
        <v>89</v>
      </c>
      <c r="C1262" s="14"/>
      <c r="D1262" s="14"/>
      <c r="E1262" s="14"/>
      <c r="F1262" s="14"/>
      <c r="G1262" s="14"/>
      <c r="H1262" s="14"/>
      <c r="I1262" s="14"/>
      <c r="J1262" s="14"/>
      <c r="K1262" s="14"/>
      <c r="L1262" s="14"/>
      <c r="M1262" s="14"/>
      <c r="N1262" s="14"/>
      <c r="O1262" s="14"/>
      <c r="P1262" s="14"/>
      <c r="Q1262" s="14"/>
      <c r="R1262" s="14"/>
      <c r="S1262" s="14"/>
      <c r="T1262" s="14"/>
      <c r="U1262" s="14"/>
      <c r="V1262" s="14"/>
      <c r="W1262" s="14"/>
      <c r="X1262" s="14"/>
      <c r="Y1262" s="14"/>
      <c r="Z1262" s="14"/>
      <c r="AA1262" s="14"/>
      <c r="AB1262" s="14"/>
      <c r="AC1262" s="14"/>
      <c r="AD1262" s="14"/>
      <c r="AE1262" s="14"/>
      <c r="AF1262" s="14"/>
      <c r="AG1262" s="14"/>
      <c r="AH1262" s="14"/>
      <c r="AI1262" s="14"/>
      <c r="AJ1262" s="14"/>
      <c r="AK1262" s="14"/>
      <c r="AL1262" s="14"/>
      <c r="AM1262" s="14"/>
      <c r="AN1262" s="14"/>
    </row>
    <row r="1263" spans="2:40" x14ac:dyDescent="0.35">
      <c r="B1263" t="s">
        <v>344</v>
      </c>
      <c r="C1263" s="14">
        <v>0.61670899358212605</v>
      </c>
      <c r="D1263" s="14">
        <v>0.60401550486163202</v>
      </c>
      <c r="E1263" s="14">
        <v>0.63163208859865605</v>
      </c>
      <c r="F1263" s="14"/>
      <c r="G1263" s="14">
        <v>0.57187074555202999</v>
      </c>
      <c r="H1263" s="14">
        <v>0.67130042139139601</v>
      </c>
      <c r="I1263" s="14" t="s">
        <v>76</v>
      </c>
      <c r="J1263" s="14"/>
      <c r="K1263" s="14">
        <v>0.61670899358212605</v>
      </c>
      <c r="L1263" s="14" t="s">
        <v>76</v>
      </c>
      <c r="M1263" s="14" t="s">
        <v>76</v>
      </c>
      <c r="N1263" s="14"/>
      <c r="O1263" s="14">
        <v>0.61074915600110302</v>
      </c>
      <c r="P1263" s="14">
        <v>0.66519785658561204</v>
      </c>
      <c r="Q1263" s="14"/>
      <c r="R1263" s="14">
        <v>0.70739966125486697</v>
      </c>
      <c r="S1263" s="14">
        <v>0.62722896324215305</v>
      </c>
      <c r="T1263" s="14">
        <v>0.60322366529090998</v>
      </c>
      <c r="U1263" s="14">
        <v>0.578713936482675</v>
      </c>
      <c r="V1263" s="14">
        <v>0.64210560277125905</v>
      </c>
      <c r="W1263" s="14">
        <v>0.560429518320955</v>
      </c>
      <c r="X1263" s="14">
        <v>0.62116788357822905</v>
      </c>
      <c r="Y1263" s="14">
        <v>0.66040509951690296</v>
      </c>
      <c r="Z1263" s="14">
        <v>0.53951167623594998</v>
      </c>
      <c r="AA1263" s="14"/>
      <c r="AB1263" s="14" t="s">
        <v>76</v>
      </c>
      <c r="AC1263" s="14" t="s">
        <v>76</v>
      </c>
      <c r="AD1263" s="14" t="s">
        <v>76</v>
      </c>
      <c r="AE1263" s="14" t="s">
        <v>76</v>
      </c>
      <c r="AF1263" s="14"/>
      <c r="AG1263" s="14" t="s">
        <v>76</v>
      </c>
      <c r="AH1263" s="14" t="s">
        <v>76</v>
      </c>
      <c r="AI1263" s="14"/>
      <c r="AJ1263" s="14" t="s">
        <v>76</v>
      </c>
      <c r="AK1263" s="14" t="s">
        <v>76</v>
      </c>
      <c r="AL1263" s="14"/>
      <c r="AM1263" s="14">
        <v>0.65654086269811696</v>
      </c>
      <c r="AN1263" s="14">
        <v>0.50938984640102702</v>
      </c>
    </row>
    <row r="1264" spans="2:40" x14ac:dyDescent="0.35">
      <c r="B1264" t="s">
        <v>345</v>
      </c>
      <c r="C1264" s="14">
        <v>0.16231599354540799</v>
      </c>
      <c r="D1264" s="14">
        <v>0.165275331598708</v>
      </c>
      <c r="E1264" s="14">
        <v>0.15715519855552501</v>
      </c>
      <c r="F1264" s="14"/>
      <c r="G1264" s="14">
        <v>0.15078423965615401</v>
      </c>
      <c r="H1264" s="14">
        <v>0.176356125299371</v>
      </c>
      <c r="I1264" s="14" t="s">
        <v>76</v>
      </c>
      <c r="J1264" s="14"/>
      <c r="K1264" s="14">
        <v>0.16231599354540799</v>
      </c>
      <c r="L1264" s="14" t="s">
        <v>76</v>
      </c>
      <c r="M1264" s="14" t="s">
        <v>76</v>
      </c>
      <c r="N1264" s="14"/>
      <c r="O1264" s="14">
        <v>0.16140561763191</v>
      </c>
      <c r="P1264" s="14">
        <v>0.189996803759612</v>
      </c>
      <c r="Q1264" s="14"/>
      <c r="R1264" s="14">
        <v>0.14921002553656601</v>
      </c>
      <c r="S1264" s="14">
        <v>0.157937723100883</v>
      </c>
      <c r="T1264" s="14">
        <v>0.16133141714169799</v>
      </c>
      <c r="U1264" s="14">
        <v>0.15908951544567501</v>
      </c>
      <c r="V1264" s="14">
        <v>0.14522993419757499</v>
      </c>
      <c r="W1264" s="14">
        <v>0.19853181490461999</v>
      </c>
      <c r="X1264" s="14">
        <v>0.14659137822177301</v>
      </c>
      <c r="Y1264" s="14">
        <v>0.21312926852203401</v>
      </c>
      <c r="Z1264" s="14">
        <v>0.16691954057736599</v>
      </c>
      <c r="AA1264" s="14"/>
      <c r="AB1264" s="14" t="s">
        <v>76</v>
      </c>
      <c r="AC1264" s="14" t="s">
        <v>76</v>
      </c>
      <c r="AD1264" s="14" t="s">
        <v>76</v>
      </c>
      <c r="AE1264" s="14" t="s">
        <v>76</v>
      </c>
      <c r="AF1264" s="14"/>
      <c r="AG1264" s="14" t="s">
        <v>76</v>
      </c>
      <c r="AH1264" s="14" t="s">
        <v>76</v>
      </c>
      <c r="AI1264" s="14"/>
      <c r="AJ1264" s="14" t="s">
        <v>76</v>
      </c>
      <c r="AK1264" s="14" t="s">
        <v>76</v>
      </c>
      <c r="AL1264" s="14"/>
      <c r="AM1264" s="14">
        <v>0.14176693513312499</v>
      </c>
      <c r="AN1264" s="14">
        <v>0.22867512505387</v>
      </c>
    </row>
    <row r="1265" spans="2:40" x14ac:dyDescent="0.35">
      <c r="B1265" t="s">
        <v>346</v>
      </c>
      <c r="C1265" s="14">
        <v>0.123413475303094</v>
      </c>
      <c r="D1265" s="14">
        <v>0.129457976396088</v>
      </c>
      <c r="E1265" s="14">
        <v>0.117292450638212</v>
      </c>
      <c r="F1265" s="14"/>
      <c r="G1265" s="14">
        <v>0.14641781556602801</v>
      </c>
      <c r="H1265" s="14">
        <v>9.5405249381311993E-2</v>
      </c>
      <c r="I1265" s="14" t="s">
        <v>76</v>
      </c>
      <c r="J1265" s="14"/>
      <c r="K1265" s="14">
        <v>0.123413475303094</v>
      </c>
      <c r="L1265" s="14" t="s">
        <v>76</v>
      </c>
      <c r="M1265" s="14" t="s">
        <v>76</v>
      </c>
      <c r="N1265" s="14"/>
      <c r="O1265" s="14">
        <v>0.12468499193942099</v>
      </c>
      <c r="P1265" s="14">
        <v>0.123672202767654</v>
      </c>
      <c r="Q1265" s="14"/>
      <c r="R1265" s="14">
        <v>0.131671266760886</v>
      </c>
      <c r="S1265" s="14">
        <v>9.3597084228366101E-2</v>
      </c>
      <c r="T1265" s="14">
        <v>0.11350023641568099</v>
      </c>
      <c r="U1265" s="14">
        <v>0.15069126832000199</v>
      </c>
      <c r="V1265" s="14">
        <v>0.10278870601066301</v>
      </c>
      <c r="W1265" s="14">
        <v>0.114297547599348</v>
      </c>
      <c r="X1265" s="14">
        <v>0.15670459032022299</v>
      </c>
      <c r="Y1265" s="14">
        <v>7.3882857628208606E-2</v>
      </c>
      <c r="Z1265" s="14">
        <v>0.14545169101443201</v>
      </c>
      <c r="AA1265" s="14"/>
      <c r="AB1265" s="14" t="s">
        <v>76</v>
      </c>
      <c r="AC1265" s="14" t="s">
        <v>76</v>
      </c>
      <c r="AD1265" s="14" t="s">
        <v>76</v>
      </c>
      <c r="AE1265" s="14" t="s">
        <v>76</v>
      </c>
      <c r="AF1265" s="14"/>
      <c r="AG1265" s="14" t="s">
        <v>76</v>
      </c>
      <c r="AH1265" s="14" t="s">
        <v>76</v>
      </c>
      <c r="AI1265" s="14"/>
      <c r="AJ1265" s="14" t="s">
        <v>76</v>
      </c>
      <c r="AK1265" s="14" t="s">
        <v>76</v>
      </c>
      <c r="AL1265" s="14"/>
      <c r="AM1265" s="14">
        <v>0.12005088621467901</v>
      </c>
      <c r="AN1265" s="14">
        <v>0.120918880622925</v>
      </c>
    </row>
    <row r="1266" spans="2:40" x14ac:dyDescent="0.35">
      <c r="B1266" t="s">
        <v>70</v>
      </c>
      <c r="C1266" s="14">
        <v>9.7561537569371706E-2</v>
      </c>
      <c r="D1266" s="14">
        <v>0.10125118714357199</v>
      </c>
      <c r="E1266" s="14">
        <v>9.3920262207607894E-2</v>
      </c>
      <c r="F1266" s="14"/>
      <c r="G1266" s="14">
        <v>0.13092719922578799</v>
      </c>
      <c r="H1266" s="14">
        <v>5.69382039279209E-2</v>
      </c>
      <c r="I1266" s="14" t="s">
        <v>76</v>
      </c>
      <c r="J1266" s="14"/>
      <c r="K1266" s="14">
        <v>9.7561537569371706E-2</v>
      </c>
      <c r="L1266" s="14" t="s">
        <v>76</v>
      </c>
      <c r="M1266" s="14" t="s">
        <v>76</v>
      </c>
      <c r="N1266" s="14"/>
      <c r="O1266" s="14">
        <v>0.103160234427566</v>
      </c>
      <c r="P1266" s="14">
        <v>2.1133136887122199E-2</v>
      </c>
      <c r="Q1266" s="14"/>
      <c r="R1266" s="14">
        <v>1.17190464476813E-2</v>
      </c>
      <c r="S1266" s="14">
        <v>0.12123622942859801</v>
      </c>
      <c r="T1266" s="14">
        <v>0.121944681151711</v>
      </c>
      <c r="U1266" s="14">
        <v>0.11150527975164699</v>
      </c>
      <c r="V1266" s="14">
        <v>0.10987575702050401</v>
      </c>
      <c r="W1266" s="14">
        <v>0.12674111917507699</v>
      </c>
      <c r="X1266" s="14">
        <v>7.5536147879775098E-2</v>
      </c>
      <c r="Y1266" s="14">
        <v>5.2582774332854298E-2</v>
      </c>
      <c r="Z1266" s="14">
        <v>0.148117092172252</v>
      </c>
      <c r="AA1266" s="14"/>
      <c r="AB1266" s="14" t="s">
        <v>76</v>
      </c>
      <c r="AC1266" s="14" t="s">
        <v>76</v>
      </c>
      <c r="AD1266" s="14" t="s">
        <v>76</v>
      </c>
      <c r="AE1266" s="14" t="s">
        <v>76</v>
      </c>
      <c r="AF1266" s="14"/>
      <c r="AG1266" s="14" t="s">
        <v>76</v>
      </c>
      <c r="AH1266" s="14" t="s">
        <v>76</v>
      </c>
      <c r="AI1266" s="14"/>
      <c r="AJ1266" s="14" t="s">
        <v>76</v>
      </c>
      <c r="AK1266" s="14" t="s">
        <v>76</v>
      </c>
      <c r="AL1266" s="14"/>
      <c r="AM1266" s="14">
        <v>8.1641315954078197E-2</v>
      </c>
      <c r="AN1266" s="14">
        <v>0.14101614792217701</v>
      </c>
    </row>
    <row r="1267" spans="2:40" x14ac:dyDescent="0.35">
      <c r="C1267" s="14"/>
      <c r="D1267" s="14"/>
      <c r="E1267" s="14"/>
      <c r="F1267" s="14"/>
      <c r="G1267" s="14"/>
      <c r="H1267" s="14"/>
      <c r="I1267" s="14"/>
      <c r="J1267" s="14"/>
      <c r="K1267" s="14"/>
      <c r="L1267" s="14"/>
      <c r="M1267" s="14"/>
      <c r="N1267" s="14"/>
      <c r="O1267" s="14"/>
      <c r="P1267" s="14"/>
      <c r="Q1267" s="14"/>
      <c r="R1267" s="14"/>
      <c r="S1267" s="14"/>
      <c r="T1267" s="14"/>
      <c r="U1267" s="14"/>
      <c r="V1267" s="14"/>
      <c r="W1267" s="14"/>
      <c r="X1267" s="14"/>
      <c r="Y1267" s="14"/>
      <c r="Z1267" s="14"/>
      <c r="AA1267" s="14"/>
      <c r="AB1267" s="14"/>
      <c r="AC1267" s="14"/>
      <c r="AD1267" s="14"/>
      <c r="AE1267" s="14"/>
      <c r="AF1267" s="14"/>
      <c r="AG1267" s="14"/>
      <c r="AH1267" s="14"/>
      <c r="AI1267" s="14"/>
      <c r="AJ1267" s="14"/>
      <c r="AK1267" s="14"/>
      <c r="AL1267" s="14"/>
      <c r="AM1267" s="14"/>
      <c r="AN1267" s="14"/>
    </row>
    <row r="1268" spans="2:40" x14ac:dyDescent="0.35">
      <c r="B1268" s="6" t="s">
        <v>358</v>
      </c>
      <c r="C1268" s="14"/>
      <c r="D1268" s="14"/>
      <c r="E1268" s="14"/>
      <c r="F1268" s="14"/>
      <c r="G1268" s="14"/>
      <c r="H1268" s="14"/>
      <c r="I1268" s="14"/>
      <c r="J1268" s="14"/>
      <c r="K1268" s="14"/>
      <c r="L1268" s="14"/>
      <c r="M1268" s="14"/>
      <c r="N1268" s="14"/>
      <c r="O1268" s="14"/>
      <c r="P1268" s="14"/>
      <c r="Q1268" s="14"/>
      <c r="R1268" s="14"/>
      <c r="S1268" s="14"/>
      <c r="T1268" s="14"/>
      <c r="U1268" s="14"/>
      <c r="V1268" s="14"/>
      <c r="W1268" s="14"/>
      <c r="X1268" s="14"/>
      <c r="Y1268" s="14"/>
      <c r="Z1268" s="14"/>
      <c r="AA1268" s="14"/>
      <c r="AB1268" s="14"/>
      <c r="AC1268" s="14"/>
      <c r="AD1268" s="14"/>
      <c r="AE1268" s="14"/>
      <c r="AF1268" s="14"/>
      <c r="AG1268" s="14"/>
      <c r="AH1268" s="14"/>
      <c r="AI1268" s="14"/>
      <c r="AJ1268" s="14"/>
      <c r="AK1268" s="14"/>
      <c r="AL1268" s="14"/>
      <c r="AM1268" s="14"/>
      <c r="AN1268" s="14"/>
    </row>
    <row r="1269" spans="2:40" x14ac:dyDescent="0.35">
      <c r="B1269" s="24" t="s">
        <v>74</v>
      </c>
      <c r="C1269" s="14"/>
      <c r="D1269" s="14"/>
      <c r="E1269" s="14"/>
      <c r="F1269" s="14"/>
      <c r="G1269" s="14"/>
      <c r="H1269" s="14"/>
      <c r="I1269" s="14"/>
      <c r="J1269" s="14"/>
      <c r="K1269" s="14"/>
      <c r="L1269" s="14"/>
      <c r="M1269" s="14"/>
      <c r="N1269" s="14"/>
      <c r="O1269" s="14"/>
      <c r="P1269" s="14"/>
      <c r="Q1269" s="14"/>
      <c r="R1269" s="14"/>
      <c r="S1269" s="14"/>
      <c r="T1269" s="14"/>
      <c r="U1269" s="14"/>
      <c r="V1269" s="14"/>
      <c r="W1269" s="14"/>
      <c r="X1269" s="14"/>
      <c r="Y1269" s="14"/>
      <c r="Z1269" s="14"/>
      <c r="AA1269" s="14"/>
      <c r="AB1269" s="14"/>
      <c r="AC1269" s="14"/>
      <c r="AD1269" s="14"/>
      <c r="AE1269" s="14"/>
      <c r="AF1269" s="14"/>
      <c r="AG1269" s="14"/>
      <c r="AH1269" s="14"/>
      <c r="AI1269" s="14"/>
      <c r="AJ1269" s="14"/>
      <c r="AK1269" s="14"/>
      <c r="AL1269" s="14"/>
      <c r="AM1269" s="14"/>
      <c r="AN1269" s="14"/>
    </row>
    <row r="1270" spans="2:40" x14ac:dyDescent="0.35">
      <c r="B1270" t="s">
        <v>356</v>
      </c>
      <c r="C1270" s="14">
        <v>0.181311894838977</v>
      </c>
      <c r="D1270" s="14">
        <v>0.19051223845564</v>
      </c>
      <c r="E1270" s="14">
        <v>0.17170003922493399</v>
      </c>
      <c r="F1270" s="14"/>
      <c r="G1270" s="14" t="s">
        <v>76</v>
      </c>
      <c r="H1270" s="14" t="s">
        <v>76</v>
      </c>
      <c r="I1270" s="14">
        <v>0.181311894838977</v>
      </c>
      <c r="J1270" s="14"/>
      <c r="K1270" s="14" t="s">
        <v>76</v>
      </c>
      <c r="L1270" s="14">
        <v>0.181971138560725</v>
      </c>
      <c r="M1270" s="14">
        <v>0.18005818773391299</v>
      </c>
      <c r="N1270" s="14"/>
      <c r="O1270" s="14">
        <v>0.192154742375863</v>
      </c>
      <c r="P1270" s="14">
        <v>9.4535755010829406E-2</v>
      </c>
      <c r="Q1270" s="14"/>
      <c r="R1270" s="14">
        <v>0.21135966964052599</v>
      </c>
      <c r="S1270" s="14">
        <v>0.17547190896302201</v>
      </c>
      <c r="T1270" s="14">
        <v>0.20087957948082799</v>
      </c>
      <c r="U1270" s="14">
        <v>0.13707283624563399</v>
      </c>
      <c r="V1270" s="14">
        <v>0.16083559857312399</v>
      </c>
      <c r="W1270" s="14">
        <v>0.202051129161299</v>
      </c>
      <c r="X1270" s="14">
        <v>0.17805299921019099</v>
      </c>
      <c r="Y1270" s="14">
        <v>0.21512141487295799</v>
      </c>
      <c r="Z1270" s="14">
        <v>0.16132656657604499</v>
      </c>
      <c r="AA1270" s="14"/>
      <c r="AB1270" s="14">
        <v>0.191345037634163</v>
      </c>
      <c r="AC1270" s="14">
        <v>0.13992332695050499</v>
      </c>
      <c r="AD1270" s="14">
        <v>0.23282125881010199</v>
      </c>
      <c r="AE1270" s="14">
        <v>0.11738817967995099</v>
      </c>
      <c r="AF1270" s="14"/>
      <c r="AG1270" s="14">
        <v>0.102948133929523</v>
      </c>
      <c r="AH1270" s="14">
        <v>0.25461304833394</v>
      </c>
      <c r="AI1270" s="14"/>
      <c r="AJ1270" s="14">
        <v>0.15595501185066399</v>
      </c>
      <c r="AK1270" s="14">
        <v>0.22942232693623801</v>
      </c>
      <c r="AL1270" s="14"/>
      <c r="AM1270" s="14">
        <v>0.13994502347976701</v>
      </c>
      <c r="AN1270" s="14">
        <v>0.245641127493442</v>
      </c>
    </row>
    <row r="1271" spans="2:40" x14ac:dyDescent="0.35">
      <c r="B1271" t="s">
        <v>325</v>
      </c>
      <c r="C1271" s="14">
        <v>0.20750093974475201</v>
      </c>
      <c r="D1271" s="14">
        <v>0.21914227117111301</v>
      </c>
      <c r="E1271" s="14">
        <v>0.194271750950651</v>
      </c>
      <c r="F1271" s="14"/>
      <c r="G1271" s="14" t="s">
        <v>76</v>
      </c>
      <c r="H1271" s="14" t="s">
        <v>76</v>
      </c>
      <c r="I1271" s="14">
        <v>0.20750093974475201</v>
      </c>
      <c r="J1271" s="14"/>
      <c r="K1271" s="14" t="s">
        <v>76</v>
      </c>
      <c r="L1271" s="14">
        <v>0.212919397973582</v>
      </c>
      <c r="M1271" s="14">
        <v>0.19719646606396199</v>
      </c>
      <c r="N1271" s="14"/>
      <c r="O1271" s="14">
        <v>0.20064151990693099</v>
      </c>
      <c r="P1271" s="14">
        <v>0.26731598842877802</v>
      </c>
      <c r="Q1271" s="14"/>
      <c r="R1271" s="14">
        <v>0.25618455452988098</v>
      </c>
      <c r="S1271" s="14">
        <v>0.19690215431414801</v>
      </c>
      <c r="T1271" s="14">
        <v>0.14350811355978499</v>
      </c>
      <c r="U1271" s="14">
        <v>0.22796116403712299</v>
      </c>
      <c r="V1271" s="14">
        <v>0.200904521574612</v>
      </c>
      <c r="W1271" s="14">
        <v>0.15116076794365099</v>
      </c>
      <c r="X1271" s="14">
        <v>0.20989148639626501</v>
      </c>
      <c r="Y1271" s="14">
        <v>0.20074556429648399</v>
      </c>
      <c r="Z1271" s="14">
        <v>0.23585635179227099</v>
      </c>
      <c r="AA1271" s="14"/>
      <c r="AB1271" s="14">
        <v>0.24645882629141799</v>
      </c>
      <c r="AC1271" s="14">
        <v>0.214101680487186</v>
      </c>
      <c r="AD1271" s="14">
        <v>0.17755107098742701</v>
      </c>
      <c r="AE1271" s="14">
        <v>0.26128790334516899</v>
      </c>
      <c r="AF1271" s="14"/>
      <c r="AG1271" s="14">
        <v>0.18175144885908701</v>
      </c>
      <c r="AH1271" s="14">
        <v>0.16951874440981499</v>
      </c>
      <c r="AI1271" s="14"/>
      <c r="AJ1271" s="14">
        <v>0.177476119433463</v>
      </c>
      <c r="AK1271" s="14">
        <v>0.19685907681752701</v>
      </c>
      <c r="AL1271" s="14"/>
      <c r="AM1271" s="14">
        <v>0.236823454401908</v>
      </c>
      <c r="AN1271" s="14">
        <v>0.169196523547749</v>
      </c>
    </row>
    <row r="1272" spans="2:40" x14ac:dyDescent="0.35">
      <c r="B1272" t="s">
        <v>324</v>
      </c>
      <c r="C1272" s="14">
        <v>7.2504462410366094E-2</v>
      </c>
      <c r="D1272" s="14">
        <v>6.57006988905314E-2</v>
      </c>
      <c r="E1272" s="14">
        <v>7.93324359494091E-2</v>
      </c>
      <c r="F1272" s="14"/>
      <c r="G1272" s="14" t="s">
        <v>76</v>
      </c>
      <c r="H1272" s="14" t="s">
        <v>76</v>
      </c>
      <c r="I1272" s="14">
        <v>7.2504462410366094E-2</v>
      </c>
      <c r="J1272" s="14"/>
      <c r="K1272" s="14" t="s">
        <v>76</v>
      </c>
      <c r="L1272" s="14">
        <v>8.5021799993296704E-2</v>
      </c>
      <c r="M1272" s="14">
        <v>4.8699798753357101E-2</v>
      </c>
      <c r="N1272" s="14"/>
      <c r="O1272" s="14">
        <v>7.0247635887578194E-2</v>
      </c>
      <c r="P1272" s="14">
        <v>8.8918560341506095E-2</v>
      </c>
      <c r="Q1272" s="14"/>
      <c r="R1272" s="14">
        <v>7.2971045667151999E-2</v>
      </c>
      <c r="S1272" s="14">
        <v>8.3404636467260998E-2</v>
      </c>
      <c r="T1272" s="14">
        <v>5.9904846392239398E-2</v>
      </c>
      <c r="U1272" s="14">
        <v>7.7260502645547999E-2</v>
      </c>
      <c r="V1272" s="14">
        <v>4.8293963340890998E-2</v>
      </c>
      <c r="W1272" s="14">
        <v>7.9337336119301702E-2</v>
      </c>
      <c r="X1272" s="14">
        <v>6.9247862324801596E-2</v>
      </c>
      <c r="Y1272" s="14">
        <v>8.3602180928991798E-2</v>
      </c>
      <c r="Z1272" s="14">
        <v>7.1443290006463406E-2</v>
      </c>
      <c r="AA1272" s="14"/>
      <c r="AB1272" s="14">
        <v>6.96236668960417E-2</v>
      </c>
      <c r="AC1272" s="14">
        <v>0.109231579612404</v>
      </c>
      <c r="AD1272" s="14">
        <v>3.9962562095457101E-2</v>
      </c>
      <c r="AE1272" s="14">
        <v>2.8507326328151901E-2</v>
      </c>
      <c r="AF1272" s="14"/>
      <c r="AG1272" s="14">
        <v>5.6510434347236897E-2</v>
      </c>
      <c r="AH1272" s="14">
        <v>7.4364761598813306E-2</v>
      </c>
      <c r="AI1272" s="14"/>
      <c r="AJ1272" s="14">
        <v>6.2750520584089406E-2</v>
      </c>
      <c r="AK1272" s="14">
        <v>8.5298059449098306E-3</v>
      </c>
      <c r="AL1272" s="14"/>
      <c r="AM1272" s="14">
        <v>8.6361918141432806E-2</v>
      </c>
      <c r="AN1272" s="14">
        <v>5.4862482923871303E-2</v>
      </c>
    </row>
    <row r="1273" spans="2:40" x14ac:dyDescent="0.35">
      <c r="B1273" t="s">
        <v>357</v>
      </c>
      <c r="C1273" s="14">
        <v>0.28464220546798502</v>
      </c>
      <c r="D1273" s="14">
        <v>0.24267157458741501</v>
      </c>
      <c r="E1273" s="14">
        <v>0.32409613413415</v>
      </c>
      <c r="F1273" s="14"/>
      <c r="G1273" s="14" t="s">
        <v>76</v>
      </c>
      <c r="H1273" s="14" t="s">
        <v>76</v>
      </c>
      <c r="I1273" s="14">
        <v>0.28464220546798502</v>
      </c>
      <c r="J1273" s="14"/>
      <c r="K1273" s="14" t="s">
        <v>76</v>
      </c>
      <c r="L1273" s="14">
        <v>0.287529392119873</v>
      </c>
      <c r="M1273" s="14">
        <v>0.27915154048369001</v>
      </c>
      <c r="N1273" s="14"/>
      <c r="O1273" s="14">
        <v>0.288352448782078</v>
      </c>
      <c r="P1273" s="14">
        <v>0.27594580414908698</v>
      </c>
      <c r="Q1273" s="14"/>
      <c r="R1273" s="14">
        <v>0.22586370145558399</v>
      </c>
      <c r="S1273" s="14">
        <v>0.26042996681279601</v>
      </c>
      <c r="T1273" s="14">
        <v>0.28975908424467101</v>
      </c>
      <c r="U1273" s="14">
        <v>0.29132148553098097</v>
      </c>
      <c r="V1273" s="14">
        <v>0.31752117865038298</v>
      </c>
      <c r="W1273" s="14">
        <v>0.39624580469197701</v>
      </c>
      <c r="X1273" s="14">
        <v>0.30113057370365598</v>
      </c>
      <c r="Y1273" s="14">
        <v>0.252464058967311</v>
      </c>
      <c r="Z1273" s="14">
        <v>0.27525444299402702</v>
      </c>
      <c r="AA1273" s="14"/>
      <c r="AB1273" s="14">
        <v>0.25325264755020099</v>
      </c>
      <c r="AC1273" s="14">
        <v>0.2996621527235</v>
      </c>
      <c r="AD1273" s="14">
        <v>0.26359284667888799</v>
      </c>
      <c r="AE1273" s="14">
        <v>0.33299989111059097</v>
      </c>
      <c r="AF1273" s="14"/>
      <c r="AG1273" s="14">
        <v>0.29817504028383801</v>
      </c>
      <c r="AH1273" s="14">
        <v>0.28236633622735302</v>
      </c>
      <c r="AI1273" s="14"/>
      <c r="AJ1273" s="14">
        <v>0.29264989922333501</v>
      </c>
      <c r="AK1273" s="14">
        <v>0.29337102765294998</v>
      </c>
      <c r="AL1273" s="14"/>
      <c r="AM1273" s="14">
        <v>0.26661993780856003</v>
      </c>
      <c r="AN1273" s="14">
        <v>0.26534699509535198</v>
      </c>
    </row>
    <row r="1274" spans="2:40" x14ac:dyDescent="0.35">
      <c r="B1274" t="s">
        <v>328</v>
      </c>
      <c r="C1274" s="14">
        <v>0.219252068634776</v>
      </c>
      <c r="D1274" s="14">
        <v>0.248219139244787</v>
      </c>
      <c r="E1274" s="14">
        <v>0.19457540156398501</v>
      </c>
      <c r="F1274" s="14"/>
      <c r="G1274" s="14" t="s">
        <v>76</v>
      </c>
      <c r="H1274" s="14" t="s">
        <v>76</v>
      </c>
      <c r="I1274" s="14">
        <v>0.219252068634776</v>
      </c>
      <c r="J1274" s="14"/>
      <c r="K1274" s="14" t="s">
        <v>76</v>
      </c>
      <c r="L1274" s="14">
        <v>0.199303839721507</v>
      </c>
      <c r="M1274" s="14">
        <v>0.25718832118746998</v>
      </c>
      <c r="N1274" s="14"/>
      <c r="O1274" s="14">
        <v>0.21523584077435601</v>
      </c>
      <c r="P1274" s="14">
        <v>0.253612276567314</v>
      </c>
      <c r="Q1274" s="14"/>
      <c r="R1274" s="14">
        <v>0.21788394270410599</v>
      </c>
      <c r="S1274" s="14">
        <v>0.244886017701751</v>
      </c>
      <c r="T1274" s="14">
        <v>0.25174002726529499</v>
      </c>
      <c r="U1274" s="14">
        <v>0.23705067611209199</v>
      </c>
      <c r="V1274" s="14">
        <v>0.23969854249571099</v>
      </c>
      <c r="W1274" s="14">
        <v>0.13885942992848599</v>
      </c>
      <c r="X1274" s="14">
        <v>0.229118454350765</v>
      </c>
      <c r="Y1274" s="14">
        <v>0.223418238623841</v>
      </c>
      <c r="Z1274" s="14">
        <v>0.19060021827594401</v>
      </c>
      <c r="AA1274" s="14"/>
      <c r="AB1274" s="14">
        <v>0.19706264226679299</v>
      </c>
      <c r="AC1274" s="14">
        <v>0.22011111591101201</v>
      </c>
      <c r="AD1274" s="14">
        <v>0.240137995539142</v>
      </c>
      <c r="AE1274" s="14">
        <v>0.25981669953613701</v>
      </c>
      <c r="AF1274" s="14"/>
      <c r="AG1274" s="14">
        <v>0.35363984558139999</v>
      </c>
      <c r="AH1274" s="14">
        <v>0.20723936635203799</v>
      </c>
      <c r="AI1274" s="14"/>
      <c r="AJ1274" s="14">
        <v>0.30247288741852202</v>
      </c>
      <c r="AK1274" s="14">
        <v>0.21545642753292099</v>
      </c>
      <c r="AL1274" s="14"/>
      <c r="AM1274" s="14">
        <v>0.25547184303576498</v>
      </c>
      <c r="AN1274" s="14">
        <v>0.186111207561134</v>
      </c>
    </row>
    <row r="1275" spans="2:40" x14ac:dyDescent="0.35">
      <c r="B1275" t="s">
        <v>70</v>
      </c>
      <c r="C1275" s="14">
        <v>3.4788428903144902E-2</v>
      </c>
      <c r="D1275" s="14">
        <v>3.37540776505134E-2</v>
      </c>
      <c r="E1275" s="14">
        <v>3.6024238176871802E-2</v>
      </c>
      <c r="F1275" s="14"/>
      <c r="G1275" s="14" t="s">
        <v>76</v>
      </c>
      <c r="H1275" s="14" t="s">
        <v>76</v>
      </c>
      <c r="I1275" s="14">
        <v>3.4788428903144902E-2</v>
      </c>
      <c r="J1275" s="14"/>
      <c r="K1275" s="14" t="s">
        <v>76</v>
      </c>
      <c r="L1275" s="14">
        <v>3.32544316310164E-2</v>
      </c>
      <c r="M1275" s="14">
        <v>3.7705685777608501E-2</v>
      </c>
      <c r="N1275" s="14"/>
      <c r="O1275" s="14">
        <v>3.33678122731937E-2</v>
      </c>
      <c r="P1275" s="14">
        <v>1.9671615502485501E-2</v>
      </c>
      <c r="Q1275" s="14"/>
      <c r="R1275" s="14">
        <v>1.57370860027513E-2</v>
      </c>
      <c r="S1275" s="14">
        <v>3.89053157410226E-2</v>
      </c>
      <c r="T1275" s="14">
        <v>5.4208349057182102E-2</v>
      </c>
      <c r="U1275" s="14">
        <v>2.9333335428622199E-2</v>
      </c>
      <c r="V1275" s="14">
        <v>3.2746195365280097E-2</v>
      </c>
      <c r="W1275" s="14">
        <v>3.2345532155285003E-2</v>
      </c>
      <c r="X1275" s="14">
        <v>1.25586240143213E-2</v>
      </c>
      <c r="Y1275" s="14">
        <v>2.4648542310414499E-2</v>
      </c>
      <c r="Z1275" s="14">
        <v>6.5519130355249505E-2</v>
      </c>
      <c r="AA1275" s="14"/>
      <c r="AB1275" s="14">
        <v>4.2257179361384199E-2</v>
      </c>
      <c r="AC1275" s="14">
        <v>1.6970144315392899E-2</v>
      </c>
      <c r="AD1275" s="14">
        <v>4.5934265888983E-2</v>
      </c>
      <c r="AE1275" s="14">
        <v>0</v>
      </c>
      <c r="AF1275" s="14"/>
      <c r="AG1275" s="14">
        <v>6.9750969989137096E-3</v>
      </c>
      <c r="AH1275" s="14">
        <v>1.18977430780403E-2</v>
      </c>
      <c r="AI1275" s="14"/>
      <c r="AJ1275" s="14">
        <v>8.6955614899261804E-3</v>
      </c>
      <c r="AK1275" s="14">
        <v>5.6361335115454797E-2</v>
      </c>
      <c r="AL1275" s="14"/>
      <c r="AM1275" s="14">
        <v>1.47778231325667E-2</v>
      </c>
      <c r="AN1275" s="14">
        <v>7.8841663378451401E-2</v>
      </c>
    </row>
    <row r="1276" spans="2:40" x14ac:dyDescent="0.35">
      <c r="C1276" s="14"/>
      <c r="D1276" s="14"/>
      <c r="E1276" s="14"/>
      <c r="F1276" s="14"/>
      <c r="G1276" s="14"/>
      <c r="H1276" s="14"/>
      <c r="I1276" s="14"/>
      <c r="J1276" s="14"/>
      <c r="K1276" s="14"/>
      <c r="L1276" s="14"/>
      <c r="M1276" s="14"/>
      <c r="N1276" s="14"/>
      <c r="O1276" s="14"/>
      <c r="P1276" s="14"/>
      <c r="Q1276" s="14"/>
      <c r="R1276" s="14"/>
      <c r="S1276" s="14"/>
      <c r="T1276" s="14"/>
      <c r="U1276" s="14"/>
      <c r="V1276" s="14"/>
      <c r="W1276" s="14"/>
      <c r="X1276" s="14"/>
      <c r="Y1276" s="14"/>
      <c r="Z1276" s="14"/>
      <c r="AA1276" s="14"/>
      <c r="AB1276" s="14"/>
      <c r="AC1276" s="14"/>
      <c r="AD1276" s="14"/>
      <c r="AE1276" s="14"/>
      <c r="AF1276" s="14"/>
      <c r="AG1276" s="14"/>
      <c r="AH1276" s="14"/>
      <c r="AI1276" s="14"/>
      <c r="AJ1276" s="14"/>
      <c r="AK1276" s="14"/>
      <c r="AL1276" s="14"/>
      <c r="AM1276" s="14"/>
      <c r="AN1276" s="14"/>
    </row>
    <row r="1277" spans="2:40" x14ac:dyDescent="0.35">
      <c r="B1277" s="6" t="s">
        <v>359</v>
      </c>
      <c r="C1277" s="14"/>
      <c r="D1277" s="14"/>
      <c r="E1277" s="14"/>
      <c r="F1277" s="14"/>
      <c r="G1277" s="14"/>
      <c r="H1277" s="14"/>
      <c r="I1277" s="14"/>
      <c r="J1277" s="14"/>
      <c r="K1277" s="14"/>
      <c r="L1277" s="14"/>
      <c r="M1277" s="14"/>
      <c r="N1277" s="14"/>
      <c r="O1277" s="14"/>
      <c r="P1277" s="14"/>
      <c r="Q1277" s="14"/>
      <c r="R1277" s="14"/>
      <c r="S1277" s="14"/>
      <c r="T1277" s="14"/>
      <c r="U1277" s="14"/>
      <c r="V1277" s="14"/>
      <c r="W1277" s="14"/>
      <c r="X1277" s="14"/>
      <c r="Y1277" s="14"/>
      <c r="Z1277" s="14"/>
      <c r="AA1277" s="14"/>
      <c r="AB1277" s="14"/>
      <c r="AC1277" s="14"/>
      <c r="AD1277" s="14"/>
      <c r="AE1277" s="14"/>
      <c r="AF1277" s="14"/>
      <c r="AG1277" s="14"/>
      <c r="AH1277" s="14"/>
      <c r="AI1277" s="14"/>
      <c r="AJ1277" s="14"/>
      <c r="AK1277" s="14"/>
      <c r="AL1277" s="14"/>
      <c r="AM1277" s="14"/>
      <c r="AN1277" s="14"/>
    </row>
    <row r="1278" spans="2:40" x14ac:dyDescent="0.35">
      <c r="B1278" s="24" t="s">
        <v>74</v>
      </c>
      <c r="C1278" s="14"/>
      <c r="D1278" s="14"/>
      <c r="E1278" s="14"/>
      <c r="F1278" s="14"/>
      <c r="G1278" s="14"/>
      <c r="H1278" s="14"/>
      <c r="I1278" s="14"/>
      <c r="J1278" s="14"/>
      <c r="K1278" s="14"/>
      <c r="L1278" s="14"/>
      <c r="M1278" s="14"/>
      <c r="N1278" s="14"/>
      <c r="O1278" s="14"/>
      <c r="P1278" s="14"/>
      <c r="Q1278" s="14"/>
      <c r="R1278" s="14"/>
      <c r="S1278" s="14"/>
      <c r="T1278" s="14"/>
      <c r="U1278" s="14"/>
      <c r="V1278" s="14"/>
      <c r="W1278" s="14"/>
      <c r="X1278" s="14"/>
      <c r="Y1278" s="14"/>
      <c r="Z1278" s="14"/>
      <c r="AA1278" s="14"/>
      <c r="AB1278" s="14"/>
      <c r="AC1278" s="14"/>
      <c r="AD1278" s="14"/>
      <c r="AE1278" s="14"/>
      <c r="AF1278" s="14"/>
      <c r="AG1278" s="14"/>
      <c r="AH1278" s="14"/>
      <c r="AI1278" s="14"/>
      <c r="AJ1278" s="14"/>
      <c r="AK1278" s="14"/>
      <c r="AL1278" s="14"/>
      <c r="AM1278" s="14"/>
      <c r="AN1278" s="14"/>
    </row>
    <row r="1279" spans="2:40" x14ac:dyDescent="0.35">
      <c r="B1279" t="s">
        <v>330</v>
      </c>
      <c r="C1279" s="14">
        <v>6.7499717387890498E-2</v>
      </c>
      <c r="D1279" s="14">
        <v>7.1381947352176303E-2</v>
      </c>
      <c r="E1279" s="14">
        <v>6.3135548279376993E-2</v>
      </c>
      <c r="F1279" s="14"/>
      <c r="G1279" s="14" t="s">
        <v>76</v>
      </c>
      <c r="H1279" s="14" t="s">
        <v>76</v>
      </c>
      <c r="I1279" s="14">
        <v>6.7499717387890498E-2</v>
      </c>
      <c r="J1279" s="14"/>
      <c r="K1279" s="14" t="s">
        <v>76</v>
      </c>
      <c r="L1279" s="14">
        <v>7.9795513417997205E-2</v>
      </c>
      <c r="M1279" s="14">
        <v>4.4116367138472001E-2</v>
      </c>
      <c r="N1279" s="14"/>
      <c r="O1279" s="14">
        <v>6.14073691105992E-2</v>
      </c>
      <c r="P1279" s="14">
        <v>0.110035404716768</v>
      </c>
      <c r="Q1279" s="14"/>
      <c r="R1279" s="14">
        <v>0.114454198589112</v>
      </c>
      <c r="S1279" s="14">
        <v>4.4366800567893501E-2</v>
      </c>
      <c r="T1279" s="14">
        <v>2.8340828619443099E-2</v>
      </c>
      <c r="U1279" s="14">
        <v>2.31901728086727E-2</v>
      </c>
      <c r="V1279" s="14">
        <v>8.40718188950208E-2</v>
      </c>
      <c r="W1279" s="14">
        <v>7.4148296842867903E-2</v>
      </c>
      <c r="X1279" s="14">
        <v>6.9084269358222802E-2</v>
      </c>
      <c r="Y1279" s="14">
        <v>0.112624703033932</v>
      </c>
      <c r="Z1279" s="14">
        <v>6.6858319195969296E-2</v>
      </c>
      <c r="AA1279" s="14"/>
      <c r="AB1279" s="14">
        <v>6.2615448764861498E-2</v>
      </c>
      <c r="AC1279" s="14">
        <v>0.129067139408759</v>
      </c>
      <c r="AD1279" s="14">
        <v>2.4887888387222501E-2</v>
      </c>
      <c r="AE1279" s="14">
        <v>4.5049852832234102E-2</v>
      </c>
      <c r="AF1279" s="14"/>
      <c r="AG1279" s="14">
        <v>7.04678807942547E-2</v>
      </c>
      <c r="AH1279" s="14">
        <v>9.7505374119368805E-3</v>
      </c>
      <c r="AI1279" s="14"/>
      <c r="AJ1279" s="14">
        <v>4.9247173150689202E-2</v>
      </c>
      <c r="AK1279" s="14">
        <v>2.9133252337038999E-2</v>
      </c>
      <c r="AL1279" s="14"/>
      <c r="AM1279" s="14">
        <v>0.11388704868218</v>
      </c>
      <c r="AN1279" s="14">
        <v>2.5290871413578601E-2</v>
      </c>
    </row>
    <row r="1280" spans="2:40" x14ac:dyDescent="0.35">
      <c r="B1280" t="s">
        <v>331</v>
      </c>
      <c r="C1280" s="14">
        <v>0.41472294128249398</v>
      </c>
      <c r="D1280" s="14">
        <v>0.452025813462892</v>
      </c>
      <c r="E1280" s="14">
        <v>0.38111525974882599</v>
      </c>
      <c r="F1280" s="14"/>
      <c r="G1280" s="14" t="s">
        <v>76</v>
      </c>
      <c r="H1280" s="14" t="s">
        <v>76</v>
      </c>
      <c r="I1280" s="14">
        <v>0.41472294128249398</v>
      </c>
      <c r="J1280" s="14"/>
      <c r="K1280" s="14" t="s">
        <v>76</v>
      </c>
      <c r="L1280" s="14">
        <v>0.40969093042786198</v>
      </c>
      <c r="M1280" s="14">
        <v>0.42429249432197402</v>
      </c>
      <c r="N1280" s="14"/>
      <c r="O1280" s="14">
        <v>0.39542560712693198</v>
      </c>
      <c r="P1280" s="14">
        <v>0.56204390417791905</v>
      </c>
      <c r="Q1280" s="14"/>
      <c r="R1280" s="14">
        <v>0.50962017335849297</v>
      </c>
      <c r="S1280" s="14">
        <v>0.42518154810334202</v>
      </c>
      <c r="T1280" s="14">
        <v>0.41686796174228502</v>
      </c>
      <c r="U1280" s="14">
        <v>0.414645171710466</v>
      </c>
      <c r="V1280" s="14">
        <v>0.25226808151845098</v>
      </c>
      <c r="W1280" s="14">
        <v>0.45314802991105302</v>
      </c>
      <c r="X1280" s="14">
        <v>0.396593169909296</v>
      </c>
      <c r="Y1280" s="14">
        <v>0.31831079736679402</v>
      </c>
      <c r="Z1280" s="14">
        <v>0.41526689976176001</v>
      </c>
      <c r="AA1280" s="14"/>
      <c r="AB1280" s="14">
        <v>0.388300435199667</v>
      </c>
      <c r="AC1280" s="14">
        <v>0.56091106370499599</v>
      </c>
      <c r="AD1280" s="14">
        <v>0.363061731757642</v>
      </c>
      <c r="AE1280" s="14">
        <v>0.56515744465540096</v>
      </c>
      <c r="AF1280" s="14"/>
      <c r="AG1280" s="14">
        <v>0.56491562152167296</v>
      </c>
      <c r="AH1280" s="14">
        <v>0.31441345589627301</v>
      </c>
      <c r="AI1280" s="14"/>
      <c r="AJ1280" s="14">
        <v>0.477365130596131</v>
      </c>
      <c r="AK1280" s="14">
        <v>0.39439878622529401</v>
      </c>
      <c r="AL1280" s="14"/>
      <c r="AM1280" s="14">
        <v>0.53057559511077701</v>
      </c>
      <c r="AN1280" s="14">
        <v>0.226236309496648</v>
      </c>
    </row>
    <row r="1281" spans="2:40" x14ac:dyDescent="0.35">
      <c r="B1281" t="s">
        <v>332</v>
      </c>
      <c r="C1281" s="14">
        <v>0.31014801111453899</v>
      </c>
      <c r="D1281" s="14">
        <v>0.29996551539433602</v>
      </c>
      <c r="E1281" s="14">
        <v>0.32073200847035599</v>
      </c>
      <c r="F1281" s="14"/>
      <c r="G1281" s="14" t="s">
        <v>76</v>
      </c>
      <c r="H1281" s="14" t="s">
        <v>76</v>
      </c>
      <c r="I1281" s="14">
        <v>0.31014801111453899</v>
      </c>
      <c r="J1281" s="14"/>
      <c r="K1281" s="14" t="s">
        <v>76</v>
      </c>
      <c r="L1281" s="14">
        <v>0.31755374974748701</v>
      </c>
      <c r="M1281" s="14">
        <v>0.29606425599320502</v>
      </c>
      <c r="N1281" s="14"/>
      <c r="O1281" s="14">
        <v>0.32548012359242701</v>
      </c>
      <c r="P1281" s="14">
        <v>0.22616680694459601</v>
      </c>
      <c r="Q1281" s="14"/>
      <c r="R1281" s="14">
        <v>0.24805248901753599</v>
      </c>
      <c r="S1281" s="14">
        <v>0.274353433365913</v>
      </c>
      <c r="T1281" s="14">
        <v>0.264893179879506</v>
      </c>
      <c r="U1281" s="14">
        <v>0.35472239263077099</v>
      </c>
      <c r="V1281" s="14">
        <v>0.40029136484625299</v>
      </c>
      <c r="W1281" s="14">
        <v>0.308367204815858</v>
      </c>
      <c r="X1281" s="14">
        <v>0.38987031779753301</v>
      </c>
      <c r="Y1281" s="14">
        <v>0.36746448726585801</v>
      </c>
      <c r="Z1281" s="14">
        <v>0.28951485019700302</v>
      </c>
      <c r="AA1281" s="14"/>
      <c r="AB1281" s="14">
        <v>0.33671587257032498</v>
      </c>
      <c r="AC1281" s="14">
        <v>0.230217346720307</v>
      </c>
      <c r="AD1281" s="14">
        <v>0.30813023852819998</v>
      </c>
      <c r="AE1281" s="14">
        <v>0.29334549354069001</v>
      </c>
      <c r="AF1281" s="14"/>
      <c r="AG1281" s="14">
        <v>0.244451442891956</v>
      </c>
      <c r="AH1281" s="14">
        <v>0.30626527529338698</v>
      </c>
      <c r="AI1281" s="14"/>
      <c r="AJ1281" s="14">
        <v>0.26605537337784002</v>
      </c>
      <c r="AK1281" s="14">
        <v>0.34038617258283499</v>
      </c>
      <c r="AL1281" s="14"/>
      <c r="AM1281" s="14">
        <v>0.27935552048571599</v>
      </c>
      <c r="AN1281" s="14">
        <v>0.30188390404573301</v>
      </c>
    </row>
    <row r="1282" spans="2:40" x14ac:dyDescent="0.35">
      <c r="B1282" t="s">
        <v>333</v>
      </c>
      <c r="C1282" s="14">
        <v>0.11909388450771</v>
      </c>
      <c r="D1282" s="14">
        <v>0.10291914396697301</v>
      </c>
      <c r="E1282" s="14">
        <v>0.13341693050602199</v>
      </c>
      <c r="F1282" s="14"/>
      <c r="G1282" s="14" t="s">
        <v>76</v>
      </c>
      <c r="H1282" s="14" t="s">
        <v>76</v>
      </c>
      <c r="I1282" s="14">
        <v>0.11909388450771</v>
      </c>
      <c r="J1282" s="14"/>
      <c r="K1282" s="14" t="s">
        <v>76</v>
      </c>
      <c r="L1282" s="14">
        <v>0.11096078633034399</v>
      </c>
      <c r="M1282" s="14">
        <v>0.13456088500353799</v>
      </c>
      <c r="N1282" s="14"/>
      <c r="O1282" s="14">
        <v>0.12342432058856501</v>
      </c>
      <c r="P1282" s="14">
        <v>5.39255184480147E-2</v>
      </c>
      <c r="Q1282" s="14"/>
      <c r="R1282" s="14">
        <v>6.6442615934734897E-2</v>
      </c>
      <c r="S1282" s="14">
        <v>0.14213015444013799</v>
      </c>
      <c r="T1282" s="14">
        <v>0.15236296852610101</v>
      </c>
      <c r="U1282" s="14">
        <v>0.144154049921738</v>
      </c>
      <c r="V1282" s="14">
        <v>0.174895621525606</v>
      </c>
      <c r="W1282" s="14">
        <v>8.5903496761349493E-2</v>
      </c>
      <c r="X1282" s="14">
        <v>4.4127056684182903E-2</v>
      </c>
      <c r="Y1282" s="14">
        <v>0.13439753645767799</v>
      </c>
      <c r="Z1282" s="14">
        <v>0.14463993096923999</v>
      </c>
      <c r="AA1282" s="14"/>
      <c r="AB1282" s="14">
        <v>0.154773853792493</v>
      </c>
      <c r="AC1282" s="14">
        <v>5.3787726022676799E-2</v>
      </c>
      <c r="AD1282" s="14">
        <v>0.167874062347729</v>
      </c>
      <c r="AE1282" s="14">
        <v>6.4775149188952996E-2</v>
      </c>
      <c r="AF1282" s="14"/>
      <c r="AG1282" s="14">
        <v>9.1022709485654593E-2</v>
      </c>
      <c r="AH1282" s="14">
        <v>0.149681920507968</v>
      </c>
      <c r="AI1282" s="14"/>
      <c r="AJ1282" s="14">
        <v>0.11152410000053101</v>
      </c>
      <c r="AK1282" s="14">
        <v>0.138923808994556</v>
      </c>
      <c r="AL1282" s="14"/>
      <c r="AM1282" s="14">
        <v>5.4294207248848703E-2</v>
      </c>
      <c r="AN1282" s="14">
        <v>0.24336938340961201</v>
      </c>
    </row>
    <row r="1283" spans="2:40" x14ac:dyDescent="0.35">
      <c r="B1283" t="s">
        <v>70</v>
      </c>
      <c r="C1283" s="14">
        <v>8.85354457073666E-2</v>
      </c>
      <c r="D1283" s="14">
        <v>7.3707579823622804E-2</v>
      </c>
      <c r="E1283" s="14">
        <v>0.101600252995418</v>
      </c>
      <c r="F1283" s="14"/>
      <c r="G1283" s="14" t="s">
        <v>76</v>
      </c>
      <c r="H1283" s="14" t="s">
        <v>76</v>
      </c>
      <c r="I1283" s="14">
        <v>8.85354457073666E-2</v>
      </c>
      <c r="J1283" s="14"/>
      <c r="K1283" s="14" t="s">
        <v>76</v>
      </c>
      <c r="L1283" s="14">
        <v>8.1999020076309603E-2</v>
      </c>
      <c r="M1283" s="14">
        <v>0.10096599754280999</v>
      </c>
      <c r="N1283" s="14"/>
      <c r="O1283" s="14">
        <v>9.4262579581476297E-2</v>
      </c>
      <c r="P1283" s="14">
        <v>4.7828365712702402E-2</v>
      </c>
      <c r="Q1283" s="14"/>
      <c r="R1283" s="14">
        <v>6.1430523100124097E-2</v>
      </c>
      <c r="S1283" s="14">
        <v>0.11396806352271301</v>
      </c>
      <c r="T1283" s="14">
        <v>0.13753506123266401</v>
      </c>
      <c r="U1283" s="14">
        <v>6.3288212928352405E-2</v>
      </c>
      <c r="V1283" s="14">
        <v>8.8473113214669205E-2</v>
      </c>
      <c r="W1283" s="14">
        <v>7.8432971668871795E-2</v>
      </c>
      <c r="X1283" s="14">
        <v>0.100325186250765</v>
      </c>
      <c r="Y1283" s="14">
        <v>6.7202475875737105E-2</v>
      </c>
      <c r="Z1283" s="14">
        <v>8.3719999876028198E-2</v>
      </c>
      <c r="AA1283" s="14"/>
      <c r="AB1283" s="14">
        <v>5.7594389672653797E-2</v>
      </c>
      <c r="AC1283" s="14">
        <v>2.60167241432613E-2</v>
      </c>
      <c r="AD1283" s="14">
        <v>0.13604607897920701</v>
      </c>
      <c r="AE1283" s="14">
        <v>3.1672059782721598E-2</v>
      </c>
      <c r="AF1283" s="14"/>
      <c r="AG1283" s="14">
        <v>2.9142345306461499E-2</v>
      </c>
      <c r="AH1283" s="14">
        <v>0.21988881089043499</v>
      </c>
      <c r="AI1283" s="14"/>
      <c r="AJ1283" s="14">
        <v>9.5808222874809307E-2</v>
      </c>
      <c r="AK1283" s="14">
        <v>9.7157979860275606E-2</v>
      </c>
      <c r="AL1283" s="14"/>
      <c r="AM1283" s="14">
        <v>2.18876284724779E-2</v>
      </c>
      <c r="AN1283" s="14">
        <v>0.20321953163442699</v>
      </c>
    </row>
    <row r="1284" spans="2:40" x14ac:dyDescent="0.35">
      <c r="C1284" s="14"/>
      <c r="D1284" s="14"/>
      <c r="E1284" s="14"/>
      <c r="F1284" s="14"/>
      <c r="G1284" s="14"/>
      <c r="H1284" s="14"/>
      <c r="I1284" s="14"/>
      <c r="J1284" s="14"/>
      <c r="K1284" s="14"/>
      <c r="L1284" s="14"/>
      <c r="M1284" s="14"/>
      <c r="N1284" s="14"/>
      <c r="O1284" s="14"/>
      <c r="P1284" s="14"/>
      <c r="Q1284" s="14"/>
      <c r="R1284" s="14"/>
      <c r="S1284" s="14"/>
      <c r="T1284" s="14"/>
      <c r="U1284" s="14"/>
      <c r="V1284" s="14"/>
      <c r="W1284" s="14"/>
      <c r="X1284" s="14"/>
      <c r="Y1284" s="14"/>
      <c r="Z1284" s="14"/>
      <c r="AA1284" s="14"/>
      <c r="AB1284" s="14"/>
      <c r="AC1284" s="14"/>
      <c r="AD1284" s="14"/>
      <c r="AE1284" s="14"/>
      <c r="AF1284" s="14"/>
      <c r="AG1284" s="14"/>
      <c r="AH1284" s="14"/>
      <c r="AI1284" s="14"/>
      <c r="AJ1284" s="14"/>
      <c r="AK1284" s="14"/>
      <c r="AL1284" s="14"/>
      <c r="AM1284" s="14"/>
      <c r="AN1284" s="14"/>
    </row>
    <row r="1285" spans="2:40" x14ac:dyDescent="0.35">
      <c r="B1285" s="6" t="s">
        <v>335</v>
      </c>
      <c r="C1285" s="14"/>
      <c r="D1285" s="14"/>
      <c r="E1285" s="14"/>
      <c r="F1285" s="14"/>
      <c r="G1285" s="14"/>
      <c r="H1285" s="14"/>
      <c r="I1285" s="14"/>
      <c r="J1285" s="14"/>
      <c r="K1285" s="14"/>
      <c r="L1285" s="14"/>
      <c r="M1285" s="14"/>
      <c r="N1285" s="14"/>
      <c r="O1285" s="14"/>
      <c r="P1285" s="14"/>
      <c r="Q1285" s="14"/>
      <c r="R1285" s="14"/>
      <c r="S1285" s="14"/>
      <c r="T1285" s="14"/>
      <c r="U1285" s="14"/>
      <c r="V1285" s="14"/>
      <c r="W1285" s="14"/>
      <c r="X1285" s="14"/>
      <c r="Y1285" s="14"/>
      <c r="Z1285" s="14"/>
      <c r="AA1285" s="14"/>
      <c r="AB1285" s="14"/>
      <c r="AC1285" s="14"/>
      <c r="AD1285" s="14"/>
      <c r="AE1285" s="14"/>
      <c r="AF1285" s="14"/>
      <c r="AG1285" s="14"/>
      <c r="AH1285" s="14"/>
      <c r="AI1285" s="14"/>
      <c r="AJ1285" s="14"/>
      <c r="AK1285" s="14"/>
      <c r="AL1285" s="14"/>
      <c r="AM1285" s="14"/>
      <c r="AN1285" s="14"/>
    </row>
    <row r="1286" spans="2:40" x14ac:dyDescent="0.35">
      <c r="B1286" s="24" t="s">
        <v>74</v>
      </c>
      <c r="C1286" s="14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</row>
    <row r="1287" spans="2:40" x14ac:dyDescent="0.35">
      <c r="B1287" t="s">
        <v>330</v>
      </c>
      <c r="C1287" s="14">
        <v>0.124024426560723</v>
      </c>
      <c r="D1287" s="14">
        <v>0.136841151574322</v>
      </c>
      <c r="E1287" s="14">
        <v>0.113330839347298</v>
      </c>
      <c r="F1287" s="14"/>
      <c r="G1287" s="14" t="s">
        <v>76</v>
      </c>
      <c r="H1287" s="14" t="s">
        <v>76</v>
      </c>
      <c r="I1287" s="14">
        <v>0.124024426560723</v>
      </c>
      <c r="J1287" s="14"/>
      <c r="K1287" s="14" t="s">
        <v>76</v>
      </c>
      <c r="L1287" s="14">
        <v>0.128937421947452</v>
      </c>
      <c r="M1287" s="14">
        <v>0.11468120944648499</v>
      </c>
      <c r="N1287" s="14"/>
      <c r="O1287" s="14">
        <v>0.117236248629412</v>
      </c>
      <c r="P1287" s="14">
        <v>0.16906738960967799</v>
      </c>
      <c r="Q1287" s="14"/>
      <c r="R1287" s="14">
        <v>0.21079884653860501</v>
      </c>
      <c r="S1287" s="14">
        <v>0.110729162339386</v>
      </c>
      <c r="T1287" s="14">
        <v>0.13810047019805699</v>
      </c>
      <c r="U1287" s="14">
        <v>7.5822030638878005E-2</v>
      </c>
      <c r="V1287" s="14">
        <v>6.7949931679665898E-2</v>
      </c>
      <c r="W1287" s="14">
        <v>0.12512610070928401</v>
      </c>
      <c r="X1287" s="14">
        <v>7.9034551212846305E-2</v>
      </c>
      <c r="Y1287" s="14">
        <v>0.12619397886973799</v>
      </c>
      <c r="Z1287" s="14">
        <v>0.13116085320176199</v>
      </c>
      <c r="AA1287" s="14"/>
      <c r="AB1287" s="14">
        <v>0.11332853854211999</v>
      </c>
      <c r="AC1287" s="14">
        <v>0.18186365623093101</v>
      </c>
      <c r="AD1287" s="14">
        <v>7.0581992223041207E-2</v>
      </c>
      <c r="AE1287" s="14">
        <v>0.14742974389479199</v>
      </c>
      <c r="AF1287" s="14"/>
      <c r="AG1287" s="14">
        <v>0.20011589331486199</v>
      </c>
      <c r="AH1287" s="14">
        <v>4.5138734928948099E-2</v>
      </c>
      <c r="AI1287" s="14"/>
      <c r="AJ1287" s="14">
        <v>0.14595138633322499</v>
      </c>
      <c r="AK1287" s="14">
        <v>7.3291645084364407E-2</v>
      </c>
      <c r="AL1287" s="14"/>
      <c r="AM1287" s="14">
        <v>0.17112202260279299</v>
      </c>
      <c r="AN1287" s="14">
        <v>5.1889449970262798E-2</v>
      </c>
    </row>
    <row r="1288" spans="2:40" x14ac:dyDescent="0.35">
      <c r="B1288" t="s">
        <v>331</v>
      </c>
      <c r="C1288" s="14">
        <v>0.42610649462593803</v>
      </c>
      <c r="D1288" s="14">
        <v>0.43637319446566097</v>
      </c>
      <c r="E1288" s="14">
        <v>0.41888562734190199</v>
      </c>
      <c r="F1288" s="14"/>
      <c r="G1288" s="14" t="s">
        <v>76</v>
      </c>
      <c r="H1288" s="14" t="s">
        <v>76</v>
      </c>
      <c r="I1288" s="14">
        <v>0.42610649462593803</v>
      </c>
      <c r="J1288" s="14"/>
      <c r="K1288" s="14" t="s">
        <v>76</v>
      </c>
      <c r="L1288" s="14">
        <v>0.433288585118349</v>
      </c>
      <c r="M1288" s="14">
        <v>0.412448059084567</v>
      </c>
      <c r="N1288" s="14"/>
      <c r="O1288" s="14">
        <v>0.429338726886136</v>
      </c>
      <c r="P1288" s="14">
        <v>0.42200989077921103</v>
      </c>
      <c r="Q1288" s="14"/>
      <c r="R1288" s="14">
        <v>0.40058737694845098</v>
      </c>
      <c r="S1288" s="14">
        <v>0.428870645648532</v>
      </c>
      <c r="T1288" s="14">
        <v>0.491248982467483</v>
      </c>
      <c r="U1288" s="14">
        <v>0.41004011569851201</v>
      </c>
      <c r="V1288" s="14">
        <v>0.41136760218881602</v>
      </c>
      <c r="W1288" s="14">
        <v>0.46406837696797698</v>
      </c>
      <c r="X1288" s="14">
        <v>0.39330532353511299</v>
      </c>
      <c r="Y1288" s="14">
        <v>0.38096879773236098</v>
      </c>
      <c r="Z1288" s="14">
        <v>0.44411158440681098</v>
      </c>
      <c r="AA1288" s="14"/>
      <c r="AB1288" s="14">
        <v>0.44850591620228603</v>
      </c>
      <c r="AC1288" s="14">
        <v>0.44050870129561398</v>
      </c>
      <c r="AD1288" s="14">
        <v>0.41327398225402501</v>
      </c>
      <c r="AE1288" s="14">
        <v>0.40688150842159998</v>
      </c>
      <c r="AF1288" s="14"/>
      <c r="AG1288" s="14">
        <v>0.37112737514637301</v>
      </c>
      <c r="AH1288" s="14">
        <v>0.54445205366721805</v>
      </c>
      <c r="AI1288" s="14"/>
      <c r="AJ1288" s="14">
        <v>0.43170433924617202</v>
      </c>
      <c r="AK1288" s="14">
        <v>0.40188394383709702</v>
      </c>
      <c r="AL1288" s="14"/>
      <c r="AM1288" s="14">
        <v>0.45994994998364802</v>
      </c>
      <c r="AN1288" s="14">
        <v>0.38977300768616502</v>
      </c>
    </row>
    <row r="1289" spans="2:40" x14ac:dyDescent="0.35">
      <c r="B1289" t="s">
        <v>332</v>
      </c>
      <c r="C1289" s="14">
        <v>0.26288379647390198</v>
      </c>
      <c r="D1289" s="14">
        <v>0.23409826773758699</v>
      </c>
      <c r="E1289" s="14">
        <v>0.29140667208665799</v>
      </c>
      <c r="F1289" s="14"/>
      <c r="G1289" s="14" t="s">
        <v>76</v>
      </c>
      <c r="H1289" s="14" t="s">
        <v>76</v>
      </c>
      <c r="I1289" s="14">
        <v>0.26288379647390198</v>
      </c>
      <c r="J1289" s="14"/>
      <c r="K1289" s="14" t="s">
        <v>76</v>
      </c>
      <c r="L1289" s="14">
        <v>0.231559371737004</v>
      </c>
      <c r="M1289" s="14">
        <v>0.32245456303435399</v>
      </c>
      <c r="N1289" s="14"/>
      <c r="O1289" s="14">
        <v>0.26890979118989899</v>
      </c>
      <c r="P1289" s="14">
        <v>0.220548810908055</v>
      </c>
      <c r="Q1289" s="14"/>
      <c r="R1289" s="14">
        <v>0.23395762793382899</v>
      </c>
      <c r="S1289" s="14">
        <v>0.24944053380765499</v>
      </c>
      <c r="T1289" s="14">
        <v>0.229505015868427</v>
      </c>
      <c r="U1289" s="14">
        <v>0.33281660383822198</v>
      </c>
      <c r="V1289" s="14">
        <v>0.28504140734432198</v>
      </c>
      <c r="W1289" s="14">
        <v>0.23002032265017899</v>
      </c>
      <c r="X1289" s="14">
        <v>0.346188865017935</v>
      </c>
      <c r="Y1289" s="14">
        <v>0.28010754648811398</v>
      </c>
      <c r="Z1289" s="14">
        <v>0.22737071663004499</v>
      </c>
      <c r="AA1289" s="14"/>
      <c r="AB1289" s="14">
        <v>0.28711273797956799</v>
      </c>
      <c r="AC1289" s="14">
        <v>0.14879455048169499</v>
      </c>
      <c r="AD1289" s="14">
        <v>0.40700291806024302</v>
      </c>
      <c r="AE1289" s="14">
        <v>0.23057046335060999</v>
      </c>
      <c r="AF1289" s="14"/>
      <c r="AG1289" s="14">
        <v>0.28768954406504299</v>
      </c>
      <c r="AH1289" s="14">
        <v>0.34041566471465101</v>
      </c>
      <c r="AI1289" s="14"/>
      <c r="AJ1289" s="14">
        <v>0.30611731987267998</v>
      </c>
      <c r="AK1289" s="14">
        <v>0.33449927006204</v>
      </c>
      <c r="AL1289" s="14"/>
      <c r="AM1289" s="14">
        <v>0.169404831012195</v>
      </c>
      <c r="AN1289" s="14">
        <v>0.40889679833781201</v>
      </c>
    </row>
    <row r="1290" spans="2:40" x14ac:dyDescent="0.35">
      <c r="B1290" t="s">
        <v>333</v>
      </c>
      <c r="C1290" s="14">
        <v>8.04242159459055E-2</v>
      </c>
      <c r="D1290" s="14">
        <v>8.0272530893687397E-2</v>
      </c>
      <c r="E1290" s="14">
        <v>7.8528723659668107E-2</v>
      </c>
      <c r="F1290" s="14"/>
      <c r="G1290" s="14" t="s">
        <v>76</v>
      </c>
      <c r="H1290" s="14" t="s">
        <v>76</v>
      </c>
      <c r="I1290" s="14">
        <v>8.04242159459055E-2</v>
      </c>
      <c r="J1290" s="14"/>
      <c r="K1290" s="14" t="s">
        <v>76</v>
      </c>
      <c r="L1290" s="14">
        <v>9.6894092576455607E-2</v>
      </c>
      <c r="M1290" s="14">
        <v>4.9102868968948402E-2</v>
      </c>
      <c r="N1290" s="14"/>
      <c r="O1290" s="14">
        <v>7.8959565491209194E-2</v>
      </c>
      <c r="P1290" s="14">
        <v>6.6727882923980505E-2</v>
      </c>
      <c r="Q1290" s="14"/>
      <c r="R1290" s="14">
        <v>6.1151160332676702E-2</v>
      </c>
      <c r="S1290" s="14">
        <v>7.1630235225483299E-2</v>
      </c>
      <c r="T1290" s="14">
        <v>4.9760467908465E-2</v>
      </c>
      <c r="U1290" s="14">
        <v>6.7613098904850802E-2</v>
      </c>
      <c r="V1290" s="14">
        <v>9.9357300488106898E-2</v>
      </c>
      <c r="W1290" s="14">
        <v>9.9461735996216494E-2</v>
      </c>
      <c r="X1290" s="14">
        <v>0.11023269921206801</v>
      </c>
      <c r="Y1290" s="14">
        <v>0.100777733057001</v>
      </c>
      <c r="Z1290" s="14">
        <v>8.9867158811679407E-2</v>
      </c>
      <c r="AA1290" s="14"/>
      <c r="AB1290" s="14">
        <v>0.103238947314478</v>
      </c>
      <c r="AC1290" s="14">
        <v>0.113824707135463</v>
      </c>
      <c r="AD1290" s="14">
        <v>3.6001345382914801E-2</v>
      </c>
      <c r="AE1290" s="14">
        <v>5.7349869940940802E-2</v>
      </c>
      <c r="AF1290" s="14"/>
      <c r="AG1290" s="14">
        <v>6.7796508430597605E-2</v>
      </c>
      <c r="AH1290" s="14">
        <v>3.3585924171550402E-2</v>
      </c>
      <c r="AI1290" s="14"/>
      <c r="AJ1290" s="14">
        <v>5.5839911411759299E-2</v>
      </c>
      <c r="AK1290" s="14">
        <v>4.5557738394531901E-2</v>
      </c>
      <c r="AL1290" s="14"/>
      <c r="AM1290" s="14">
        <v>7.0264865965987494E-2</v>
      </c>
      <c r="AN1290" s="14">
        <v>9.54205719513712E-2</v>
      </c>
    </row>
    <row r="1291" spans="2:40" x14ac:dyDescent="0.35">
      <c r="B1291" t="s">
        <v>70</v>
      </c>
      <c r="C1291" s="14">
        <v>0.10656106639353199</v>
      </c>
      <c r="D1291" s="14">
        <v>0.112414855328742</v>
      </c>
      <c r="E1291" s="14">
        <v>9.7848137564473206E-2</v>
      </c>
      <c r="F1291" s="14"/>
      <c r="G1291" s="14" t="s">
        <v>76</v>
      </c>
      <c r="H1291" s="14" t="s">
        <v>76</v>
      </c>
      <c r="I1291" s="14">
        <v>0.10656106639353199</v>
      </c>
      <c r="J1291" s="14"/>
      <c r="K1291" s="14" t="s">
        <v>76</v>
      </c>
      <c r="L1291" s="14">
        <v>0.10932052862074</v>
      </c>
      <c r="M1291" s="14">
        <v>0.101313299465646</v>
      </c>
      <c r="N1291" s="14"/>
      <c r="O1291" s="14">
        <v>0.10555566780334399</v>
      </c>
      <c r="P1291" s="14">
        <v>0.121646025779076</v>
      </c>
      <c r="Q1291" s="14"/>
      <c r="R1291" s="14">
        <v>9.3504988246437507E-2</v>
      </c>
      <c r="S1291" s="14">
        <v>0.13932942297894399</v>
      </c>
      <c r="T1291" s="14">
        <v>9.1385063557567994E-2</v>
      </c>
      <c r="U1291" s="14">
        <v>0.113708150919538</v>
      </c>
      <c r="V1291" s="14">
        <v>0.13628375829908901</v>
      </c>
      <c r="W1291" s="14">
        <v>8.1323463676343896E-2</v>
      </c>
      <c r="X1291" s="14">
        <v>7.1238561022037405E-2</v>
      </c>
      <c r="Y1291" s="14">
        <v>0.11195194385278601</v>
      </c>
      <c r="Z1291" s="14">
        <v>0.107489686949703</v>
      </c>
      <c r="AA1291" s="14"/>
      <c r="AB1291" s="14">
        <v>4.78138599615478E-2</v>
      </c>
      <c r="AC1291" s="14">
        <v>0.115008384856298</v>
      </c>
      <c r="AD1291" s="14">
        <v>7.3139762079776002E-2</v>
      </c>
      <c r="AE1291" s="14">
        <v>0.15776841439205799</v>
      </c>
      <c r="AF1291" s="14"/>
      <c r="AG1291" s="14">
        <v>7.3270679043124606E-2</v>
      </c>
      <c r="AH1291" s="14">
        <v>3.6407622517632701E-2</v>
      </c>
      <c r="AI1291" s="14"/>
      <c r="AJ1291" s="14">
        <v>6.0387043136163901E-2</v>
      </c>
      <c r="AK1291" s="14">
        <v>0.144767402621967</v>
      </c>
      <c r="AL1291" s="14"/>
      <c r="AM1291" s="14">
        <v>0.12925833043537699</v>
      </c>
      <c r="AN1291" s="14">
        <v>5.4020172054389401E-2</v>
      </c>
    </row>
    <row r="1292" spans="2:40" x14ac:dyDescent="0.35">
      <c r="C1292" s="14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</row>
    <row r="1293" spans="2:40" x14ac:dyDescent="0.35">
      <c r="B1293" s="6" t="s">
        <v>363</v>
      </c>
      <c r="C1293" s="14"/>
      <c r="D1293" s="14"/>
      <c r="E1293" s="14"/>
      <c r="F1293" s="14"/>
      <c r="G1293" s="14"/>
      <c r="H1293" s="14"/>
      <c r="I1293" s="14"/>
      <c r="J1293" s="14"/>
      <c r="K1293" s="14"/>
      <c r="L1293" s="14"/>
      <c r="M1293" s="14"/>
      <c r="N1293" s="14"/>
      <c r="O1293" s="14"/>
      <c r="P1293" s="14"/>
      <c r="Q1293" s="14"/>
      <c r="R1293" s="14"/>
      <c r="S1293" s="14"/>
      <c r="T1293" s="14"/>
      <c r="U1293" s="14"/>
      <c r="V1293" s="14"/>
      <c r="W1293" s="14"/>
      <c r="X1293" s="14"/>
      <c r="Y1293" s="14"/>
      <c r="Z1293" s="14"/>
      <c r="AA1293" s="14"/>
      <c r="AB1293" s="14"/>
      <c r="AC1293" s="14"/>
      <c r="AD1293" s="14"/>
      <c r="AE1293" s="14"/>
      <c r="AF1293" s="14"/>
      <c r="AG1293" s="14"/>
      <c r="AH1293" s="14"/>
      <c r="AI1293" s="14"/>
      <c r="AJ1293" s="14"/>
      <c r="AK1293" s="14"/>
      <c r="AL1293" s="14"/>
      <c r="AM1293" s="14"/>
      <c r="AN1293" s="14"/>
    </row>
    <row r="1294" spans="2:40" x14ac:dyDescent="0.35">
      <c r="B1294" s="26" t="s">
        <v>392</v>
      </c>
      <c r="C1294" s="14"/>
      <c r="D1294" s="14"/>
      <c r="E1294" s="14"/>
      <c r="F1294" s="14"/>
      <c r="G1294" s="14"/>
      <c r="H1294" s="14"/>
      <c r="I1294" s="14"/>
      <c r="J1294" s="14"/>
      <c r="K1294" s="14"/>
      <c r="L1294" s="14"/>
      <c r="M1294" s="14"/>
      <c r="N1294" s="14"/>
      <c r="O1294" s="14"/>
      <c r="P1294" s="14"/>
      <c r="Q1294" s="14"/>
      <c r="R1294" s="14"/>
      <c r="S1294" s="14"/>
      <c r="T1294" s="14"/>
      <c r="U1294" s="14"/>
      <c r="V1294" s="14"/>
      <c r="W1294" s="14"/>
      <c r="X1294" s="14"/>
      <c r="Y1294" s="14"/>
      <c r="Z1294" s="14"/>
      <c r="AA1294" s="14"/>
      <c r="AB1294" s="14"/>
      <c r="AC1294" s="14"/>
      <c r="AD1294" s="14"/>
      <c r="AE1294" s="14"/>
      <c r="AF1294" s="14"/>
      <c r="AG1294" s="14"/>
      <c r="AH1294" s="14"/>
      <c r="AI1294" s="14"/>
      <c r="AJ1294" s="14"/>
      <c r="AK1294" s="14"/>
      <c r="AL1294" s="14"/>
      <c r="AM1294" s="14"/>
      <c r="AN1294" s="14"/>
    </row>
    <row r="1295" spans="2:40" x14ac:dyDescent="0.35">
      <c r="B1295" t="s">
        <v>360</v>
      </c>
      <c r="C1295" s="14">
        <v>8.1717215537617502E-2</v>
      </c>
      <c r="D1295" s="14">
        <v>8.7670574452537994E-2</v>
      </c>
      <c r="E1295" s="14">
        <v>7.6038812893629695E-2</v>
      </c>
      <c r="F1295" s="14"/>
      <c r="G1295" s="14" t="s">
        <v>76</v>
      </c>
      <c r="H1295" s="14" t="s">
        <v>76</v>
      </c>
      <c r="I1295" s="14">
        <v>8.1717215537617502E-2</v>
      </c>
      <c r="J1295" s="14"/>
      <c r="K1295" s="14" t="s">
        <v>76</v>
      </c>
      <c r="L1295" s="14">
        <v>8.1717215537617502E-2</v>
      </c>
      <c r="M1295" s="14" t="s">
        <v>76</v>
      </c>
      <c r="N1295" s="14"/>
      <c r="O1295" s="14">
        <v>7.2814587822144894E-2</v>
      </c>
      <c r="P1295" s="14">
        <v>0.102504888115773</v>
      </c>
      <c r="Q1295" s="14"/>
      <c r="R1295" s="14">
        <v>0.105440859435315</v>
      </c>
      <c r="S1295" s="14">
        <v>6.3315408656466898E-2</v>
      </c>
      <c r="T1295" s="14">
        <v>0.10719654446169601</v>
      </c>
      <c r="U1295" s="14">
        <v>6.0648456377676803E-2</v>
      </c>
      <c r="V1295" s="14">
        <v>3.99032412299705E-2</v>
      </c>
      <c r="W1295" s="14">
        <v>6.2349547405181199E-2</v>
      </c>
      <c r="X1295" s="14">
        <v>2.5978002531716001E-2</v>
      </c>
      <c r="Y1295" s="14">
        <v>0.158278453166489</v>
      </c>
      <c r="Z1295" s="14">
        <v>0.119513670982986</v>
      </c>
      <c r="AA1295" s="14"/>
      <c r="AB1295" s="14" t="s">
        <v>76</v>
      </c>
      <c r="AC1295" s="14" t="s">
        <v>76</v>
      </c>
      <c r="AD1295" s="14" t="s">
        <v>76</v>
      </c>
      <c r="AE1295" s="14" t="s">
        <v>76</v>
      </c>
      <c r="AF1295" s="14"/>
      <c r="AG1295" s="14" t="s">
        <v>76</v>
      </c>
      <c r="AH1295" s="14" t="s">
        <v>76</v>
      </c>
      <c r="AI1295" s="14"/>
      <c r="AJ1295" s="14" t="s">
        <v>76</v>
      </c>
      <c r="AK1295" s="14" t="s">
        <v>76</v>
      </c>
      <c r="AL1295" s="14"/>
      <c r="AM1295" s="14">
        <v>8.5912297612426705E-2</v>
      </c>
      <c r="AN1295" s="14">
        <v>8.5690935943740804E-2</v>
      </c>
    </row>
    <row r="1296" spans="2:40" x14ac:dyDescent="0.35">
      <c r="B1296" t="s">
        <v>361</v>
      </c>
      <c r="C1296" s="14">
        <v>0.655920335695375</v>
      </c>
      <c r="D1296" s="14">
        <v>0.63168609819914701</v>
      </c>
      <c r="E1296" s="14">
        <v>0.682671647947104</v>
      </c>
      <c r="F1296" s="14"/>
      <c r="G1296" s="14" t="s">
        <v>76</v>
      </c>
      <c r="H1296" s="14" t="s">
        <v>76</v>
      </c>
      <c r="I1296" s="14">
        <v>0.655920335695375</v>
      </c>
      <c r="J1296" s="14"/>
      <c r="K1296" s="14" t="s">
        <v>76</v>
      </c>
      <c r="L1296" s="14">
        <v>0.655920335695375</v>
      </c>
      <c r="M1296" s="14" t="s">
        <v>76</v>
      </c>
      <c r="N1296" s="14"/>
      <c r="O1296" s="14">
        <v>0.658327274488539</v>
      </c>
      <c r="P1296" s="14">
        <v>0.64946593922937002</v>
      </c>
      <c r="Q1296" s="14"/>
      <c r="R1296" s="14">
        <v>0.67424370998021599</v>
      </c>
      <c r="S1296" s="14">
        <v>0.70710835854346399</v>
      </c>
      <c r="T1296" s="14">
        <v>0.57813507979701995</v>
      </c>
      <c r="U1296" s="14">
        <v>0.61809495304988904</v>
      </c>
      <c r="V1296" s="14">
        <v>0.68589025225336298</v>
      </c>
      <c r="W1296" s="14">
        <v>0.717403355728361</v>
      </c>
      <c r="X1296" s="14">
        <v>0.663185970866906</v>
      </c>
      <c r="Y1296" s="14">
        <v>0.61034809733415996</v>
      </c>
      <c r="Z1296" s="14">
        <v>0.61269365677408205</v>
      </c>
      <c r="AA1296" s="14"/>
      <c r="AB1296" s="14" t="s">
        <v>76</v>
      </c>
      <c r="AC1296" s="14" t="s">
        <v>76</v>
      </c>
      <c r="AD1296" s="14" t="s">
        <v>76</v>
      </c>
      <c r="AE1296" s="14" t="s">
        <v>76</v>
      </c>
      <c r="AF1296" s="14"/>
      <c r="AG1296" s="14" t="s">
        <v>76</v>
      </c>
      <c r="AH1296" s="14" t="s">
        <v>76</v>
      </c>
      <c r="AI1296" s="14"/>
      <c r="AJ1296" s="14" t="s">
        <v>76</v>
      </c>
      <c r="AK1296" s="14" t="s">
        <v>76</v>
      </c>
      <c r="AL1296" s="14"/>
      <c r="AM1296" s="14">
        <v>0.67208341264397098</v>
      </c>
      <c r="AN1296" s="14">
        <v>0.59991423331640203</v>
      </c>
    </row>
    <row r="1297" spans="2:40" x14ac:dyDescent="0.35">
      <c r="B1297" t="s">
        <v>362</v>
      </c>
      <c r="C1297" s="14">
        <v>0.24077822129425899</v>
      </c>
      <c r="D1297" s="14">
        <v>0.26850932038155501</v>
      </c>
      <c r="E1297" s="14">
        <v>0.21013500816821901</v>
      </c>
      <c r="F1297" s="14"/>
      <c r="G1297" s="14" t="s">
        <v>76</v>
      </c>
      <c r="H1297" s="14" t="s">
        <v>76</v>
      </c>
      <c r="I1297" s="14">
        <v>0.24077822129425899</v>
      </c>
      <c r="J1297" s="14"/>
      <c r="K1297" s="14" t="s">
        <v>76</v>
      </c>
      <c r="L1297" s="14">
        <v>0.24077822129425899</v>
      </c>
      <c r="M1297" s="14" t="s">
        <v>76</v>
      </c>
      <c r="N1297" s="14"/>
      <c r="O1297" s="14">
        <v>0.24936099321847499</v>
      </c>
      <c r="P1297" s="14">
        <v>0.23085733644568501</v>
      </c>
      <c r="Q1297" s="14"/>
      <c r="R1297" s="14">
        <v>0.22031543058446901</v>
      </c>
      <c r="S1297" s="14">
        <v>0.209215721593554</v>
      </c>
      <c r="T1297" s="14">
        <v>0.29177547445330998</v>
      </c>
      <c r="U1297" s="14">
        <v>0.28115896370479798</v>
      </c>
      <c r="V1297" s="14">
        <v>0.274206506516666</v>
      </c>
      <c r="W1297" s="14">
        <v>0.22024709686645699</v>
      </c>
      <c r="X1297" s="14">
        <v>0.222870827438439</v>
      </c>
      <c r="Y1297" s="14">
        <v>0.23137344949935101</v>
      </c>
      <c r="Z1297" s="14">
        <v>0.24564523627919899</v>
      </c>
      <c r="AA1297" s="14"/>
      <c r="AB1297" s="14" t="s">
        <v>76</v>
      </c>
      <c r="AC1297" s="14" t="s">
        <v>76</v>
      </c>
      <c r="AD1297" s="14" t="s">
        <v>76</v>
      </c>
      <c r="AE1297" s="14" t="s">
        <v>76</v>
      </c>
      <c r="AF1297" s="14"/>
      <c r="AG1297" s="14" t="s">
        <v>76</v>
      </c>
      <c r="AH1297" s="14" t="s">
        <v>76</v>
      </c>
      <c r="AI1297" s="14"/>
      <c r="AJ1297" s="14" t="s">
        <v>76</v>
      </c>
      <c r="AK1297" s="14" t="s">
        <v>76</v>
      </c>
      <c r="AL1297" s="14"/>
      <c r="AM1297" s="14">
        <v>0.23394814835104599</v>
      </c>
      <c r="AN1297" s="14">
        <v>0.26972359880307001</v>
      </c>
    </row>
    <row r="1298" spans="2:40" x14ac:dyDescent="0.35">
      <c r="B1298" t="s">
        <v>70</v>
      </c>
      <c r="C1298" s="14">
        <v>2.1584227472748602E-2</v>
      </c>
      <c r="D1298" s="14">
        <v>1.2134006966759901E-2</v>
      </c>
      <c r="E1298" s="14">
        <v>3.1154530991046599E-2</v>
      </c>
      <c r="F1298" s="14"/>
      <c r="G1298" s="14" t="s">
        <v>76</v>
      </c>
      <c r="H1298" s="14" t="s">
        <v>76</v>
      </c>
      <c r="I1298" s="14">
        <v>2.1584227472748602E-2</v>
      </c>
      <c r="J1298" s="14"/>
      <c r="K1298" s="14" t="s">
        <v>76</v>
      </c>
      <c r="L1298" s="14">
        <v>2.1584227472748602E-2</v>
      </c>
      <c r="M1298" s="14" t="s">
        <v>76</v>
      </c>
      <c r="N1298" s="14"/>
      <c r="O1298" s="14">
        <v>1.9497144470840801E-2</v>
      </c>
      <c r="P1298" s="14">
        <v>1.71718362091716E-2</v>
      </c>
      <c r="Q1298" s="14"/>
      <c r="R1298" s="14">
        <v>0</v>
      </c>
      <c r="S1298" s="14">
        <v>2.0360511206514699E-2</v>
      </c>
      <c r="T1298" s="14">
        <v>2.2892901287973499E-2</v>
      </c>
      <c r="U1298" s="14">
        <v>4.0097626867636203E-2</v>
      </c>
      <c r="V1298" s="14">
        <v>0</v>
      </c>
      <c r="W1298" s="14">
        <v>0</v>
      </c>
      <c r="X1298" s="14">
        <v>8.7965199162939003E-2</v>
      </c>
      <c r="Y1298" s="14">
        <v>0</v>
      </c>
      <c r="Z1298" s="14">
        <v>2.21474359637331E-2</v>
      </c>
      <c r="AA1298" s="14"/>
      <c r="AB1298" s="14" t="s">
        <v>76</v>
      </c>
      <c r="AC1298" s="14" t="s">
        <v>76</v>
      </c>
      <c r="AD1298" s="14" t="s">
        <v>76</v>
      </c>
      <c r="AE1298" s="14" t="s">
        <v>76</v>
      </c>
      <c r="AF1298" s="14"/>
      <c r="AG1298" s="14" t="s">
        <v>76</v>
      </c>
      <c r="AH1298" s="14" t="s">
        <v>76</v>
      </c>
      <c r="AI1298" s="14"/>
      <c r="AJ1298" s="14" t="s">
        <v>76</v>
      </c>
      <c r="AK1298" s="14" t="s">
        <v>76</v>
      </c>
      <c r="AL1298" s="14"/>
      <c r="AM1298" s="14">
        <v>8.0561413925564502E-3</v>
      </c>
      <c r="AN1298" s="14">
        <v>4.4671231936786897E-2</v>
      </c>
    </row>
    <row r="1299" spans="2:40" x14ac:dyDescent="0.35">
      <c r="C1299" s="14"/>
      <c r="D1299" s="14"/>
      <c r="E1299" s="14"/>
      <c r="F1299" s="14"/>
      <c r="G1299" s="14"/>
      <c r="H1299" s="14"/>
      <c r="I1299" s="14"/>
      <c r="J1299" s="14"/>
      <c r="K1299" s="14"/>
      <c r="L1299" s="14"/>
      <c r="M1299" s="14"/>
      <c r="N1299" s="14"/>
      <c r="O1299" s="14"/>
      <c r="P1299" s="14"/>
      <c r="Q1299" s="14"/>
      <c r="R1299" s="14"/>
      <c r="S1299" s="14"/>
      <c r="T1299" s="14"/>
      <c r="U1299" s="14"/>
      <c r="V1299" s="14"/>
      <c r="W1299" s="14"/>
      <c r="X1299" s="14"/>
      <c r="Y1299" s="14"/>
      <c r="Z1299" s="14"/>
      <c r="AA1299" s="14"/>
      <c r="AB1299" s="14"/>
      <c r="AC1299" s="14"/>
      <c r="AD1299" s="14"/>
      <c r="AE1299" s="14"/>
      <c r="AF1299" s="14"/>
      <c r="AG1299" s="14"/>
      <c r="AH1299" s="14"/>
      <c r="AI1299" s="14"/>
      <c r="AJ1299" s="14"/>
      <c r="AK1299" s="14"/>
      <c r="AL1299" s="14"/>
      <c r="AM1299" s="14"/>
      <c r="AN1299" s="14"/>
    </row>
    <row r="1300" spans="2:40" x14ac:dyDescent="0.35">
      <c r="B1300" s="6" t="s">
        <v>367</v>
      </c>
      <c r="C1300" s="14"/>
      <c r="D1300" s="14"/>
      <c r="E1300" s="14"/>
      <c r="F1300" s="14"/>
      <c r="G1300" s="14"/>
      <c r="H1300" s="14"/>
      <c r="I1300" s="14"/>
      <c r="J1300" s="14"/>
      <c r="K1300" s="14"/>
      <c r="L1300" s="14"/>
      <c r="M1300" s="14"/>
      <c r="N1300" s="14"/>
      <c r="O1300" s="14"/>
      <c r="P1300" s="14"/>
      <c r="Q1300" s="14"/>
      <c r="R1300" s="14"/>
      <c r="S1300" s="14"/>
      <c r="T1300" s="14"/>
      <c r="U1300" s="14"/>
      <c r="V1300" s="14"/>
      <c r="W1300" s="14"/>
      <c r="X1300" s="14"/>
      <c r="Y1300" s="14"/>
      <c r="Z1300" s="14"/>
      <c r="AA1300" s="14"/>
      <c r="AB1300" s="14"/>
      <c r="AC1300" s="14"/>
      <c r="AD1300" s="14"/>
      <c r="AE1300" s="14"/>
      <c r="AF1300" s="14"/>
      <c r="AG1300" s="14"/>
      <c r="AH1300" s="14"/>
      <c r="AI1300" s="14"/>
      <c r="AJ1300" s="14"/>
      <c r="AK1300" s="14"/>
      <c r="AL1300" s="14"/>
      <c r="AM1300" s="14"/>
      <c r="AN1300" s="14"/>
    </row>
    <row r="1301" spans="2:40" x14ac:dyDescent="0.35">
      <c r="B1301" s="24" t="s">
        <v>74</v>
      </c>
      <c r="C1301" s="14"/>
      <c r="D1301" s="14"/>
      <c r="E1301" s="14"/>
      <c r="F1301" s="14"/>
      <c r="G1301" s="14"/>
      <c r="H1301" s="14"/>
      <c r="I1301" s="14"/>
      <c r="J1301" s="14"/>
      <c r="K1301" s="14"/>
      <c r="L1301" s="14"/>
      <c r="M1301" s="14"/>
      <c r="N1301" s="14"/>
      <c r="O1301" s="14"/>
      <c r="P1301" s="14"/>
      <c r="Q1301" s="14"/>
      <c r="R1301" s="14"/>
      <c r="S1301" s="14"/>
      <c r="T1301" s="14"/>
      <c r="U1301" s="14"/>
      <c r="V1301" s="14"/>
      <c r="W1301" s="14"/>
      <c r="X1301" s="14"/>
      <c r="Y1301" s="14"/>
      <c r="Z1301" s="14"/>
      <c r="AA1301" s="14"/>
      <c r="AB1301" s="14"/>
      <c r="AC1301" s="14"/>
      <c r="AD1301" s="14"/>
      <c r="AE1301" s="14"/>
      <c r="AF1301" s="14"/>
      <c r="AG1301" s="14"/>
      <c r="AH1301" s="14"/>
      <c r="AI1301" s="14"/>
      <c r="AJ1301" s="14"/>
      <c r="AK1301" s="14"/>
      <c r="AL1301" s="14"/>
      <c r="AM1301" s="14"/>
      <c r="AN1301" s="14"/>
    </row>
    <row r="1302" spans="2:40" x14ac:dyDescent="0.35">
      <c r="B1302" t="s">
        <v>364</v>
      </c>
      <c r="C1302" s="14">
        <v>0.20798619077914901</v>
      </c>
      <c r="D1302" s="14">
        <v>0.25992757694031798</v>
      </c>
      <c r="E1302" s="14">
        <v>0.160822990616422</v>
      </c>
      <c r="F1302" s="14"/>
      <c r="G1302" s="14" t="s">
        <v>76</v>
      </c>
      <c r="H1302" s="14" t="s">
        <v>76</v>
      </c>
      <c r="I1302" s="14">
        <v>0.20798619077914901</v>
      </c>
      <c r="J1302" s="14"/>
      <c r="K1302" s="14" t="s">
        <v>76</v>
      </c>
      <c r="L1302" s="14">
        <v>0.22313185990965601</v>
      </c>
      <c r="M1302" s="14">
        <v>0.17918313604619299</v>
      </c>
      <c r="N1302" s="14"/>
      <c r="O1302" s="14">
        <v>0.18510246155752599</v>
      </c>
      <c r="P1302" s="14">
        <v>0.35913882989778501</v>
      </c>
      <c r="Q1302" s="14"/>
      <c r="R1302" s="14">
        <v>0.286978806929026</v>
      </c>
      <c r="S1302" s="14">
        <v>0.195692742036499</v>
      </c>
      <c r="T1302" s="14">
        <v>0.101080668621412</v>
      </c>
      <c r="U1302" s="14">
        <v>0.20858015209320399</v>
      </c>
      <c r="V1302" s="14">
        <v>0.27275026199643299</v>
      </c>
      <c r="W1302" s="14">
        <v>0.16482504922872099</v>
      </c>
      <c r="X1302" s="14">
        <v>0.14103227424767001</v>
      </c>
      <c r="Y1302" s="14">
        <v>0.22559690674528399</v>
      </c>
      <c r="Z1302" s="14">
        <v>0.22995007614629701</v>
      </c>
      <c r="AA1302" s="14"/>
      <c r="AB1302" s="14">
        <v>0.18831210088070599</v>
      </c>
      <c r="AC1302" s="14">
        <v>0.33759639589804302</v>
      </c>
      <c r="AD1302" s="14">
        <v>9.8792939139174807E-2</v>
      </c>
      <c r="AE1302" s="14">
        <v>0.28567760300049599</v>
      </c>
      <c r="AF1302" s="14"/>
      <c r="AG1302" s="14">
        <v>0.31757350787779498</v>
      </c>
      <c r="AH1302" s="14">
        <v>0.14723427796385499</v>
      </c>
      <c r="AI1302" s="14"/>
      <c r="AJ1302" s="14">
        <v>0.25803995787589401</v>
      </c>
      <c r="AK1302" s="14">
        <v>0.104975044536454</v>
      </c>
      <c r="AL1302" s="14"/>
      <c r="AM1302" s="14">
        <v>0.34371716493632398</v>
      </c>
      <c r="AN1302" s="14">
        <v>4.8663709529374301E-2</v>
      </c>
    </row>
    <row r="1303" spans="2:40" x14ac:dyDescent="0.35">
      <c r="B1303" t="s">
        <v>365</v>
      </c>
      <c r="C1303" s="14">
        <v>0.54639486835758</v>
      </c>
      <c r="D1303" s="14">
        <v>0.54427814967908805</v>
      </c>
      <c r="E1303" s="14">
        <v>0.54716830554199503</v>
      </c>
      <c r="F1303" s="14"/>
      <c r="G1303" s="14" t="s">
        <v>76</v>
      </c>
      <c r="H1303" s="14" t="s">
        <v>76</v>
      </c>
      <c r="I1303" s="14">
        <v>0.54639486835758</v>
      </c>
      <c r="J1303" s="14"/>
      <c r="K1303" s="14" t="s">
        <v>76</v>
      </c>
      <c r="L1303" s="14">
        <v>0.52388038990536501</v>
      </c>
      <c r="M1303" s="14">
        <v>0.589211448434384</v>
      </c>
      <c r="N1303" s="14"/>
      <c r="O1303" s="14">
        <v>0.56306835671105004</v>
      </c>
      <c r="P1303" s="14">
        <v>0.471999663984633</v>
      </c>
      <c r="Q1303" s="14"/>
      <c r="R1303" s="14">
        <v>0.490291960285271</v>
      </c>
      <c r="S1303" s="14">
        <v>0.531819096156121</v>
      </c>
      <c r="T1303" s="14">
        <v>0.61572423556622802</v>
      </c>
      <c r="U1303" s="14">
        <v>0.52825984247969004</v>
      </c>
      <c r="V1303" s="14">
        <v>0.52032465028092001</v>
      </c>
      <c r="W1303" s="14">
        <v>0.54075064383092197</v>
      </c>
      <c r="X1303" s="14">
        <v>0.60658461483405401</v>
      </c>
      <c r="Y1303" s="14">
        <v>0.59429111970001502</v>
      </c>
      <c r="Z1303" s="14">
        <v>0.55817224658697395</v>
      </c>
      <c r="AA1303" s="14"/>
      <c r="AB1303" s="14">
        <v>0.49554145601330701</v>
      </c>
      <c r="AC1303" s="14">
        <v>0.52017775909439201</v>
      </c>
      <c r="AD1303" s="14">
        <v>0.64152621467016702</v>
      </c>
      <c r="AE1303" s="14">
        <v>0.58634629266024796</v>
      </c>
      <c r="AF1303" s="14"/>
      <c r="AG1303" s="14">
        <v>0.56288759501315799</v>
      </c>
      <c r="AH1303" s="14">
        <v>0.48236014263266702</v>
      </c>
      <c r="AI1303" s="14"/>
      <c r="AJ1303" s="14">
        <v>0.53474325553691604</v>
      </c>
      <c r="AK1303" s="14">
        <v>0.66740302877929902</v>
      </c>
      <c r="AL1303" s="14"/>
      <c r="AM1303" s="14">
        <v>0.54246995019998101</v>
      </c>
      <c r="AN1303" s="14">
        <v>0.45285134915950798</v>
      </c>
    </row>
    <row r="1304" spans="2:40" x14ac:dyDescent="0.35">
      <c r="B1304" t="s">
        <v>366</v>
      </c>
      <c r="C1304" s="14">
        <v>0.161636573447865</v>
      </c>
      <c r="D1304" s="14">
        <v>0.12161280212383201</v>
      </c>
      <c r="E1304" s="14">
        <v>0.19836084120004599</v>
      </c>
      <c r="F1304" s="14"/>
      <c r="G1304" s="14" t="s">
        <v>76</v>
      </c>
      <c r="H1304" s="14" t="s">
        <v>76</v>
      </c>
      <c r="I1304" s="14">
        <v>0.161636573447865</v>
      </c>
      <c r="J1304" s="14"/>
      <c r="K1304" s="14" t="s">
        <v>76</v>
      </c>
      <c r="L1304" s="14">
        <v>0.14944481777282401</v>
      </c>
      <c r="M1304" s="14">
        <v>0.184822066473839</v>
      </c>
      <c r="N1304" s="14"/>
      <c r="O1304" s="14">
        <v>0.16026327815083899</v>
      </c>
      <c r="P1304" s="14">
        <v>0.13347883374463099</v>
      </c>
      <c r="Q1304" s="14"/>
      <c r="R1304" s="14">
        <v>0.15650584514683999</v>
      </c>
      <c r="S1304" s="14">
        <v>0.16443939384084</v>
      </c>
      <c r="T1304" s="14">
        <v>0.19029788234547401</v>
      </c>
      <c r="U1304" s="14">
        <v>0.184193653948902</v>
      </c>
      <c r="V1304" s="14">
        <v>0.109609915157172</v>
      </c>
      <c r="W1304" s="14">
        <v>0.190534133708012</v>
      </c>
      <c r="X1304" s="14">
        <v>0.182592945286258</v>
      </c>
      <c r="Y1304" s="14">
        <v>0.12766767730854101</v>
      </c>
      <c r="Z1304" s="14">
        <v>0.13914607329075601</v>
      </c>
      <c r="AA1304" s="14"/>
      <c r="AB1304" s="14">
        <v>0.26562900283797303</v>
      </c>
      <c r="AC1304" s="14">
        <v>8.6892388109711005E-2</v>
      </c>
      <c r="AD1304" s="14">
        <v>0.206791185592685</v>
      </c>
      <c r="AE1304" s="14">
        <v>0.122651763245281</v>
      </c>
      <c r="AF1304" s="14"/>
      <c r="AG1304" s="14">
        <v>7.35929457546496E-2</v>
      </c>
      <c r="AH1304" s="14">
        <v>0.26164527436825602</v>
      </c>
      <c r="AI1304" s="14"/>
      <c r="AJ1304" s="14">
        <v>0.13931722262350901</v>
      </c>
      <c r="AK1304" s="14">
        <v>0.20979598074005501</v>
      </c>
      <c r="AL1304" s="14"/>
      <c r="AM1304" s="14">
        <v>6.2970635472336695E-2</v>
      </c>
      <c r="AN1304" s="14">
        <v>0.366658695892012</v>
      </c>
    </row>
    <row r="1305" spans="2:40" x14ac:dyDescent="0.35">
      <c r="B1305" t="s">
        <v>70</v>
      </c>
      <c r="C1305" s="14">
        <v>8.3982367415405795E-2</v>
      </c>
      <c r="D1305" s="14">
        <v>7.4181471256762693E-2</v>
      </c>
      <c r="E1305" s="14">
        <v>9.3647862641537294E-2</v>
      </c>
      <c r="F1305" s="14"/>
      <c r="G1305" s="14" t="s">
        <v>76</v>
      </c>
      <c r="H1305" s="14" t="s">
        <v>76</v>
      </c>
      <c r="I1305" s="14">
        <v>8.3982367415405795E-2</v>
      </c>
      <c r="J1305" s="14"/>
      <c r="K1305" s="14" t="s">
        <v>76</v>
      </c>
      <c r="L1305" s="14">
        <v>0.10354293241215499</v>
      </c>
      <c r="M1305" s="14">
        <v>4.6783349045584899E-2</v>
      </c>
      <c r="N1305" s="14"/>
      <c r="O1305" s="14">
        <v>9.1565903580584598E-2</v>
      </c>
      <c r="P1305" s="14">
        <v>3.5382672372950202E-2</v>
      </c>
      <c r="Q1305" s="14"/>
      <c r="R1305" s="14">
        <v>6.6223387638862596E-2</v>
      </c>
      <c r="S1305" s="14">
        <v>0.10804876796654</v>
      </c>
      <c r="T1305" s="14">
        <v>9.28972134668863E-2</v>
      </c>
      <c r="U1305" s="14">
        <v>7.89663514782043E-2</v>
      </c>
      <c r="V1305" s="14">
        <v>9.73151725654747E-2</v>
      </c>
      <c r="W1305" s="14">
        <v>0.10389017323234501</v>
      </c>
      <c r="X1305" s="14">
        <v>6.97901656320188E-2</v>
      </c>
      <c r="Y1305" s="14">
        <v>5.2444296246160399E-2</v>
      </c>
      <c r="Z1305" s="14">
        <v>7.2731603975972406E-2</v>
      </c>
      <c r="AA1305" s="14"/>
      <c r="AB1305" s="14">
        <v>5.05174402680146E-2</v>
      </c>
      <c r="AC1305" s="14">
        <v>5.5333456897853898E-2</v>
      </c>
      <c r="AD1305" s="14">
        <v>5.2889660597974099E-2</v>
      </c>
      <c r="AE1305" s="14">
        <v>5.32434109397563E-3</v>
      </c>
      <c r="AF1305" s="14"/>
      <c r="AG1305" s="14">
        <v>4.5945951354396899E-2</v>
      </c>
      <c r="AH1305" s="14">
        <v>0.10876030503522099</v>
      </c>
      <c r="AI1305" s="14"/>
      <c r="AJ1305" s="14">
        <v>6.7899563963681298E-2</v>
      </c>
      <c r="AK1305" s="14">
        <v>1.78259459441923E-2</v>
      </c>
      <c r="AL1305" s="14"/>
      <c r="AM1305" s="14">
        <v>5.0842249391359E-2</v>
      </c>
      <c r="AN1305" s="14">
        <v>0.13182624541910701</v>
      </c>
    </row>
    <row r="1306" spans="2:40" x14ac:dyDescent="0.35">
      <c r="C1306" s="14"/>
      <c r="D1306" s="14"/>
      <c r="E1306" s="14"/>
      <c r="F1306" s="14"/>
      <c r="G1306" s="14"/>
      <c r="H1306" s="14"/>
      <c r="I1306" s="14"/>
      <c r="J1306" s="14"/>
      <c r="K1306" s="14"/>
      <c r="L1306" s="14"/>
      <c r="M1306" s="14"/>
      <c r="N1306" s="14"/>
      <c r="O1306" s="14"/>
      <c r="P1306" s="14"/>
      <c r="Q1306" s="14"/>
      <c r="R1306" s="14"/>
      <c r="S1306" s="14"/>
      <c r="T1306" s="14"/>
      <c r="U1306" s="14"/>
      <c r="V1306" s="14"/>
      <c r="W1306" s="14"/>
      <c r="X1306" s="14"/>
      <c r="Y1306" s="14"/>
      <c r="Z1306" s="14"/>
      <c r="AA1306" s="14"/>
      <c r="AB1306" s="14"/>
      <c r="AC1306" s="14"/>
      <c r="AD1306" s="14"/>
      <c r="AE1306" s="14"/>
      <c r="AF1306" s="14"/>
      <c r="AG1306" s="14"/>
      <c r="AH1306" s="14"/>
      <c r="AI1306" s="14"/>
      <c r="AJ1306" s="14"/>
      <c r="AK1306" s="14"/>
      <c r="AL1306" s="14"/>
      <c r="AM1306" s="14"/>
      <c r="AN1306" s="14"/>
    </row>
    <row r="1307" spans="2:40" x14ac:dyDescent="0.35">
      <c r="B1307" s="6" t="s">
        <v>371</v>
      </c>
      <c r="C1307" s="14"/>
      <c r="D1307" s="14"/>
      <c r="E1307" s="14"/>
      <c r="F1307" s="14"/>
      <c r="G1307" s="14"/>
      <c r="H1307" s="14"/>
      <c r="I1307" s="14"/>
      <c r="J1307" s="14"/>
      <c r="K1307" s="14"/>
      <c r="L1307" s="14"/>
      <c r="M1307" s="14"/>
      <c r="N1307" s="14"/>
      <c r="O1307" s="14"/>
      <c r="P1307" s="14"/>
      <c r="Q1307" s="14"/>
      <c r="R1307" s="14"/>
      <c r="S1307" s="14"/>
      <c r="T1307" s="14"/>
      <c r="U1307" s="14"/>
      <c r="V1307" s="14"/>
      <c r="W1307" s="14"/>
      <c r="X1307" s="14"/>
      <c r="Y1307" s="14"/>
      <c r="Z1307" s="14"/>
      <c r="AA1307" s="14"/>
      <c r="AB1307" s="14"/>
      <c r="AC1307" s="14"/>
      <c r="AD1307" s="14"/>
      <c r="AE1307" s="14"/>
      <c r="AF1307" s="14"/>
      <c r="AG1307" s="14"/>
      <c r="AH1307" s="14"/>
      <c r="AI1307" s="14"/>
      <c r="AJ1307" s="14"/>
      <c r="AK1307" s="14"/>
      <c r="AL1307" s="14"/>
      <c r="AM1307" s="14"/>
      <c r="AN1307" s="14"/>
    </row>
    <row r="1308" spans="2:40" x14ac:dyDescent="0.35">
      <c r="B1308" s="24" t="s">
        <v>74</v>
      </c>
      <c r="C1308" s="14"/>
      <c r="D1308" s="14"/>
      <c r="E1308" s="14"/>
      <c r="F1308" s="14"/>
      <c r="G1308" s="14"/>
      <c r="H1308" s="14"/>
      <c r="I1308" s="14"/>
      <c r="J1308" s="14"/>
      <c r="K1308" s="14"/>
      <c r="L1308" s="14"/>
      <c r="M1308" s="14"/>
      <c r="N1308" s="14"/>
      <c r="O1308" s="14"/>
      <c r="P1308" s="14"/>
      <c r="Q1308" s="14"/>
      <c r="R1308" s="14"/>
      <c r="S1308" s="14"/>
      <c r="T1308" s="14"/>
      <c r="U1308" s="14"/>
      <c r="V1308" s="14"/>
      <c r="W1308" s="14"/>
      <c r="X1308" s="14"/>
      <c r="Y1308" s="14"/>
      <c r="Z1308" s="14"/>
      <c r="AA1308" s="14"/>
      <c r="AB1308" s="14"/>
      <c r="AC1308" s="14"/>
      <c r="AD1308" s="14"/>
      <c r="AE1308" s="14"/>
      <c r="AF1308" s="14"/>
      <c r="AG1308" s="14"/>
      <c r="AH1308" s="14"/>
      <c r="AI1308" s="14"/>
      <c r="AJ1308" s="14"/>
      <c r="AK1308" s="14"/>
      <c r="AL1308" s="14"/>
      <c r="AM1308" s="14"/>
      <c r="AN1308" s="14"/>
    </row>
    <row r="1309" spans="2:40" x14ac:dyDescent="0.35">
      <c r="B1309" t="s">
        <v>368</v>
      </c>
      <c r="C1309" s="14">
        <v>0.24786402047789299</v>
      </c>
      <c r="D1309" s="14">
        <v>0.29499896294512401</v>
      </c>
      <c r="E1309" s="14">
        <v>0.20680411750244199</v>
      </c>
      <c r="F1309" s="14"/>
      <c r="G1309" s="14" t="s">
        <v>76</v>
      </c>
      <c r="H1309" s="14" t="s">
        <v>76</v>
      </c>
      <c r="I1309" s="14">
        <v>0.24786402047789299</v>
      </c>
      <c r="J1309" s="14"/>
      <c r="K1309" s="14" t="s">
        <v>76</v>
      </c>
      <c r="L1309" s="14">
        <v>0.246933107187078</v>
      </c>
      <c r="M1309" s="14">
        <v>0.24963437121221299</v>
      </c>
      <c r="N1309" s="14"/>
      <c r="O1309" s="14">
        <v>0.231864350979961</v>
      </c>
      <c r="P1309" s="14">
        <v>0.34857175931939899</v>
      </c>
      <c r="Q1309" s="14"/>
      <c r="R1309" s="14">
        <v>0.34541226559138799</v>
      </c>
      <c r="S1309" s="14">
        <v>0.23078437326960199</v>
      </c>
      <c r="T1309" s="14">
        <v>0.25370391077425902</v>
      </c>
      <c r="U1309" s="14">
        <v>0.22050873312385599</v>
      </c>
      <c r="V1309" s="14">
        <v>0.25474066356525099</v>
      </c>
      <c r="W1309" s="14">
        <v>0.174695397798413</v>
      </c>
      <c r="X1309" s="14">
        <v>0.19689844109294</v>
      </c>
      <c r="Y1309" s="14">
        <v>0.25549574158159999</v>
      </c>
      <c r="Z1309" s="14">
        <v>0.25195256502434799</v>
      </c>
      <c r="AA1309" s="14"/>
      <c r="AB1309" s="14">
        <v>0.231861064083835</v>
      </c>
      <c r="AC1309" s="14">
        <v>0.359962879748217</v>
      </c>
      <c r="AD1309" s="14">
        <v>0.23012327551960499</v>
      </c>
      <c r="AE1309" s="14">
        <v>0.27861243509010403</v>
      </c>
      <c r="AF1309" s="14"/>
      <c r="AG1309" s="14">
        <v>0.36787330118189598</v>
      </c>
      <c r="AH1309" s="14">
        <v>0.13942402903303799</v>
      </c>
      <c r="AI1309" s="14"/>
      <c r="AJ1309" s="14">
        <v>0.288030295121324</v>
      </c>
      <c r="AK1309" s="14">
        <v>0.197992649641686</v>
      </c>
      <c r="AL1309" s="14"/>
      <c r="AM1309" s="14">
        <v>0.355713868258351</v>
      </c>
      <c r="AN1309" s="14">
        <v>0.108533628221212</v>
      </c>
    </row>
    <row r="1310" spans="2:40" x14ac:dyDescent="0.35">
      <c r="B1310" t="s">
        <v>369</v>
      </c>
      <c r="C1310" s="14">
        <v>0.31471905964510599</v>
      </c>
      <c r="D1310" s="14">
        <v>0.30324708433745801</v>
      </c>
      <c r="E1310" s="14">
        <v>0.32368075214275399</v>
      </c>
      <c r="F1310" s="14"/>
      <c r="G1310" s="14" t="s">
        <v>76</v>
      </c>
      <c r="H1310" s="14" t="s">
        <v>76</v>
      </c>
      <c r="I1310" s="14">
        <v>0.31471905964510599</v>
      </c>
      <c r="J1310" s="14"/>
      <c r="K1310" s="14" t="s">
        <v>76</v>
      </c>
      <c r="L1310" s="14">
        <v>0.305501451823049</v>
      </c>
      <c r="M1310" s="14">
        <v>0.33224851049458298</v>
      </c>
      <c r="N1310" s="14"/>
      <c r="O1310" s="14">
        <v>0.32533933620970101</v>
      </c>
      <c r="P1310" s="14">
        <v>0.26874401388108099</v>
      </c>
      <c r="Q1310" s="14"/>
      <c r="R1310" s="14">
        <v>0.31399731650677598</v>
      </c>
      <c r="S1310" s="14">
        <v>0.288422578873549</v>
      </c>
      <c r="T1310" s="14">
        <v>0.26111072382420902</v>
      </c>
      <c r="U1310" s="14">
        <v>0.34520379038180199</v>
      </c>
      <c r="V1310" s="14">
        <v>0.33517379658757301</v>
      </c>
      <c r="W1310" s="14">
        <v>0.344641756934364</v>
      </c>
      <c r="X1310" s="14">
        <v>0.35190977876025298</v>
      </c>
      <c r="Y1310" s="14">
        <v>0.28824868276941701</v>
      </c>
      <c r="Z1310" s="14">
        <v>0.31066026637225402</v>
      </c>
      <c r="AA1310" s="14"/>
      <c r="AB1310" s="14">
        <v>0.41239966449437698</v>
      </c>
      <c r="AC1310" s="14">
        <v>0.22352793074202901</v>
      </c>
      <c r="AD1310" s="14">
        <v>0.37397546652879798</v>
      </c>
      <c r="AE1310" s="14">
        <v>0.28050511796871802</v>
      </c>
      <c r="AF1310" s="14"/>
      <c r="AG1310" s="14">
        <v>0.27544089555978801</v>
      </c>
      <c r="AH1310" s="14">
        <v>0.39208528592925301</v>
      </c>
      <c r="AI1310" s="14"/>
      <c r="AJ1310" s="14">
        <v>0.31620810256201698</v>
      </c>
      <c r="AK1310" s="14">
        <v>0.35837956967971502</v>
      </c>
      <c r="AL1310" s="14"/>
      <c r="AM1310" s="14">
        <v>0.25911181890223201</v>
      </c>
      <c r="AN1310" s="14">
        <v>0.40741675182533499</v>
      </c>
    </row>
    <row r="1311" spans="2:40" x14ac:dyDescent="0.35">
      <c r="B1311" t="s">
        <v>370</v>
      </c>
      <c r="C1311" s="14">
        <v>0.21970884320074999</v>
      </c>
      <c r="D1311" s="14">
        <v>0.20440904085112399</v>
      </c>
      <c r="E1311" s="14">
        <v>0.23260317208926901</v>
      </c>
      <c r="F1311" s="14"/>
      <c r="G1311" s="14" t="s">
        <v>76</v>
      </c>
      <c r="H1311" s="14" t="s">
        <v>76</v>
      </c>
      <c r="I1311" s="14">
        <v>0.21970884320074999</v>
      </c>
      <c r="J1311" s="14"/>
      <c r="K1311" s="14" t="s">
        <v>76</v>
      </c>
      <c r="L1311" s="14">
        <v>0.22105289066618999</v>
      </c>
      <c r="M1311" s="14">
        <v>0.21715282059275501</v>
      </c>
      <c r="N1311" s="14"/>
      <c r="O1311" s="14">
        <v>0.21186242262766999</v>
      </c>
      <c r="P1311" s="14">
        <v>0.26878329907825999</v>
      </c>
      <c r="Q1311" s="14"/>
      <c r="R1311" s="14">
        <v>0.19010552060414401</v>
      </c>
      <c r="S1311" s="14">
        <v>0.26272705245779598</v>
      </c>
      <c r="T1311" s="14">
        <v>0.115314307353151</v>
      </c>
      <c r="U1311" s="14">
        <v>0.23776142366740399</v>
      </c>
      <c r="V1311" s="14">
        <v>0.23358480128860701</v>
      </c>
      <c r="W1311" s="14">
        <v>0.25461851334542401</v>
      </c>
      <c r="X1311" s="14">
        <v>0.24727143682430899</v>
      </c>
      <c r="Y1311" s="14">
        <v>0.214863812280598</v>
      </c>
      <c r="Z1311" s="14">
        <v>0.20614645221001399</v>
      </c>
      <c r="AA1311" s="14"/>
      <c r="AB1311" s="14">
        <v>0.222399852481663</v>
      </c>
      <c r="AC1311" s="14">
        <v>0.29027322797064498</v>
      </c>
      <c r="AD1311" s="14">
        <v>0.206533938122687</v>
      </c>
      <c r="AE1311" s="14">
        <v>0.24689166590610201</v>
      </c>
      <c r="AF1311" s="14"/>
      <c r="AG1311" s="14">
        <v>0.23015821074131099</v>
      </c>
      <c r="AH1311" s="14">
        <v>0.211911427914976</v>
      </c>
      <c r="AI1311" s="14"/>
      <c r="AJ1311" s="14">
        <v>0.22378096130608599</v>
      </c>
      <c r="AK1311" s="14">
        <v>0.22227322823356799</v>
      </c>
      <c r="AL1311" s="14"/>
      <c r="AM1311" s="14">
        <v>0.21840294820878201</v>
      </c>
      <c r="AN1311" s="14">
        <v>0.192870995123126</v>
      </c>
    </row>
    <row r="1312" spans="2:40" x14ac:dyDescent="0.35">
      <c r="B1312" t="s">
        <v>70</v>
      </c>
      <c r="C1312" s="14">
        <v>0.217708076676251</v>
      </c>
      <c r="D1312" s="14">
        <v>0.19734491186629399</v>
      </c>
      <c r="E1312" s="14">
        <v>0.23691195826553499</v>
      </c>
      <c r="F1312" s="14"/>
      <c r="G1312" s="14" t="s">
        <v>76</v>
      </c>
      <c r="H1312" s="14" t="s">
        <v>76</v>
      </c>
      <c r="I1312" s="14">
        <v>0.217708076676251</v>
      </c>
      <c r="J1312" s="14"/>
      <c r="K1312" s="14" t="s">
        <v>76</v>
      </c>
      <c r="L1312" s="14">
        <v>0.226512550323682</v>
      </c>
      <c r="M1312" s="14">
        <v>0.20096429770044899</v>
      </c>
      <c r="N1312" s="14"/>
      <c r="O1312" s="14">
        <v>0.230933890182667</v>
      </c>
      <c r="P1312" s="14">
        <v>0.11390092772126</v>
      </c>
      <c r="Q1312" s="14"/>
      <c r="R1312" s="14">
        <v>0.15048489729769199</v>
      </c>
      <c r="S1312" s="14">
        <v>0.218065995399053</v>
      </c>
      <c r="T1312" s="14">
        <v>0.369871058048382</v>
      </c>
      <c r="U1312" s="14">
        <v>0.196526052826939</v>
      </c>
      <c r="V1312" s="14">
        <v>0.17650073855856899</v>
      </c>
      <c r="W1312" s="14">
        <v>0.22604433192179901</v>
      </c>
      <c r="X1312" s="14">
        <v>0.203920343322499</v>
      </c>
      <c r="Y1312" s="14">
        <v>0.241391763368384</v>
      </c>
      <c r="Z1312" s="14">
        <v>0.231240716393385</v>
      </c>
      <c r="AA1312" s="14"/>
      <c r="AB1312" s="14">
        <v>0.13333941894012499</v>
      </c>
      <c r="AC1312" s="14">
        <v>0.12623596153910899</v>
      </c>
      <c r="AD1312" s="14">
        <v>0.18936731982891</v>
      </c>
      <c r="AE1312" s="14">
        <v>0.193990781035077</v>
      </c>
      <c r="AF1312" s="14"/>
      <c r="AG1312" s="14">
        <v>0.12652759251700399</v>
      </c>
      <c r="AH1312" s="14">
        <v>0.256579257122733</v>
      </c>
      <c r="AI1312" s="14"/>
      <c r="AJ1312" s="14">
        <v>0.171980641010574</v>
      </c>
      <c r="AK1312" s="14">
        <v>0.22135455244503099</v>
      </c>
      <c r="AL1312" s="14"/>
      <c r="AM1312" s="14">
        <v>0.16677136463063499</v>
      </c>
      <c r="AN1312" s="14">
        <v>0.29117862483032803</v>
      </c>
    </row>
    <row r="1313" spans="2:40" x14ac:dyDescent="0.35">
      <c r="C1313" s="14"/>
      <c r="D1313" s="14"/>
      <c r="E1313" s="14"/>
      <c r="F1313" s="14"/>
      <c r="G1313" s="14"/>
      <c r="H1313" s="14"/>
      <c r="I1313" s="14"/>
      <c r="J1313" s="14"/>
      <c r="K1313" s="14"/>
      <c r="L1313" s="14"/>
      <c r="M1313" s="14"/>
      <c r="N1313" s="14"/>
      <c r="O1313" s="14"/>
      <c r="P1313" s="14"/>
      <c r="Q1313" s="14"/>
      <c r="R1313" s="14"/>
      <c r="S1313" s="14"/>
      <c r="T1313" s="14"/>
      <c r="U1313" s="14"/>
      <c r="V1313" s="14"/>
      <c r="W1313" s="14"/>
      <c r="X1313" s="14"/>
      <c r="Y1313" s="14"/>
      <c r="Z1313" s="14"/>
      <c r="AA1313" s="14"/>
      <c r="AB1313" s="14"/>
      <c r="AC1313" s="14"/>
      <c r="AD1313" s="14"/>
      <c r="AE1313" s="14"/>
      <c r="AF1313" s="14"/>
      <c r="AG1313" s="14"/>
      <c r="AH1313" s="14"/>
      <c r="AI1313" s="14"/>
      <c r="AJ1313" s="14"/>
      <c r="AK1313" s="14"/>
      <c r="AL1313" s="14"/>
      <c r="AM1313" s="14"/>
      <c r="AN1313" s="14"/>
    </row>
    <row r="1314" spans="2:40" x14ac:dyDescent="0.35">
      <c r="B1314" s="6" t="s">
        <v>383</v>
      </c>
      <c r="C1314" s="14"/>
      <c r="D1314" s="14"/>
      <c r="E1314" s="14"/>
      <c r="F1314" s="14"/>
      <c r="G1314" s="14"/>
      <c r="H1314" s="14"/>
      <c r="I1314" s="14"/>
      <c r="J1314" s="14"/>
      <c r="K1314" s="14"/>
      <c r="L1314" s="14"/>
      <c r="M1314" s="14"/>
      <c r="N1314" s="14"/>
      <c r="O1314" s="14"/>
      <c r="P1314" s="14"/>
      <c r="Q1314" s="14"/>
      <c r="R1314" s="14"/>
      <c r="S1314" s="14"/>
      <c r="T1314" s="14"/>
      <c r="U1314" s="14"/>
      <c r="V1314" s="14"/>
      <c r="W1314" s="14"/>
      <c r="X1314" s="14"/>
      <c r="Y1314" s="14"/>
      <c r="Z1314" s="14"/>
      <c r="AA1314" s="14"/>
      <c r="AB1314" s="14"/>
      <c r="AC1314" s="14"/>
      <c r="AD1314" s="14"/>
      <c r="AE1314" s="14"/>
      <c r="AF1314" s="14"/>
      <c r="AG1314" s="14"/>
      <c r="AH1314" s="14"/>
      <c r="AI1314" s="14"/>
      <c r="AJ1314" s="14"/>
      <c r="AK1314" s="14"/>
      <c r="AL1314" s="14"/>
      <c r="AM1314" s="14"/>
      <c r="AN1314" s="14"/>
    </row>
    <row r="1315" spans="2:40" x14ac:dyDescent="0.35">
      <c r="B1315" s="24" t="s">
        <v>74</v>
      </c>
      <c r="C1315" s="14"/>
      <c r="D1315" s="14"/>
      <c r="E1315" s="14"/>
      <c r="F1315" s="14"/>
      <c r="G1315" s="14"/>
      <c r="H1315" s="14"/>
      <c r="I1315" s="14"/>
      <c r="J1315" s="14"/>
      <c r="K1315" s="14"/>
      <c r="L1315" s="14"/>
      <c r="M1315" s="14"/>
      <c r="N1315" s="14"/>
      <c r="O1315" s="14"/>
      <c r="P1315" s="14"/>
      <c r="Q1315" s="14"/>
      <c r="R1315" s="14"/>
      <c r="S1315" s="14"/>
      <c r="T1315" s="14"/>
      <c r="U1315" s="14"/>
      <c r="V1315" s="14"/>
      <c r="W1315" s="14"/>
      <c r="X1315" s="14"/>
      <c r="Y1315" s="14"/>
      <c r="Z1315" s="14"/>
      <c r="AA1315" s="14"/>
      <c r="AB1315" s="14"/>
      <c r="AC1315" s="14"/>
      <c r="AD1315" s="14"/>
      <c r="AE1315" s="14"/>
      <c r="AF1315" s="14"/>
      <c r="AG1315" s="14"/>
      <c r="AH1315" s="14"/>
      <c r="AI1315" s="14"/>
      <c r="AJ1315" s="14"/>
      <c r="AK1315" s="14"/>
      <c r="AL1315" s="14"/>
      <c r="AM1315" s="14"/>
      <c r="AN1315" s="14"/>
    </row>
    <row r="1316" spans="2:40" x14ac:dyDescent="0.35">
      <c r="B1316" t="s">
        <v>377</v>
      </c>
      <c r="C1316" s="14">
        <v>0.45014888022644101</v>
      </c>
      <c r="D1316" s="14">
        <v>0.47405595667524297</v>
      </c>
      <c r="E1316" s="14">
        <v>0.42771735791633197</v>
      </c>
      <c r="F1316" s="14"/>
      <c r="G1316" s="14" t="s">
        <v>76</v>
      </c>
      <c r="H1316" s="14" t="s">
        <v>76</v>
      </c>
      <c r="I1316" s="14">
        <v>0.45014888022644101</v>
      </c>
      <c r="J1316" s="14"/>
      <c r="K1316" s="14" t="s">
        <v>76</v>
      </c>
      <c r="L1316" s="14">
        <v>0.49674648986803899</v>
      </c>
      <c r="M1316" s="14">
        <v>0.36153255767463499</v>
      </c>
      <c r="N1316" s="14"/>
      <c r="O1316" s="14">
        <v>0.43230795137261002</v>
      </c>
      <c r="P1316" s="14">
        <v>0.59746337744608902</v>
      </c>
      <c r="Q1316" s="14"/>
      <c r="R1316" s="14">
        <v>0.54311407228449504</v>
      </c>
      <c r="S1316" s="14">
        <v>0.42007725422612902</v>
      </c>
      <c r="T1316" s="14">
        <v>0.381662047380809</v>
      </c>
      <c r="U1316" s="14">
        <v>0.46158022636164597</v>
      </c>
      <c r="V1316" s="14">
        <v>0.44153118042288297</v>
      </c>
      <c r="W1316" s="14">
        <v>0.451962905320136</v>
      </c>
      <c r="X1316" s="14">
        <v>0.39647256237686201</v>
      </c>
      <c r="Y1316" s="14">
        <v>0.50160042559037499</v>
      </c>
      <c r="Z1316" s="14">
        <v>0.43532546615530898</v>
      </c>
      <c r="AA1316" s="14"/>
      <c r="AB1316" s="14">
        <v>0.43823454155654601</v>
      </c>
      <c r="AC1316" s="14">
        <v>0.70367506086951503</v>
      </c>
      <c r="AD1316" s="14">
        <v>0.27152990651209702</v>
      </c>
      <c r="AE1316" s="14">
        <v>0.50477868881569099</v>
      </c>
      <c r="AF1316" s="14"/>
      <c r="AG1316" s="14">
        <v>0.63070822096357804</v>
      </c>
      <c r="AH1316" s="14">
        <v>0.14663520088594401</v>
      </c>
      <c r="AI1316" s="14"/>
      <c r="AJ1316" s="14">
        <v>0.46152473128875099</v>
      </c>
      <c r="AK1316" s="14">
        <v>0.27074397596897398</v>
      </c>
      <c r="AL1316" s="14"/>
      <c r="AM1316" s="14">
        <v>0.63928105271313196</v>
      </c>
      <c r="AN1316" s="14">
        <v>0.18510332040347299</v>
      </c>
    </row>
    <row r="1317" spans="2:40" x14ac:dyDescent="0.35">
      <c r="B1317" t="s">
        <v>378</v>
      </c>
      <c r="C1317" s="14">
        <v>0.40448917470905998</v>
      </c>
      <c r="D1317" s="14">
        <v>0.405809012539948</v>
      </c>
      <c r="E1317" s="14">
        <v>0.405335067723192</v>
      </c>
      <c r="F1317" s="14"/>
      <c r="G1317" s="14" t="s">
        <v>76</v>
      </c>
      <c r="H1317" s="14" t="s">
        <v>76</v>
      </c>
      <c r="I1317" s="14">
        <v>0.40448917470905998</v>
      </c>
      <c r="J1317" s="14"/>
      <c r="K1317" s="14" t="s">
        <v>76</v>
      </c>
      <c r="L1317" s="14">
        <v>0.37680976876987998</v>
      </c>
      <c r="M1317" s="14">
        <v>0.45712808008670902</v>
      </c>
      <c r="N1317" s="14"/>
      <c r="O1317" s="14">
        <v>0.43007549165364001</v>
      </c>
      <c r="P1317" s="14">
        <v>0.28100216298206199</v>
      </c>
      <c r="Q1317" s="14"/>
      <c r="R1317" s="14">
        <v>0.33459558903702002</v>
      </c>
      <c r="S1317" s="14">
        <v>0.41380908693211699</v>
      </c>
      <c r="T1317" s="14">
        <v>0.456781006929244</v>
      </c>
      <c r="U1317" s="14">
        <v>0.41534499797380497</v>
      </c>
      <c r="V1317" s="14">
        <v>0.34792543536590098</v>
      </c>
      <c r="W1317" s="14">
        <v>0.43727901641933198</v>
      </c>
      <c r="X1317" s="14">
        <v>0.45092823002569099</v>
      </c>
      <c r="Y1317" s="14">
        <v>0.35163552642047002</v>
      </c>
      <c r="Z1317" s="14">
        <v>0.43312103224278298</v>
      </c>
      <c r="AA1317" s="14"/>
      <c r="AB1317" s="14">
        <v>0.40087835405413003</v>
      </c>
      <c r="AC1317" s="14">
        <v>0.27196386030974501</v>
      </c>
      <c r="AD1317" s="14">
        <v>0.52117215868116995</v>
      </c>
      <c r="AE1317" s="14">
        <v>0.38314977029845798</v>
      </c>
      <c r="AF1317" s="14"/>
      <c r="AG1317" s="14">
        <v>0.33779141377484501</v>
      </c>
      <c r="AH1317" s="14">
        <v>0.60213328386295395</v>
      </c>
      <c r="AI1317" s="14"/>
      <c r="AJ1317" s="14">
        <v>0.43017888052831899</v>
      </c>
      <c r="AK1317" s="14">
        <v>0.47984120472637598</v>
      </c>
      <c r="AL1317" s="14"/>
      <c r="AM1317" s="14">
        <v>0.31302104568903999</v>
      </c>
      <c r="AN1317" s="14">
        <v>0.495397226926231</v>
      </c>
    </row>
    <row r="1318" spans="2:40" x14ac:dyDescent="0.35">
      <c r="B1318" t="s">
        <v>379</v>
      </c>
      <c r="C1318" s="14">
        <v>9.7271966228134499E-2</v>
      </c>
      <c r="D1318" s="14">
        <v>7.5231226828925093E-2</v>
      </c>
      <c r="E1318" s="14">
        <v>0.11700836000046801</v>
      </c>
      <c r="F1318" s="14"/>
      <c r="G1318" s="14" t="s">
        <v>76</v>
      </c>
      <c r="H1318" s="14" t="s">
        <v>76</v>
      </c>
      <c r="I1318" s="14">
        <v>9.7271966228134499E-2</v>
      </c>
      <c r="J1318" s="14"/>
      <c r="K1318" s="14" t="s">
        <v>76</v>
      </c>
      <c r="L1318" s="14">
        <v>8.0246339464458194E-2</v>
      </c>
      <c r="M1318" s="14">
        <v>0.12965020289179699</v>
      </c>
      <c r="N1318" s="14"/>
      <c r="O1318" s="14">
        <v>9.5761888468298598E-2</v>
      </c>
      <c r="P1318" s="14">
        <v>9.0757788824293306E-2</v>
      </c>
      <c r="Q1318" s="14"/>
      <c r="R1318" s="14">
        <v>6.7996131241294805E-2</v>
      </c>
      <c r="S1318" s="14">
        <v>0.113497123385381</v>
      </c>
      <c r="T1318" s="14">
        <v>0.118425215269096</v>
      </c>
      <c r="U1318" s="14">
        <v>8.6607442818534899E-2</v>
      </c>
      <c r="V1318" s="14">
        <v>0.14649125697318799</v>
      </c>
      <c r="W1318" s="14">
        <v>7.6748886248314704E-2</v>
      </c>
      <c r="X1318" s="14">
        <v>0.11754215398429201</v>
      </c>
      <c r="Y1318" s="14">
        <v>9.1943371056660603E-2</v>
      </c>
      <c r="Z1318" s="14">
        <v>7.7780642407673795E-2</v>
      </c>
      <c r="AA1318" s="14"/>
      <c r="AB1318" s="14">
        <v>0.115101478829347</v>
      </c>
      <c r="AC1318" s="14">
        <v>1.7759850184065201E-2</v>
      </c>
      <c r="AD1318" s="14">
        <v>0.16544089608162099</v>
      </c>
      <c r="AE1318" s="14">
        <v>7.4724847589378696E-2</v>
      </c>
      <c r="AF1318" s="14"/>
      <c r="AG1318" s="14">
        <v>2.4525268262663501E-2</v>
      </c>
      <c r="AH1318" s="14">
        <v>0.21013363407649999</v>
      </c>
      <c r="AI1318" s="14"/>
      <c r="AJ1318" s="14">
        <v>8.9395380288718199E-2</v>
      </c>
      <c r="AK1318" s="14">
        <v>0.18330100376580599</v>
      </c>
      <c r="AL1318" s="14"/>
      <c r="AM1318" s="14">
        <v>2.6222189605522701E-2</v>
      </c>
      <c r="AN1318" s="14">
        <v>0.21587579976288099</v>
      </c>
    </row>
    <row r="1319" spans="2:40" x14ac:dyDescent="0.35">
      <c r="B1319" t="s">
        <v>380</v>
      </c>
      <c r="C1319" s="14">
        <v>2.9416393973450299E-2</v>
      </c>
      <c r="D1319" s="14">
        <v>2.51277697455193E-2</v>
      </c>
      <c r="E1319" s="14">
        <v>3.3584752473404297E-2</v>
      </c>
      <c r="F1319" s="14"/>
      <c r="G1319" s="14" t="s">
        <v>76</v>
      </c>
      <c r="H1319" s="14" t="s">
        <v>76</v>
      </c>
      <c r="I1319" s="14">
        <v>2.9416393973450299E-2</v>
      </c>
      <c r="J1319" s="14"/>
      <c r="K1319" s="14" t="s">
        <v>76</v>
      </c>
      <c r="L1319" s="14">
        <v>2.3487811524415401E-2</v>
      </c>
      <c r="M1319" s="14">
        <v>4.0690988928416598E-2</v>
      </c>
      <c r="N1319" s="14"/>
      <c r="O1319" s="14">
        <v>2.5193128948775501E-2</v>
      </c>
      <c r="P1319" s="14">
        <v>2.13418112945006E-2</v>
      </c>
      <c r="Q1319" s="14"/>
      <c r="R1319" s="14">
        <v>2.74293746753159E-2</v>
      </c>
      <c r="S1319" s="14">
        <v>3.6757716789875002E-2</v>
      </c>
      <c r="T1319" s="14">
        <v>1.7770453888660599E-2</v>
      </c>
      <c r="U1319" s="14">
        <v>1.46434278031016E-2</v>
      </c>
      <c r="V1319" s="14">
        <v>4.6470010647705999E-2</v>
      </c>
      <c r="W1319" s="14">
        <v>1.6682186063196901E-2</v>
      </c>
      <c r="X1319" s="14">
        <v>3.50570536131556E-2</v>
      </c>
      <c r="Y1319" s="14">
        <v>5.4820676932494997E-2</v>
      </c>
      <c r="Z1319" s="14">
        <v>2.6261486971064198E-2</v>
      </c>
      <c r="AA1319" s="14"/>
      <c r="AB1319" s="14">
        <v>3.8493281989704503E-2</v>
      </c>
      <c r="AC1319" s="14">
        <v>6.6012286366745696E-3</v>
      </c>
      <c r="AD1319" s="14">
        <v>4.1857038725112101E-2</v>
      </c>
      <c r="AE1319" s="14">
        <v>3.7346693296471702E-2</v>
      </c>
      <c r="AF1319" s="14"/>
      <c r="AG1319" s="14">
        <v>0</v>
      </c>
      <c r="AH1319" s="14">
        <v>4.1097881174602301E-2</v>
      </c>
      <c r="AI1319" s="14"/>
      <c r="AJ1319" s="14">
        <v>1.43637068520065E-2</v>
      </c>
      <c r="AK1319" s="14">
        <v>5.8206567186858502E-2</v>
      </c>
      <c r="AL1319" s="14"/>
      <c r="AM1319" s="14">
        <v>1.38272529303559E-2</v>
      </c>
      <c r="AN1319" s="14">
        <v>6.6913571009082198E-2</v>
      </c>
    </row>
    <row r="1320" spans="2:40" x14ac:dyDescent="0.35">
      <c r="B1320" t="s">
        <v>70</v>
      </c>
      <c r="C1320" s="14">
        <v>1.8673584862914198E-2</v>
      </c>
      <c r="D1320" s="14">
        <v>1.97760342103648E-2</v>
      </c>
      <c r="E1320" s="14">
        <v>1.6354461886604402E-2</v>
      </c>
      <c r="F1320" s="14"/>
      <c r="G1320" s="14" t="s">
        <v>76</v>
      </c>
      <c r="H1320" s="14" t="s">
        <v>76</v>
      </c>
      <c r="I1320" s="14">
        <v>1.8673584862914198E-2</v>
      </c>
      <c r="J1320" s="14"/>
      <c r="K1320" s="14" t="s">
        <v>76</v>
      </c>
      <c r="L1320" s="14">
        <v>2.27095903732073E-2</v>
      </c>
      <c r="M1320" s="14">
        <v>1.0998170418441901E-2</v>
      </c>
      <c r="N1320" s="14"/>
      <c r="O1320" s="14">
        <v>1.66615395566765E-2</v>
      </c>
      <c r="P1320" s="14">
        <v>9.4348594530555708E-3</v>
      </c>
      <c r="Q1320" s="14"/>
      <c r="R1320" s="14">
        <v>2.6864832761874301E-2</v>
      </c>
      <c r="S1320" s="14">
        <v>1.5858818666499099E-2</v>
      </c>
      <c r="T1320" s="14">
        <v>2.5361276532190301E-2</v>
      </c>
      <c r="U1320" s="14">
        <v>2.1823905042912602E-2</v>
      </c>
      <c r="V1320" s="14">
        <v>1.7582116590322699E-2</v>
      </c>
      <c r="W1320" s="14">
        <v>1.7327005949020698E-2</v>
      </c>
      <c r="X1320" s="14">
        <v>0</v>
      </c>
      <c r="Y1320" s="14">
        <v>0</v>
      </c>
      <c r="Z1320" s="14">
        <v>2.7511372223169999E-2</v>
      </c>
      <c r="AA1320" s="14"/>
      <c r="AB1320" s="14">
        <v>7.2923435702724202E-3</v>
      </c>
      <c r="AC1320" s="14">
        <v>0</v>
      </c>
      <c r="AD1320" s="14">
        <v>0</v>
      </c>
      <c r="AE1320" s="14">
        <v>0</v>
      </c>
      <c r="AF1320" s="14"/>
      <c r="AG1320" s="14">
        <v>6.9750969989137096E-3</v>
      </c>
      <c r="AH1320" s="14">
        <v>0</v>
      </c>
      <c r="AI1320" s="14"/>
      <c r="AJ1320" s="14">
        <v>4.5373010422058201E-3</v>
      </c>
      <c r="AK1320" s="14">
        <v>7.9072483519856997E-3</v>
      </c>
      <c r="AL1320" s="14"/>
      <c r="AM1320" s="14">
        <v>7.6484590619487099E-3</v>
      </c>
      <c r="AN1320" s="14">
        <v>3.6710081898332601E-2</v>
      </c>
    </row>
    <row r="1321" spans="2:40" x14ac:dyDescent="0.35">
      <c r="B1321" t="s">
        <v>381</v>
      </c>
      <c r="C1321" s="14">
        <v>0.85463805493550105</v>
      </c>
      <c r="D1321" s="14">
        <v>0.87986496921519097</v>
      </c>
      <c r="E1321" s="14">
        <v>0.83305242563952298</v>
      </c>
      <c r="F1321" s="14"/>
      <c r="G1321" s="14" t="s">
        <v>76</v>
      </c>
      <c r="H1321" s="14" t="s">
        <v>76</v>
      </c>
      <c r="I1321" s="14">
        <v>0.85463805493550105</v>
      </c>
      <c r="J1321" s="14"/>
      <c r="K1321" s="14" t="s">
        <v>76</v>
      </c>
      <c r="L1321" s="14">
        <v>0.87355625863791897</v>
      </c>
      <c r="M1321" s="14">
        <v>0.81866063776134501</v>
      </c>
      <c r="N1321" s="14"/>
      <c r="O1321" s="14">
        <v>0.86238344302624903</v>
      </c>
      <c r="P1321" s="14">
        <v>0.87846554042815095</v>
      </c>
      <c r="Q1321" s="14"/>
      <c r="R1321" s="14">
        <v>0.87770966132151496</v>
      </c>
      <c r="S1321" s="14">
        <v>0.833886341158245</v>
      </c>
      <c r="T1321" s="14">
        <v>0.83844305431005295</v>
      </c>
      <c r="U1321" s="14">
        <v>0.87692522433545095</v>
      </c>
      <c r="V1321" s="14">
        <v>0.78945661578878301</v>
      </c>
      <c r="W1321" s="14">
        <v>0.88924192173946803</v>
      </c>
      <c r="X1321" s="14">
        <v>0.84740079240255195</v>
      </c>
      <c r="Y1321" s="14">
        <v>0.85323595201084401</v>
      </c>
      <c r="Z1321" s="14">
        <v>0.86844649839809196</v>
      </c>
      <c r="AA1321" s="14"/>
      <c r="AB1321" s="14">
        <v>0.83911289561067604</v>
      </c>
      <c r="AC1321" s="14">
        <v>0.97563892117925999</v>
      </c>
      <c r="AD1321" s="14">
        <v>0.79270206519326603</v>
      </c>
      <c r="AE1321" s="14">
        <v>0.88792845911414997</v>
      </c>
      <c r="AF1321" s="14"/>
      <c r="AG1321" s="14">
        <v>0.96849963473842304</v>
      </c>
      <c r="AH1321" s="14">
        <v>0.74876848474889801</v>
      </c>
      <c r="AI1321" s="14"/>
      <c r="AJ1321" s="14">
        <v>0.89170361181707003</v>
      </c>
      <c r="AK1321" s="14">
        <v>0.75058518069534996</v>
      </c>
      <c r="AL1321" s="14"/>
      <c r="AM1321" s="14">
        <v>0.95230209840217295</v>
      </c>
      <c r="AN1321" s="14">
        <v>0.680500547329704</v>
      </c>
    </row>
    <row r="1322" spans="2:40" x14ac:dyDescent="0.35">
      <c r="C1322" s="14"/>
      <c r="D1322" s="14"/>
      <c r="E1322" s="14"/>
      <c r="F1322" s="14"/>
      <c r="G1322" s="14"/>
      <c r="H1322" s="14"/>
      <c r="I1322" s="14"/>
      <c r="J1322" s="14"/>
      <c r="K1322" s="14"/>
      <c r="L1322" s="14"/>
      <c r="M1322" s="14"/>
      <c r="N1322" s="14"/>
      <c r="O1322" s="14"/>
      <c r="P1322" s="14"/>
      <c r="Q1322" s="14"/>
      <c r="R1322" s="14"/>
      <c r="S1322" s="14"/>
      <c r="T1322" s="14"/>
      <c r="U1322" s="14"/>
      <c r="V1322" s="14"/>
      <c r="W1322" s="14"/>
      <c r="X1322" s="14"/>
      <c r="Y1322" s="14"/>
      <c r="Z1322" s="14"/>
      <c r="AA1322" s="14"/>
      <c r="AB1322" s="14"/>
      <c r="AC1322" s="14"/>
      <c r="AD1322" s="14"/>
      <c r="AE1322" s="14"/>
      <c r="AF1322" s="14"/>
      <c r="AG1322" s="14"/>
      <c r="AH1322" s="14"/>
      <c r="AI1322" s="14"/>
      <c r="AJ1322" s="14"/>
      <c r="AK1322" s="14"/>
      <c r="AL1322" s="14"/>
      <c r="AM1322" s="14"/>
      <c r="AN1322" s="14"/>
    </row>
    <row r="1323" spans="2:40" x14ac:dyDescent="0.35">
      <c r="B1323" s="6" t="s">
        <v>384</v>
      </c>
      <c r="C1323" s="14"/>
      <c r="D1323" s="14"/>
      <c r="E1323" s="14"/>
      <c r="F1323" s="14"/>
      <c r="G1323" s="14"/>
      <c r="H1323" s="14"/>
      <c r="I1323" s="14"/>
      <c r="J1323" s="14"/>
      <c r="K1323" s="14"/>
      <c r="L1323" s="14"/>
      <c r="M1323" s="14"/>
      <c r="N1323" s="14"/>
      <c r="O1323" s="14"/>
      <c r="P1323" s="14"/>
      <c r="Q1323" s="14"/>
      <c r="R1323" s="14"/>
      <c r="S1323" s="14"/>
      <c r="T1323" s="14"/>
      <c r="U1323" s="14"/>
      <c r="V1323" s="14"/>
      <c r="W1323" s="14"/>
      <c r="X1323" s="14"/>
      <c r="Y1323" s="14"/>
      <c r="Z1323" s="14"/>
      <c r="AA1323" s="14"/>
      <c r="AB1323" s="14"/>
      <c r="AC1323" s="14"/>
      <c r="AD1323" s="14"/>
      <c r="AE1323" s="14"/>
      <c r="AF1323" s="14"/>
      <c r="AG1323" s="14"/>
      <c r="AH1323" s="14"/>
      <c r="AI1323" s="14"/>
      <c r="AJ1323" s="14"/>
      <c r="AK1323" s="14"/>
      <c r="AL1323" s="14"/>
      <c r="AM1323" s="14"/>
      <c r="AN1323" s="14"/>
    </row>
    <row r="1324" spans="2:40" x14ac:dyDescent="0.35">
      <c r="B1324" s="24" t="s">
        <v>74</v>
      </c>
      <c r="C1324" s="14"/>
      <c r="D1324" s="14"/>
      <c r="E1324" s="14"/>
      <c r="F1324" s="14"/>
      <c r="G1324" s="14"/>
      <c r="H1324" s="14"/>
      <c r="I1324" s="14"/>
      <c r="J1324" s="14"/>
      <c r="K1324" s="14"/>
      <c r="L1324" s="14"/>
      <c r="M1324" s="14"/>
      <c r="N1324" s="14"/>
      <c r="O1324" s="14"/>
      <c r="P1324" s="14"/>
      <c r="Q1324" s="14"/>
      <c r="R1324" s="14"/>
      <c r="S1324" s="14"/>
      <c r="T1324" s="14"/>
      <c r="U1324" s="14"/>
      <c r="V1324" s="14"/>
      <c r="W1324" s="14"/>
      <c r="X1324" s="14"/>
      <c r="Y1324" s="14"/>
      <c r="Z1324" s="14"/>
      <c r="AA1324" s="14"/>
      <c r="AB1324" s="14"/>
      <c r="AC1324" s="14"/>
      <c r="AD1324" s="14"/>
      <c r="AE1324" s="14"/>
      <c r="AF1324" s="14"/>
      <c r="AG1324" s="14"/>
      <c r="AH1324" s="14"/>
      <c r="AI1324" s="14"/>
      <c r="AJ1324" s="14"/>
      <c r="AK1324" s="14"/>
      <c r="AL1324" s="14"/>
      <c r="AM1324" s="14"/>
      <c r="AN1324" s="14"/>
    </row>
    <row r="1325" spans="2:40" x14ac:dyDescent="0.35">
      <c r="B1325" t="s">
        <v>377</v>
      </c>
      <c r="C1325" s="14">
        <v>0.33797457824291299</v>
      </c>
      <c r="D1325" s="14">
        <v>0.36400571308276097</v>
      </c>
      <c r="E1325" s="14">
        <v>0.31697192650755701</v>
      </c>
      <c r="F1325" s="14"/>
      <c r="G1325" s="14" t="s">
        <v>76</v>
      </c>
      <c r="H1325" s="14" t="s">
        <v>76</v>
      </c>
      <c r="I1325" s="14">
        <v>0.33797457824291299</v>
      </c>
      <c r="J1325" s="14"/>
      <c r="K1325" s="14" t="s">
        <v>76</v>
      </c>
      <c r="L1325" s="14">
        <v>0.38246020832406702</v>
      </c>
      <c r="M1325" s="14">
        <v>0.25337468192821799</v>
      </c>
      <c r="N1325" s="14"/>
      <c r="O1325" s="14">
        <v>0.319490719098869</v>
      </c>
      <c r="P1325" s="14">
        <v>0.49222692672922103</v>
      </c>
      <c r="Q1325" s="14"/>
      <c r="R1325" s="14">
        <v>0.45819084702608098</v>
      </c>
      <c r="S1325" s="14">
        <v>0.28894258820209401</v>
      </c>
      <c r="T1325" s="14">
        <v>0.27720815410143301</v>
      </c>
      <c r="U1325" s="14">
        <v>0.308953072035691</v>
      </c>
      <c r="V1325" s="14">
        <v>0.34980987679866499</v>
      </c>
      <c r="W1325" s="14">
        <v>0.310415796649052</v>
      </c>
      <c r="X1325" s="14">
        <v>0.319804766220467</v>
      </c>
      <c r="Y1325" s="14">
        <v>0.34355846799277501</v>
      </c>
      <c r="Z1325" s="14">
        <v>0.34279108542211401</v>
      </c>
      <c r="AA1325" s="14"/>
      <c r="AB1325" s="14">
        <v>0.29486637985637498</v>
      </c>
      <c r="AC1325" s="14">
        <v>0.572712575939895</v>
      </c>
      <c r="AD1325" s="14">
        <v>0.161645613190809</v>
      </c>
      <c r="AE1325" s="14">
        <v>0.39609257815563897</v>
      </c>
      <c r="AF1325" s="14"/>
      <c r="AG1325" s="14">
        <v>0.63333305521123295</v>
      </c>
      <c r="AH1325" s="14">
        <v>0.123257600228388</v>
      </c>
      <c r="AI1325" s="14"/>
      <c r="AJ1325" s="14">
        <v>0.45506171619375702</v>
      </c>
      <c r="AK1325" s="14">
        <v>5.2185627443358001E-2</v>
      </c>
      <c r="AL1325" s="14"/>
      <c r="AM1325" s="14">
        <v>0.51450934905524603</v>
      </c>
      <c r="AN1325" s="14">
        <v>9.1352819009117903E-2</v>
      </c>
    </row>
    <row r="1326" spans="2:40" x14ac:dyDescent="0.35">
      <c r="B1326" t="s">
        <v>378</v>
      </c>
      <c r="C1326" s="14">
        <v>0.315299872465644</v>
      </c>
      <c r="D1326" s="14">
        <v>0.32544823951540403</v>
      </c>
      <c r="E1326" s="14">
        <v>0.30433365456693601</v>
      </c>
      <c r="F1326" s="14"/>
      <c r="G1326" s="14" t="s">
        <v>76</v>
      </c>
      <c r="H1326" s="14" t="s">
        <v>76</v>
      </c>
      <c r="I1326" s="14">
        <v>0.315299872465644</v>
      </c>
      <c r="J1326" s="14"/>
      <c r="K1326" s="14" t="s">
        <v>76</v>
      </c>
      <c r="L1326" s="14">
        <v>0.31539901772922702</v>
      </c>
      <c r="M1326" s="14">
        <v>0.31511132441082701</v>
      </c>
      <c r="N1326" s="14"/>
      <c r="O1326" s="14">
        <v>0.321963962292385</v>
      </c>
      <c r="P1326" s="14">
        <v>0.29799470747851498</v>
      </c>
      <c r="Q1326" s="14"/>
      <c r="R1326" s="14">
        <v>0.26978086629791398</v>
      </c>
      <c r="S1326" s="14">
        <v>0.27479806856968098</v>
      </c>
      <c r="T1326" s="14">
        <v>0.31471198247702398</v>
      </c>
      <c r="U1326" s="14">
        <v>0.35060346201839299</v>
      </c>
      <c r="V1326" s="14">
        <v>0.28556583585881601</v>
      </c>
      <c r="W1326" s="14">
        <v>0.294226460857754</v>
      </c>
      <c r="X1326" s="14">
        <v>0.38988055299929703</v>
      </c>
      <c r="Y1326" s="14">
        <v>0.40045656375740102</v>
      </c>
      <c r="Z1326" s="14">
        <v>0.34038489385436299</v>
      </c>
      <c r="AA1326" s="14"/>
      <c r="AB1326" s="14">
        <v>0.29280072129211199</v>
      </c>
      <c r="AC1326" s="14">
        <v>0.27143006207361497</v>
      </c>
      <c r="AD1326" s="14">
        <v>0.32308161404714297</v>
      </c>
      <c r="AE1326" s="14">
        <v>0.30622059652030997</v>
      </c>
      <c r="AF1326" s="14"/>
      <c r="AG1326" s="14">
        <v>0.30658874506030898</v>
      </c>
      <c r="AH1326" s="14">
        <v>0.38009014742375002</v>
      </c>
      <c r="AI1326" s="14"/>
      <c r="AJ1326" s="14">
        <v>0.33227748050325201</v>
      </c>
      <c r="AK1326" s="14">
        <v>0.29946414227261398</v>
      </c>
      <c r="AL1326" s="14"/>
      <c r="AM1326" s="14">
        <v>0.33714333613095798</v>
      </c>
      <c r="AN1326" s="14">
        <v>0.282899384177425</v>
      </c>
    </row>
    <row r="1327" spans="2:40" x14ac:dyDescent="0.35">
      <c r="B1327" t="s">
        <v>379</v>
      </c>
      <c r="C1327" s="14">
        <v>0.175760633944998</v>
      </c>
      <c r="D1327" s="14">
        <v>0.165300962328261</v>
      </c>
      <c r="E1327" s="14">
        <v>0.18424222142641</v>
      </c>
      <c r="F1327" s="14"/>
      <c r="G1327" s="14" t="s">
        <v>76</v>
      </c>
      <c r="H1327" s="14" t="s">
        <v>76</v>
      </c>
      <c r="I1327" s="14">
        <v>0.175760633944998</v>
      </c>
      <c r="J1327" s="14"/>
      <c r="K1327" s="14" t="s">
        <v>76</v>
      </c>
      <c r="L1327" s="14">
        <v>0.16614725928079199</v>
      </c>
      <c r="M1327" s="14">
        <v>0.19404272859764099</v>
      </c>
      <c r="N1327" s="14"/>
      <c r="O1327" s="14">
        <v>0.19070778512153899</v>
      </c>
      <c r="P1327" s="14">
        <v>8.2999682860853893E-2</v>
      </c>
      <c r="Q1327" s="14"/>
      <c r="R1327" s="14">
        <v>0.13784690464246099</v>
      </c>
      <c r="S1327" s="14">
        <v>0.22605950833023</v>
      </c>
      <c r="T1327" s="14">
        <v>0.23265465000583799</v>
      </c>
      <c r="U1327" s="14">
        <v>0.148930247910978</v>
      </c>
      <c r="V1327" s="14">
        <v>0.19397419552051101</v>
      </c>
      <c r="W1327" s="14">
        <v>0.200403528592284</v>
      </c>
      <c r="X1327" s="14">
        <v>0.14563374947822999</v>
      </c>
      <c r="Y1327" s="14">
        <v>0.107701141646942</v>
      </c>
      <c r="Z1327" s="14">
        <v>0.159828841133308</v>
      </c>
      <c r="AA1327" s="14"/>
      <c r="AB1327" s="14">
        <v>0.24183789632545499</v>
      </c>
      <c r="AC1327" s="14">
        <v>9.9202211322960296E-2</v>
      </c>
      <c r="AD1327" s="14">
        <v>0.24243899921319501</v>
      </c>
      <c r="AE1327" s="14">
        <v>0.119664491972786</v>
      </c>
      <c r="AF1327" s="14"/>
      <c r="AG1327" s="14">
        <v>3.2633490368451201E-2</v>
      </c>
      <c r="AH1327" s="14">
        <v>0.18163554653904501</v>
      </c>
      <c r="AI1327" s="14"/>
      <c r="AJ1327" s="14">
        <v>8.4709699506532801E-2</v>
      </c>
      <c r="AK1327" s="14">
        <v>0.31630152966570102</v>
      </c>
      <c r="AL1327" s="14"/>
      <c r="AM1327" s="14">
        <v>7.5867721482096306E-2</v>
      </c>
      <c r="AN1327" s="14">
        <v>0.296912637106654</v>
      </c>
    </row>
    <row r="1328" spans="2:40" x14ac:dyDescent="0.35">
      <c r="B1328" t="s">
        <v>380</v>
      </c>
      <c r="C1328" s="14">
        <v>0.105602132292268</v>
      </c>
      <c r="D1328" s="14">
        <v>8.7518555568618803E-2</v>
      </c>
      <c r="E1328" s="14">
        <v>0.12302516769534901</v>
      </c>
      <c r="F1328" s="14"/>
      <c r="G1328" s="14" t="s">
        <v>76</v>
      </c>
      <c r="H1328" s="14" t="s">
        <v>76</v>
      </c>
      <c r="I1328" s="14">
        <v>0.105602132292268</v>
      </c>
      <c r="J1328" s="14"/>
      <c r="K1328" s="14" t="s">
        <v>76</v>
      </c>
      <c r="L1328" s="14">
        <v>6.7895955944114794E-2</v>
      </c>
      <c r="M1328" s="14">
        <v>0.17730930163342601</v>
      </c>
      <c r="N1328" s="14"/>
      <c r="O1328" s="14">
        <v>0.104660665256002</v>
      </c>
      <c r="P1328" s="14">
        <v>8.4733793711837702E-2</v>
      </c>
      <c r="Q1328" s="14"/>
      <c r="R1328" s="14">
        <v>8.7243003001171104E-2</v>
      </c>
      <c r="S1328" s="14">
        <v>0.15314351174266899</v>
      </c>
      <c r="T1328" s="14">
        <v>0.10842244587191401</v>
      </c>
      <c r="U1328" s="14">
        <v>9.6850297831487006E-2</v>
      </c>
      <c r="V1328" s="14">
        <v>0.101166136978419</v>
      </c>
      <c r="W1328" s="14">
        <v>0.124375223764459</v>
      </c>
      <c r="X1328" s="14">
        <v>9.5136093834777197E-2</v>
      </c>
      <c r="Y1328" s="14">
        <v>0.12209966548946</v>
      </c>
      <c r="Z1328" s="14">
        <v>6.3583637038251803E-2</v>
      </c>
      <c r="AA1328" s="14"/>
      <c r="AB1328" s="14">
        <v>0.111527125546832</v>
      </c>
      <c r="AC1328" s="14">
        <v>2.1756351238097799E-2</v>
      </c>
      <c r="AD1328" s="14">
        <v>0.206715869148547</v>
      </c>
      <c r="AE1328" s="14">
        <v>0.152039083067501</v>
      </c>
      <c r="AF1328" s="14"/>
      <c r="AG1328" s="14">
        <v>2.0469612361093299E-2</v>
      </c>
      <c r="AH1328" s="14">
        <v>0.28617308355579402</v>
      </c>
      <c r="AI1328" s="14"/>
      <c r="AJ1328" s="14">
        <v>0.11333295861456801</v>
      </c>
      <c r="AK1328" s="14">
        <v>0.24153998501868701</v>
      </c>
      <c r="AL1328" s="14"/>
      <c r="AM1328" s="14">
        <v>4.5714139019118402E-2</v>
      </c>
      <c r="AN1328" s="14">
        <v>0.22877548807482601</v>
      </c>
    </row>
    <row r="1329" spans="2:40" x14ac:dyDescent="0.35">
      <c r="B1329" t="s">
        <v>70</v>
      </c>
      <c r="C1329" s="14">
        <v>6.5362783054176601E-2</v>
      </c>
      <c r="D1329" s="14">
        <v>5.7726529504955298E-2</v>
      </c>
      <c r="E1329" s="14">
        <v>7.1427029803748002E-2</v>
      </c>
      <c r="F1329" s="14"/>
      <c r="G1329" s="14" t="s">
        <v>76</v>
      </c>
      <c r="H1329" s="14" t="s">
        <v>76</v>
      </c>
      <c r="I1329" s="14">
        <v>6.5362783054176601E-2</v>
      </c>
      <c r="J1329" s="14"/>
      <c r="K1329" s="14" t="s">
        <v>76</v>
      </c>
      <c r="L1329" s="14">
        <v>6.8097558721800205E-2</v>
      </c>
      <c r="M1329" s="14">
        <v>6.0161963429887999E-2</v>
      </c>
      <c r="N1329" s="14"/>
      <c r="O1329" s="14">
        <v>6.3176868231205205E-2</v>
      </c>
      <c r="P1329" s="14">
        <v>4.2044889219572203E-2</v>
      </c>
      <c r="Q1329" s="14"/>
      <c r="R1329" s="14">
        <v>4.69383790323731E-2</v>
      </c>
      <c r="S1329" s="14">
        <v>5.7056323155326001E-2</v>
      </c>
      <c r="T1329" s="14">
        <v>6.7002767543791503E-2</v>
      </c>
      <c r="U1329" s="14">
        <v>9.4662920203451004E-2</v>
      </c>
      <c r="V1329" s="14">
        <v>6.9483954843589102E-2</v>
      </c>
      <c r="W1329" s="14">
        <v>7.0578990136450206E-2</v>
      </c>
      <c r="X1329" s="14">
        <v>4.9544837467228202E-2</v>
      </c>
      <c r="Y1329" s="14">
        <v>2.61841611134228E-2</v>
      </c>
      <c r="Z1329" s="14">
        <v>9.3411542551963503E-2</v>
      </c>
      <c r="AA1329" s="14"/>
      <c r="AB1329" s="14">
        <v>5.8967876979225002E-2</v>
      </c>
      <c r="AC1329" s="14">
        <v>3.4898799425431497E-2</v>
      </c>
      <c r="AD1329" s="14">
        <v>6.6117904400305794E-2</v>
      </c>
      <c r="AE1329" s="14">
        <v>2.5983250283764001E-2</v>
      </c>
      <c r="AF1329" s="14"/>
      <c r="AG1329" s="14">
        <v>6.9750969989137096E-3</v>
      </c>
      <c r="AH1329" s="14">
        <v>2.8843622253024E-2</v>
      </c>
      <c r="AI1329" s="14"/>
      <c r="AJ1329" s="14">
        <v>1.46181451818905E-2</v>
      </c>
      <c r="AK1329" s="14">
        <v>9.0508715599640702E-2</v>
      </c>
      <c r="AL1329" s="14"/>
      <c r="AM1329" s="14">
        <v>2.6765454312581E-2</v>
      </c>
      <c r="AN1329" s="14">
        <v>0.100059671631977</v>
      </c>
    </row>
    <row r="1330" spans="2:40" x14ac:dyDescent="0.35">
      <c r="B1330" t="s">
        <v>381</v>
      </c>
      <c r="C1330" s="14">
        <v>0.65327445070855805</v>
      </c>
      <c r="D1330" s="14">
        <v>0.689453952598165</v>
      </c>
      <c r="E1330" s="14">
        <v>0.62130558107449196</v>
      </c>
      <c r="F1330" s="14"/>
      <c r="G1330" s="14" t="s">
        <v>76</v>
      </c>
      <c r="H1330" s="14" t="s">
        <v>76</v>
      </c>
      <c r="I1330" s="14">
        <v>0.65327445070855805</v>
      </c>
      <c r="J1330" s="14"/>
      <c r="K1330" s="14" t="s">
        <v>76</v>
      </c>
      <c r="L1330" s="14">
        <v>0.69785922605329298</v>
      </c>
      <c r="M1330" s="14">
        <v>0.568486006339044</v>
      </c>
      <c r="N1330" s="14"/>
      <c r="O1330" s="14">
        <v>0.64145468139125394</v>
      </c>
      <c r="P1330" s="14">
        <v>0.79022163420773595</v>
      </c>
      <c r="Q1330" s="14"/>
      <c r="R1330" s="14">
        <v>0.72797171332399502</v>
      </c>
      <c r="S1330" s="14">
        <v>0.56374065677177498</v>
      </c>
      <c r="T1330" s="14">
        <v>0.59192013657845699</v>
      </c>
      <c r="U1330" s="14">
        <v>0.65955653405408399</v>
      </c>
      <c r="V1330" s="14">
        <v>0.63537571265748105</v>
      </c>
      <c r="W1330" s="14">
        <v>0.604642257506807</v>
      </c>
      <c r="X1330" s="14">
        <v>0.70968531921976497</v>
      </c>
      <c r="Y1330" s="14">
        <v>0.74401503175017503</v>
      </c>
      <c r="Z1330" s="14">
        <v>0.683175979276477</v>
      </c>
      <c r="AA1330" s="14"/>
      <c r="AB1330" s="14">
        <v>0.58766710114848797</v>
      </c>
      <c r="AC1330" s="14">
        <v>0.84414263801350997</v>
      </c>
      <c r="AD1330" s="14">
        <v>0.48472722723795197</v>
      </c>
      <c r="AE1330" s="14">
        <v>0.70231317467595</v>
      </c>
      <c r="AF1330" s="14"/>
      <c r="AG1330" s="14">
        <v>0.93992180027154204</v>
      </c>
      <c r="AH1330" s="14">
        <v>0.50334774765213697</v>
      </c>
      <c r="AI1330" s="14"/>
      <c r="AJ1330" s="14">
        <v>0.78733919669700902</v>
      </c>
      <c r="AK1330" s="14">
        <v>0.351649769715972</v>
      </c>
      <c r="AL1330" s="14"/>
      <c r="AM1330" s="14">
        <v>0.85165268518620396</v>
      </c>
      <c r="AN1330" s="14">
        <v>0.37425220318654301</v>
      </c>
    </row>
    <row r="1331" spans="2:40" x14ac:dyDescent="0.35">
      <c r="C1331" s="14"/>
      <c r="D1331" s="14"/>
      <c r="E1331" s="14"/>
      <c r="F1331" s="14"/>
      <c r="G1331" s="14"/>
      <c r="H1331" s="14"/>
      <c r="I1331" s="14"/>
      <c r="J1331" s="14"/>
      <c r="K1331" s="14"/>
      <c r="L1331" s="14"/>
      <c r="M1331" s="14"/>
      <c r="N1331" s="14"/>
      <c r="O1331" s="14"/>
      <c r="P1331" s="14"/>
      <c r="Q1331" s="14"/>
      <c r="R1331" s="14"/>
      <c r="S1331" s="14"/>
      <c r="T1331" s="14"/>
      <c r="U1331" s="14"/>
      <c r="V1331" s="14"/>
      <c r="W1331" s="14"/>
      <c r="X1331" s="14"/>
      <c r="Y1331" s="14"/>
      <c r="Z1331" s="14"/>
      <c r="AA1331" s="14"/>
      <c r="AB1331" s="14"/>
      <c r="AC1331" s="14"/>
      <c r="AD1331" s="14"/>
      <c r="AE1331" s="14"/>
      <c r="AF1331" s="14"/>
      <c r="AG1331" s="14"/>
      <c r="AH1331" s="14"/>
      <c r="AI1331" s="14"/>
      <c r="AJ1331" s="14"/>
      <c r="AK1331" s="14"/>
      <c r="AL1331" s="14"/>
      <c r="AM1331" s="14"/>
      <c r="AN1331" s="14"/>
    </row>
    <row r="1332" spans="2:40" x14ac:dyDescent="0.35">
      <c r="B1332" s="6" t="s">
        <v>385</v>
      </c>
      <c r="C1332" s="14"/>
      <c r="D1332" s="14"/>
      <c r="E1332" s="14"/>
      <c r="F1332" s="14"/>
      <c r="G1332" s="14"/>
      <c r="H1332" s="14"/>
      <c r="I1332" s="14"/>
      <c r="J1332" s="14"/>
      <c r="K1332" s="14"/>
      <c r="L1332" s="14"/>
      <c r="M1332" s="14"/>
      <c r="N1332" s="14"/>
      <c r="O1332" s="14"/>
      <c r="P1332" s="14"/>
      <c r="Q1332" s="14"/>
      <c r="R1332" s="14"/>
      <c r="S1332" s="14"/>
      <c r="T1332" s="14"/>
      <c r="U1332" s="14"/>
      <c r="V1332" s="14"/>
      <c r="W1332" s="14"/>
      <c r="X1332" s="14"/>
      <c r="Y1332" s="14"/>
      <c r="Z1332" s="14"/>
      <c r="AA1332" s="14"/>
      <c r="AB1332" s="14"/>
      <c r="AC1332" s="14"/>
      <c r="AD1332" s="14"/>
      <c r="AE1332" s="14"/>
      <c r="AF1332" s="14"/>
      <c r="AG1332" s="14"/>
      <c r="AH1332" s="14"/>
      <c r="AI1332" s="14"/>
      <c r="AJ1332" s="14"/>
      <c r="AK1332" s="14"/>
      <c r="AL1332" s="14"/>
      <c r="AM1332" s="14"/>
      <c r="AN1332" s="14"/>
    </row>
    <row r="1333" spans="2:40" x14ac:dyDescent="0.35">
      <c r="B1333" s="24" t="s">
        <v>74</v>
      </c>
      <c r="C1333" s="14"/>
      <c r="D1333" s="14"/>
      <c r="E1333" s="14"/>
      <c r="F1333" s="14"/>
      <c r="G1333" s="14"/>
      <c r="H1333" s="14"/>
      <c r="I1333" s="14"/>
      <c r="J1333" s="14"/>
      <c r="K1333" s="14"/>
      <c r="L1333" s="14"/>
      <c r="M1333" s="14"/>
      <c r="N1333" s="14"/>
      <c r="O1333" s="14"/>
      <c r="P1333" s="14"/>
      <c r="Q1333" s="14"/>
      <c r="R1333" s="14"/>
      <c r="S1333" s="14"/>
      <c r="T1333" s="14"/>
      <c r="U1333" s="14"/>
      <c r="V1333" s="14"/>
      <c r="W1333" s="14"/>
      <c r="X1333" s="14"/>
      <c r="Y1333" s="14"/>
      <c r="Z1333" s="14"/>
      <c r="AA1333" s="14"/>
      <c r="AB1333" s="14"/>
      <c r="AC1333" s="14"/>
      <c r="AD1333" s="14"/>
      <c r="AE1333" s="14"/>
      <c r="AF1333" s="14"/>
      <c r="AG1333" s="14"/>
      <c r="AH1333" s="14"/>
      <c r="AI1333" s="14"/>
      <c r="AJ1333" s="14"/>
      <c r="AK1333" s="14"/>
      <c r="AL1333" s="14"/>
      <c r="AM1333" s="14"/>
      <c r="AN1333" s="14"/>
    </row>
    <row r="1334" spans="2:40" x14ac:dyDescent="0.35">
      <c r="B1334" t="s">
        <v>377</v>
      </c>
      <c r="C1334" s="14">
        <v>0.22017749859824601</v>
      </c>
      <c r="D1334" s="14">
        <v>0.27045558576885198</v>
      </c>
      <c r="E1334" s="14">
        <v>0.17332471847198599</v>
      </c>
      <c r="F1334" s="14"/>
      <c r="G1334" s="14" t="s">
        <v>76</v>
      </c>
      <c r="H1334" s="14" t="s">
        <v>76</v>
      </c>
      <c r="I1334" s="14">
        <v>0.22017749859824601</v>
      </c>
      <c r="J1334" s="14"/>
      <c r="K1334" s="14" t="s">
        <v>76</v>
      </c>
      <c r="L1334" s="14">
        <v>0.25149150771926299</v>
      </c>
      <c r="M1334" s="14">
        <v>0.160626539782946</v>
      </c>
      <c r="N1334" s="14"/>
      <c r="O1334" s="14">
        <v>0.20291374685286201</v>
      </c>
      <c r="P1334" s="14">
        <v>0.340609817829504</v>
      </c>
      <c r="Q1334" s="14"/>
      <c r="R1334" s="14">
        <v>0.33790061385776599</v>
      </c>
      <c r="S1334" s="14">
        <v>0.20104614764043299</v>
      </c>
      <c r="T1334" s="14">
        <v>0.176196446729602</v>
      </c>
      <c r="U1334" s="14">
        <v>0.20625506593392001</v>
      </c>
      <c r="V1334" s="14">
        <v>0.2115382438108</v>
      </c>
      <c r="W1334" s="14">
        <v>0.14581169128251001</v>
      </c>
      <c r="X1334" s="14">
        <v>0.17834857257634301</v>
      </c>
      <c r="Y1334" s="14">
        <v>0.27627797436910301</v>
      </c>
      <c r="Z1334" s="14">
        <v>0.21102171458303001</v>
      </c>
      <c r="AA1334" s="14"/>
      <c r="AB1334" s="14">
        <v>0.23327694100062199</v>
      </c>
      <c r="AC1334" s="14">
        <v>0.311369279805985</v>
      </c>
      <c r="AD1334" s="14">
        <v>0.118496432705978</v>
      </c>
      <c r="AE1334" s="14">
        <v>0.21229350357912499</v>
      </c>
      <c r="AF1334" s="14"/>
      <c r="AG1334" s="14">
        <v>0.29374444258308002</v>
      </c>
      <c r="AH1334" s="14">
        <v>0.135464759734852</v>
      </c>
      <c r="AI1334" s="14"/>
      <c r="AJ1334" s="14">
        <v>0.23842570351228101</v>
      </c>
      <c r="AK1334" s="14">
        <v>8.2974828725975197E-2</v>
      </c>
      <c r="AL1334" s="14"/>
      <c r="AM1334" s="14">
        <v>0.329685150803529</v>
      </c>
      <c r="AN1334" s="14">
        <v>8.95703023612541E-2</v>
      </c>
    </row>
    <row r="1335" spans="2:40" x14ac:dyDescent="0.35">
      <c r="B1335" t="s">
        <v>378</v>
      </c>
      <c r="C1335" s="14">
        <v>0.34762699013533599</v>
      </c>
      <c r="D1335" s="14">
        <v>0.38115672960095698</v>
      </c>
      <c r="E1335" s="14">
        <v>0.31691288835475101</v>
      </c>
      <c r="F1335" s="14"/>
      <c r="G1335" s="14" t="s">
        <v>76</v>
      </c>
      <c r="H1335" s="14" t="s">
        <v>76</v>
      </c>
      <c r="I1335" s="14">
        <v>0.34762699013533599</v>
      </c>
      <c r="J1335" s="14"/>
      <c r="K1335" s="14" t="s">
        <v>76</v>
      </c>
      <c r="L1335" s="14">
        <v>0.354051483529018</v>
      </c>
      <c r="M1335" s="14">
        <v>0.33540930379508599</v>
      </c>
      <c r="N1335" s="14"/>
      <c r="O1335" s="14">
        <v>0.35239774095955501</v>
      </c>
      <c r="P1335" s="14">
        <v>0.33396370586246199</v>
      </c>
      <c r="Q1335" s="14"/>
      <c r="R1335" s="14">
        <v>0.35872808592234201</v>
      </c>
      <c r="S1335" s="14">
        <v>0.286073348534085</v>
      </c>
      <c r="T1335" s="14">
        <v>0.36494190731971499</v>
      </c>
      <c r="U1335" s="14">
        <v>0.32331050694422497</v>
      </c>
      <c r="V1335" s="14">
        <v>0.33711355379822</v>
      </c>
      <c r="W1335" s="14">
        <v>0.42189452539317901</v>
      </c>
      <c r="X1335" s="14">
        <v>0.36859592519405399</v>
      </c>
      <c r="Y1335" s="14">
        <v>0.331719162100235</v>
      </c>
      <c r="Z1335" s="14">
        <v>0.362774363235988</v>
      </c>
      <c r="AA1335" s="14"/>
      <c r="AB1335" s="14">
        <v>0.33909088083973399</v>
      </c>
      <c r="AC1335" s="14">
        <v>0.36578220028713998</v>
      </c>
      <c r="AD1335" s="14">
        <v>0.33949127268601198</v>
      </c>
      <c r="AE1335" s="14">
        <v>0.33774075371647</v>
      </c>
      <c r="AF1335" s="14"/>
      <c r="AG1335" s="14">
        <v>0.38292281052912103</v>
      </c>
      <c r="AH1335" s="14">
        <v>0.34092642353125702</v>
      </c>
      <c r="AI1335" s="14"/>
      <c r="AJ1335" s="14">
        <v>0.36824507594913197</v>
      </c>
      <c r="AK1335" s="14">
        <v>0.31168268961159101</v>
      </c>
      <c r="AL1335" s="14"/>
      <c r="AM1335" s="14">
        <v>0.39891775777357003</v>
      </c>
      <c r="AN1335" s="14">
        <v>0.26533949514984501</v>
      </c>
    </row>
    <row r="1336" spans="2:40" x14ac:dyDescent="0.35">
      <c r="B1336" t="s">
        <v>379</v>
      </c>
      <c r="C1336" s="14">
        <v>0.243306276430034</v>
      </c>
      <c r="D1336" s="14">
        <v>0.20110773963554901</v>
      </c>
      <c r="E1336" s="14">
        <v>0.28393746299853101</v>
      </c>
      <c r="F1336" s="14"/>
      <c r="G1336" s="14" t="s">
        <v>76</v>
      </c>
      <c r="H1336" s="14" t="s">
        <v>76</v>
      </c>
      <c r="I1336" s="14">
        <v>0.243306276430034</v>
      </c>
      <c r="J1336" s="14"/>
      <c r="K1336" s="14" t="s">
        <v>76</v>
      </c>
      <c r="L1336" s="14">
        <v>0.222919572047241</v>
      </c>
      <c r="M1336" s="14">
        <v>0.28207639329330803</v>
      </c>
      <c r="N1336" s="14"/>
      <c r="O1336" s="14">
        <v>0.24766712290210699</v>
      </c>
      <c r="P1336" s="14">
        <v>0.24551636725551099</v>
      </c>
      <c r="Q1336" s="14"/>
      <c r="R1336" s="14">
        <v>0.16665795941790301</v>
      </c>
      <c r="S1336" s="14">
        <v>0.31689091799685998</v>
      </c>
      <c r="T1336" s="14">
        <v>0.23525462998414201</v>
      </c>
      <c r="U1336" s="14">
        <v>0.26861958147704201</v>
      </c>
      <c r="V1336" s="14">
        <v>0.22556743072736199</v>
      </c>
      <c r="W1336" s="14">
        <v>0.23506894270266299</v>
      </c>
      <c r="X1336" s="14">
        <v>0.28744749342832798</v>
      </c>
      <c r="Y1336" s="14">
        <v>0.23358234212846901</v>
      </c>
      <c r="Z1336" s="14">
        <v>0.219295169241918</v>
      </c>
      <c r="AA1336" s="14"/>
      <c r="AB1336" s="14">
        <v>0.22695469905330501</v>
      </c>
      <c r="AC1336" s="14">
        <v>0.20758386207567001</v>
      </c>
      <c r="AD1336" s="14">
        <v>0.32862996208311301</v>
      </c>
      <c r="AE1336" s="14">
        <v>0.23422202417032001</v>
      </c>
      <c r="AF1336" s="14"/>
      <c r="AG1336" s="14">
        <v>0.21663588021653599</v>
      </c>
      <c r="AH1336" s="14">
        <v>0.248429559047943</v>
      </c>
      <c r="AI1336" s="14"/>
      <c r="AJ1336" s="14">
        <v>0.227747768942406</v>
      </c>
      <c r="AK1336" s="14">
        <v>0.335081211483163</v>
      </c>
      <c r="AL1336" s="14"/>
      <c r="AM1336" s="14">
        <v>0.17365661716370601</v>
      </c>
      <c r="AN1336" s="14">
        <v>0.299953917703707</v>
      </c>
    </row>
    <row r="1337" spans="2:40" x14ac:dyDescent="0.35">
      <c r="B1337" t="s">
        <v>380</v>
      </c>
      <c r="C1337" s="14">
        <v>0.12992851203264999</v>
      </c>
      <c r="D1337" s="14">
        <v>9.8631586339393798E-2</v>
      </c>
      <c r="E1337" s="14">
        <v>0.158404929824567</v>
      </c>
      <c r="F1337" s="14"/>
      <c r="G1337" s="14" t="s">
        <v>76</v>
      </c>
      <c r="H1337" s="14" t="s">
        <v>76</v>
      </c>
      <c r="I1337" s="14">
        <v>0.12992851203264999</v>
      </c>
      <c r="J1337" s="14"/>
      <c r="K1337" s="14" t="s">
        <v>76</v>
      </c>
      <c r="L1337" s="14">
        <v>0.100974095499111</v>
      </c>
      <c r="M1337" s="14">
        <v>0.18499215015852</v>
      </c>
      <c r="N1337" s="14"/>
      <c r="O1337" s="14">
        <v>0.132578611200103</v>
      </c>
      <c r="P1337" s="14">
        <v>7.0475249599467105E-2</v>
      </c>
      <c r="Q1337" s="14"/>
      <c r="R1337" s="14">
        <v>0.104971296875155</v>
      </c>
      <c r="S1337" s="14">
        <v>0.16430267096007301</v>
      </c>
      <c r="T1337" s="14">
        <v>0.137956436613307</v>
      </c>
      <c r="U1337" s="14">
        <v>0.139219856614924</v>
      </c>
      <c r="V1337" s="14">
        <v>0.15694128285773901</v>
      </c>
      <c r="W1337" s="14">
        <v>0.13782983750539601</v>
      </c>
      <c r="X1337" s="14">
        <v>0.118286108649653</v>
      </c>
      <c r="Y1337" s="14">
        <v>0.118975936101385</v>
      </c>
      <c r="Z1337" s="14">
        <v>9.4105559607644898E-2</v>
      </c>
      <c r="AA1337" s="14"/>
      <c r="AB1337" s="14">
        <v>0.170057980381009</v>
      </c>
      <c r="AC1337" s="14">
        <v>7.9693732567816603E-2</v>
      </c>
      <c r="AD1337" s="14">
        <v>0.187450023937793</v>
      </c>
      <c r="AE1337" s="14">
        <v>0.187656003328737</v>
      </c>
      <c r="AF1337" s="14"/>
      <c r="AG1337" s="14">
        <v>9.9721769672348706E-2</v>
      </c>
      <c r="AH1337" s="14">
        <v>0.27517925768594798</v>
      </c>
      <c r="AI1337" s="14"/>
      <c r="AJ1337" s="14">
        <v>0.161044150553975</v>
      </c>
      <c r="AK1337" s="14">
        <v>0.211356716751053</v>
      </c>
      <c r="AL1337" s="14"/>
      <c r="AM1337" s="14">
        <v>5.7194752964336799E-2</v>
      </c>
      <c r="AN1337" s="14">
        <v>0.271530407290972</v>
      </c>
    </row>
    <row r="1338" spans="2:40" x14ac:dyDescent="0.35">
      <c r="B1338" t="s">
        <v>70</v>
      </c>
      <c r="C1338" s="14">
        <v>5.8960722803733497E-2</v>
      </c>
      <c r="D1338" s="14">
        <v>4.8648358655247102E-2</v>
      </c>
      <c r="E1338" s="14">
        <v>6.7420000350164502E-2</v>
      </c>
      <c r="F1338" s="14"/>
      <c r="G1338" s="14" t="s">
        <v>76</v>
      </c>
      <c r="H1338" s="14" t="s">
        <v>76</v>
      </c>
      <c r="I1338" s="14">
        <v>5.8960722803733497E-2</v>
      </c>
      <c r="J1338" s="14"/>
      <c r="K1338" s="14" t="s">
        <v>76</v>
      </c>
      <c r="L1338" s="14">
        <v>7.0563341205367294E-2</v>
      </c>
      <c r="M1338" s="14">
        <v>3.6895612970141399E-2</v>
      </c>
      <c r="N1338" s="14"/>
      <c r="O1338" s="14">
        <v>6.4442778085372299E-2</v>
      </c>
      <c r="P1338" s="14">
        <v>9.4348594530555708E-3</v>
      </c>
      <c r="Q1338" s="14"/>
      <c r="R1338" s="14">
        <v>3.1742043926834801E-2</v>
      </c>
      <c r="S1338" s="14">
        <v>3.1686914868548799E-2</v>
      </c>
      <c r="T1338" s="14">
        <v>8.5650579353233794E-2</v>
      </c>
      <c r="U1338" s="14">
        <v>6.2594989029887693E-2</v>
      </c>
      <c r="V1338" s="14">
        <v>6.8839488805878701E-2</v>
      </c>
      <c r="W1338" s="14">
        <v>5.9395003116252301E-2</v>
      </c>
      <c r="X1338" s="14">
        <v>4.7321900151622499E-2</v>
      </c>
      <c r="Y1338" s="14">
        <v>3.9444585300806398E-2</v>
      </c>
      <c r="Z1338" s="14">
        <v>0.112803193331419</v>
      </c>
      <c r="AA1338" s="14"/>
      <c r="AB1338" s="14">
        <v>3.0619498725330398E-2</v>
      </c>
      <c r="AC1338" s="14">
        <v>3.5570925263388002E-2</v>
      </c>
      <c r="AD1338" s="14">
        <v>2.5932308587104901E-2</v>
      </c>
      <c r="AE1338" s="14">
        <v>2.8087715205348699E-2</v>
      </c>
      <c r="AF1338" s="14"/>
      <c r="AG1338" s="14">
        <v>6.9750969989137096E-3</v>
      </c>
      <c r="AH1338" s="14">
        <v>0</v>
      </c>
      <c r="AI1338" s="14"/>
      <c r="AJ1338" s="14">
        <v>4.5373010422058201E-3</v>
      </c>
      <c r="AK1338" s="14">
        <v>5.8904553428217099E-2</v>
      </c>
      <c r="AL1338" s="14"/>
      <c r="AM1338" s="14">
        <v>4.0545721294857701E-2</v>
      </c>
      <c r="AN1338" s="14">
        <v>7.3605877494222399E-2</v>
      </c>
    </row>
    <row r="1339" spans="2:40" x14ac:dyDescent="0.35">
      <c r="B1339" t="s">
        <v>381</v>
      </c>
      <c r="C1339" s="14">
        <v>0.56780448873358202</v>
      </c>
      <c r="D1339" s="14">
        <v>0.65161231536981001</v>
      </c>
      <c r="E1339" s="14">
        <v>0.490237606826737</v>
      </c>
      <c r="F1339" s="14"/>
      <c r="G1339" s="14" t="s">
        <v>76</v>
      </c>
      <c r="H1339" s="14" t="s">
        <v>76</v>
      </c>
      <c r="I1339" s="14">
        <v>0.56780448873358202</v>
      </c>
      <c r="J1339" s="14"/>
      <c r="K1339" s="14" t="s">
        <v>76</v>
      </c>
      <c r="L1339" s="14">
        <v>0.60554299124828104</v>
      </c>
      <c r="M1339" s="14">
        <v>0.49603584357803099</v>
      </c>
      <c r="N1339" s="14"/>
      <c r="O1339" s="14">
        <v>0.55531148781241702</v>
      </c>
      <c r="P1339" s="14">
        <v>0.67457352369196699</v>
      </c>
      <c r="Q1339" s="14"/>
      <c r="R1339" s="14">
        <v>0.696628699780108</v>
      </c>
      <c r="S1339" s="14">
        <v>0.487119496174518</v>
      </c>
      <c r="T1339" s="14">
        <v>0.54113835404931698</v>
      </c>
      <c r="U1339" s="14">
        <v>0.52956557287814598</v>
      </c>
      <c r="V1339" s="14">
        <v>0.54865179760902005</v>
      </c>
      <c r="W1339" s="14">
        <v>0.56770621667568899</v>
      </c>
      <c r="X1339" s="14">
        <v>0.546944497770397</v>
      </c>
      <c r="Y1339" s="14">
        <v>0.60799713646933895</v>
      </c>
      <c r="Z1339" s="14">
        <v>0.57379607781901798</v>
      </c>
      <c r="AA1339" s="14"/>
      <c r="AB1339" s="14">
        <v>0.57236782184035595</v>
      </c>
      <c r="AC1339" s="14">
        <v>0.67715148009312498</v>
      </c>
      <c r="AD1339" s="14">
        <v>0.45798770539198902</v>
      </c>
      <c r="AE1339" s="14">
        <v>0.55003425729559496</v>
      </c>
      <c r="AF1339" s="14"/>
      <c r="AG1339" s="14">
        <v>0.67666725311220099</v>
      </c>
      <c r="AH1339" s="14">
        <v>0.47639118326610902</v>
      </c>
      <c r="AI1339" s="14"/>
      <c r="AJ1339" s="14">
        <v>0.60667077946141301</v>
      </c>
      <c r="AK1339" s="14">
        <v>0.39465751833756701</v>
      </c>
      <c r="AL1339" s="14"/>
      <c r="AM1339" s="14">
        <v>0.72860290857709997</v>
      </c>
      <c r="AN1339" s="14">
        <v>0.35490979751109902</v>
      </c>
    </row>
    <row r="1340" spans="2:40" x14ac:dyDescent="0.35">
      <c r="C1340" s="14"/>
      <c r="D1340" s="14"/>
      <c r="E1340" s="14"/>
      <c r="F1340" s="14"/>
      <c r="G1340" s="14"/>
      <c r="H1340" s="14"/>
      <c r="I1340" s="14"/>
      <c r="J1340" s="14"/>
      <c r="K1340" s="14"/>
      <c r="L1340" s="14"/>
      <c r="M1340" s="14"/>
      <c r="N1340" s="14"/>
      <c r="O1340" s="14"/>
      <c r="P1340" s="14"/>
      <c r="Q1340" s="14"/>
      <c r="R1340" s="14"/>
      <c r="S1340" s="14"/>
      <c r="T1340" s="14"/>
      <c r="U1340" s="14"/>
      <c r="V1340" s="14"/>
      <c r="W1340" s="14"/>
      <c r="X1340" s="14"/>
      <c r="Y1340" s="14"/>
      <c r="Z1340" s="14"/>
      <c r="AA1340" s="14"/>
      <c r="AB1340" s="14"/>
      <c r="AC1340" s="14"/>
      <c r="AD1340" s="14"/>
      <c r="AE1340" s="14"/>
      <c r="AF1340" s="14"/>
      <c r="AG1340" s="14"/>
      <c r="AH1340" s="14"/>
      <c r="AI1340" s="14"/>
      <c r="AJ1340" s="14"/>
      <c r="AK1340" s="14"/>
      <c r="AL1340" s="14"/>
      <c r="AM1340" s="14"/>
      <c r="AN1340" s="14"/>
    </row>
    <row r="1341" spans="2:40" x14ac:dyDescent="0.35">
      <c r="B1341" s="6" t="s">
        <v>386</v>
      </c>
      <c r="C1341" s="14"/>
      <c r="D1341" s="14"/>
      <c r="E1341" s="14"/>
      <c r="F1341" s="14"/>
      <c r="G1341" s="14"/>
      <c r="H1341" s="14"/>
      <c r="I1341" s="14"/>
      <c r="J1341" s="14"/>
      <c r="K1341" s="14"/>
      <c r="L1341" s="14"/>
      <c r="M1341" s="14"/>
      <c r="N1341" s="14"/>
      <c r="O1341" s="14"/>
      <c r="P1341" s="14"/>
      <c r="Q1341" s="14"/>
      <c r="R1341" s="14"/>
      <c r="S1341" s="14"/>
      <c r="T1341" s="14"/>
      <c r="U1341" s="14"/>
      <c r="V1341" s="14"/>
      <c r="W1341" s="14"/>
      <c r="X1341" s="14"/>
      <c r="Y1341" s="14"/>
      <c r="Z1341" s="14"/>
      <c r="AA1341" s="14"/>
      <c r="AB1341" s="14"/>
      <c r="AC1341" s="14"/>
      <c r="AD1341" s="14"/>
      <c r="AE1341" s="14"/>
      <c r="AF1341" s="14"/>
      <c r="AG1341" s="14"/>
      <c r="AH1341" s="14"/>
      <c r="AI1341" s="14"/>
      <c r="AJ1341" s="14"/>
      <c r="AK1341" s="14"/>
      <c r="AL1341" s="14"/>
      <c r="AM1341" s="14"/>
      <c r="AN1341" s="14"/>
    </row>
    <row r="1342" spans="2:40" x14ac:dyDescent="0.35">
      <c r="B1342" s="24" t="s">
        <v>74</v>
      </c>
      <c r="C1342" s="14"/>
      <c r="D1342" s="14"/>
      <c r="E1342" s="14"/>
      <c r="F1342" s="14"/>
      <c r="G1342" s="14"/>
      <c r="H1342" s="14"/>
      <c r="I1342" s="14"/>
      <c r="J1342" s="14"/>
      <c r="K1342" s="14"/>
      <c r="L1342" s="14"/>
      <c r="M1342" s="14"/>
      <c r="N1342" s="14"/>
      <c r="O1342" s="14"/>
      <c r="P1342" s="14"/>
      <c r="Q1342" s="14"/>
      <c r="R1342" s="14"/>
      <c r="S1342" s="14"/>
      <c r="T1342" s="14"/>
      <c r="U1342" s="14"/>
      <c r="V1342" s="14"/>
      <c r="W1342" s="14"/>
      <c r="X1342" s="14"/>
      <c r="Y1342" s="14"/>
      <c r="Z1342" s="14"/>
      <c r="AA1342" s="14"/>
      <c r="AB1342" s="14"/>
      <c r="AC1342" s="14"/>
      <c r="AD1342" s="14"/>
      <c r="AE1342" s="14"/>
      <c r="AF1342" s="14"/>
      <c r="AG1342" s="14"/>
      <c r="AH1342" s="14"/>
      <c r="AI1342" s="14"/>
      <c r="AJ1342" s="14"/>
      <c r="AK1342" s="14"/>
      <c r="AL1342" s="14"/>
      <c r="AM1342" s="14"/>
      <c r="AN1342" s="14"/>
    </row>
    <row r="1343" spans="2:40" x14ac:dyDescent="0.35">
      <c r="B1343" t="s">
        <v>377</v>
      </c>
      <c r="C1343" s="14">
        <v>0.48175695979669098</v>
      </c>
      <c r="D1343" s="14">
        <v>0.45882293530575002</v>
      </c>
      <c r="E1343" s="14">
        <v>0.50390782417235302</v>
      </c>
      <c r="F1343" s="14"/>
      <c r="G1343" s="14" t="s">
        <v>76</v>
      </c>
      <c r="H1343" s="14" t="s">
        <v>76</v>
      </c>
      <c r="I1343" s="14">
        <v>0.48175695979669098</v>
      </c>
      <c r="J1343" s="14"/>
      <c r="K1343" s="14" t="s">
        <v>76</v>
      </c>
      <c r="L1343" s="14">
        <v>0.48078506548730698</v>
      </c>
      <c r="M1343" s="14">
        <v>0.48360524558364598</v>
      </c>
      <c r="N1343" s="14"/>
      <c r="O1343" s="14">
        <v>0.46585682213181601</v>
      </c>
      <c r="P1343" s="14">
        <v>0.57990850117237402</v>
      </c>
      <c r="Q1343" s="14"/>
      <c r="R1343" s="14">
        <v>0.58275402911538199</v>
      </c>
      <c r="S1343" s="14">
        <v>0.43837920942212399</v>
      </c>
      <c r="T1343" s="14">
        <v>0.43983675790973897</v>
      </c>
      <c r="U1343" s="14">
        <v>0.49178099218770099</v>
      </c>
      <c r="V1343" s="14">
        <v>0.44646109970480502</v>
      </c>
      <c r="W1343" s="14">
        <v>0.46418320802478202</v>
      </c>
      <c r="X1343" s="14">
        <v>0.488825242976964</v>
      </c>
      <c r="Y1343" s="14">
        <v>0.47697556242105599</v>
      </c>
      <c r="Z1343" s="14">
        <v>0.46900101213058598</v>
      </c>
      <c r="AA1343" s="14"/>
      <c r="AB1343" s="14">
        <v>0.48357396355190402</v>
      </c>
      <c r="AC1343" s="14">
        <v>0.58597465390523495</v>
      </c>
      <c r="AD1343" s="14">
        <v>0.49662319194837101</v>
      </c>
      <c r="AE1343" s="14">
        <v>0.46732650351180599</v>
      </c>
      <c r="AF1343" s="14"/>
      <c r="AG1343" s="14">
        <v>0.50364415524598205</v>
      </c>
      <c r="AH1343" s="14">
        <v>0.43264100970356201</v>
      </c>
      <c r="AI1343" s="14"/>
      <c r="AJ1343" s="14">
        <v>0.47882856040281202</v>
      </c>
      <c r="AK1343" s="14">
        <v>0.49640626872876298</v>
      </c>
      <c r="AL1343" s="14"/>
      <c r="AM1343" s="14">
        <v>0.54319455034354103</v>
      </c>
      <c r="AN1343" s="14">
        <v>0.37881915610505501</v>
      </c>
    </row>
    <row r="1344" spans="2:40" x14ac:dyDescent="0.35">
      <c r="B1344" t="s">
        <v>378</v>
      </c>
      <c r="C1344" s="14">
        <v>0.440401788582021</v>
      </c>
      <c r="D1344" s="14">
        <v>0.44259754383064398</v>
      </c>
      <c r="E1344" s="14">
        <v>0.437813701693958</v>
      </c>
      <c r="F1344" s="14"/>
      <c r="G1344" s="14" t="s">
        <v>76</v>
      </c>
      <c r="H1344" s="14" t="s">
        <v>76</v>
      </c>
      <c r="I1344" s="14">
        <v>0.440401788582021</v>
      </c>
      <c r="J1344" s="14"/>
      <c r="K1344" s="14" t="s">
        <v>76</v>
      </c>
      <c r="L1344" s="14">
        <v>0.436030614768806</v>
      </c>
      <c r="M1344" s="14">
        <v>0.44871460444406203</v>
      </c>
      <c r="N1344" s="14"/>
      <c r="O1344" s="14">
        <v>0.45456999323763603</v>
      </c>
      <c r="P1344" s="14">
        <v>0.35656520654097001</v>
      </c>
      <c r="Q1344" s="14"/>
      <c r="R1344" s="14">
        <v>0.35451478037795597</v>
      </c>
      <c r="S1344" s="14">
        <v>0.49201471528816698</v>
      </c>
      <c r="T1344" s="14">
        <v>0.50039707299456104</v>
      </c>
      <c r="U1344" s="14">
        <v>0.45687256108750202</v>
      </c>
      <c r="V1344" s="14">
        <v>0.46549447865288801</v>
      </c>
      <c r="W1344" s="14">
        <v>0.45407666146156</v>
      </c>
      <c r="X1344" s="14">
        <v>0.38853099196887197</v>
      </c>
      <c r="Y1344" s="14">
        <v>0.44919452573362001</v>
      </c>
      <c r="Z1344" s="14">
        <v>0.43125739074212799</v>
      </c>
      <c r="AA1344" s="14"/>
      <c r="AB1344" s="14">
        <v>0.40555532025060198</v>
      </c>
      <c r="AC1344" s="14">
        <v>0.37729739621050201</v>
      </c>
      <c r="AD1344" s="14">
        <v>0.46452664649803699</v>
      </c>
      <c r="AE1344" s="14">
        <v>0.44689729759547497</v>
      </c>
      <c r="AF1344" s="14"/>
      <c r="AG1344" s="14">
        <v>0.42790933693988897</v>
      </c>
      <c r="AH1344" s="14">
        <v>0.39041545359001101</v>
      </c>
      <c r="AI1344" s="14"/>
      <c r="AJ1344" s="14">
        <v>0.414805227097998</v>
      </c>
      <c r="AK1344" s="14">
        <v>0.46803179601128297</v>
      </c>
      <c r="AL1344" s="14"/>
      <c r="AM1344" s="14">
        <v>0.40096637278344399</v>
      </c>
      <c r="AN1344" s="14">
        <v>0.51740673283982697</v>
      </c>
    </row>
    <row r="1345" spans="2:40" x14ac:dyDescent="0.35">
      <c r="B1345" t="s">
        <v>379</v>
      </c>
      <c r="C1345" s="14">
        <v>6.0554566632621397E-2</v>
      </c>
      <c r="D1345" s="14">
        <v>7.6191307919582604E-2</v>
      </c>
      <c r="E1345" s="14">
        <v>4.5515194062974697E-2</v>
      </c>
      <c r="F1345" s="14"/>
      <c r="G1345" s="14" t="s">
        <v>76</v>
      </c>
      <c r="H1345" s="14" t="s">
        <v>76</v>
      </c>
      <c r="I1345" s="14">
        <v>6.0554566632621397E-2</v>
      </c>
      <c r="J1345" s="14"/>
      <c r="K1345" s="14" t="s">
        <v>76</v>
      </c>
      <c r="L1345" s="14">
        <v>6.1029846376235403E-2</v>
      </c>
      <c r="M1345" s="14">
        <v>5.9650710332129299E-2</v>
      </c>
      <c r="N1345" s="14"/>
      <c r="O1345" s="14">
        <v>6.3825337198026605E-2</v>
      </c>
      <c r="P1345" s="14">
        <v>4.3203852745126399E-2</v>
      </c>
      <c r="Q1345" s="14"/>
      <c r="R1345" s="14">
        <v>5.1920136732640197E-2</v>
      </c>
      <c r="S1345" s="14">
        <v>4.9622602898236501E-2</v>
      </c>
      <c r="T1345" s="14">
        <v>4.3053483125104999E-2</v>
      </c>
      <c r="U1345" s="14">
        <v>4.4175660103615802E-2</v>
      </c>
      <c r="V1345" s="14">
        <v>7.0945086621271594E-2</v>
      </c>
      <c r="W1345" s="14">
        <v>6.5389942917247895E-2</v>
      </c>
      <c r="X1345" s="14">
        <v>8.9619031862312196E-2</v>
      </c>
      <c r="Y1345" s="14">
        <v>6.2181080728421101E-2</v>
      </c>
      <c r="Z1345" s="14">
        <v>7.7738425050540502E-2</v>
      </c>
      <c r="AA1345" s="14"/>
      <c r="AB1345" s="14">
        <v>9.0400329025264098E-2</v>
      </c>
      <c r="AC1345" s="14">
        <v>3.6727949884263499E-2</v>
      </c>
      <c r="AD1345" s="14">
        <v>3.4758304151161802E-2</v>
      </c>
      <c r="AE1345" s="14">
        <v>8.5776198892718605E-2</v>
      </c>
      <c r="AF1345" s="14"/>
      <c r="AG1345" s="14">
        <v>6.1471410815215802E-2</v>
      </c>
      <c r="AH1345" s="14">
        <v>0.163198643808011</v>
      </c>
      <c r="AI1345" s="14"/>
      <c r="AJ1345" s="14">
        <v>9.7025072264732601E-2</v>
      </c>
      <c r="AK1345" s="14">
        <v>2.7654686907968299E-2</v>
      </c>
      <c r="AL1345" s="14"/>
      <c r="AM1345" s="14">
        <v>4.6718078542567702E-2</v>
      </c>
      <c r="AN1345" s="14">
        <v>7.3462363478739398E-2</v>
      </c>
    </row>
    <row r="1346" spans="2:40" x14ac:dyDescent="0.35">
      <c r="B1346" t="s">
        <v>380</v>
      </c>
      <c r="C1346" s="14">
        <v>1.06680293628519E-2</v>
      </c>
      <c r="D1346" s="14">
        <v>1.52624561442724E-2</v>
      </c>
      <c r="E1346" s="14">
        <v>6.5534789941394901E-3</v>
      </c>
      <c r="F1346" s="14"/>
      <c r="G1346" s="14" t="s">
        <v>76</v>
      </c>
      <c r="H1346" s="14" t="s">
        <v>76</v>
      </c>
      <c r="I1346" s="14">
        <v>1.06680293628519E-2</v>
      </c>
      <c r="J1346" s="14"/>
      <c r="K1346" s="14" t="s">
        <v>76</v>
      </c>
      <c r="L1346" s="14">
        <v>1.51161898790853E-2</v>
      </c>
      <c r="M1346" s="14">
        <v>2.2088051644314401E-3</v>
      </c>
      <c r="N1346" s="14"/>
      <c r="O1346" s="14">
        <v>1.09537657462762E-2</v>
      </c>
      <c r="P1346" s="14">
        <v>1.08875800884738E-2</v>
      </c>
      <c r="Q1346" s="14"/>
      <c r="R1346" s="14">
        <v>1.08110537740216E-2</v>
      </c>
      <c r="S1346" s="14">
        <v>1.1953550818893899E-2</v>
      </c>
      <c r="T1346" s="14">
        <v>0</v>
      </c>
      <c r="U1346" s="14">
        <v>7.1707866211812099E-3</v>
      </c>
      <c r="V1346" s="14">
        <v>8.8223536623276699E-3</v>
      </c>
      <c r="W1346" s="14">
        <v>1.07932277404036E-2</v>
      </c>
      <c r="X1346" s="14">
        <v>3.3024733191851501E-2</v>
      </c>
      <c r="Y1346" s="14">
        <v>1.16488311169031E-2</v>
      </c>
      <c r="Z1346" s="14">
        <v>4.1265453830796198E-3</v>
      </c>
      <c r="AA1346" s="14"/>
      <c r="AB1346" s="14">
        <v>2.0470387172230198E-2</v>
      </c>
      <c r="AC1346" s="14">
        <v>0</v>
      </c>
      <c r="AD1346" s="14">
        <v>4.0918574024303199E-3</v>
      </c>
      <c r="AE1346" s="14">
        <v>0</v>
      </c>
      <c r="AF1346" s="14"/>
      <c r="AG1346" s="14">
        <v>0</v>
      </c>
      <c r="AH1346" s="14">
        <v>1.37448928984156E-2</v>
      </c>
      <c r="AI1346" s="14"/>
      <c r="AJ1346" s="14">
        <v>4.8038391922519304E-3</v>
      </c>
      <c r="AK1346" s="14">
        <v>0</v>
      </c>
      <c r="AL1346" s="14"/>
      <c r="AM1346" s="14">
        <v>6.06306225526032E-3</v>
      </c>
      <c r="AN1346" s="14">
        <v>1.6122664025600201E-2</v>
      </c>
    </row>
    <row r="1347" spans="2:40" x14ac:dyDescent="0.35">
      <c r="B1347" t="s">
        <v>70</v>
      </c>
      <c r="C1347" s="14">
        <v>6.6186556258146798E-3</v>
      </c>
      <c r="D1347" s="14">
        <v>7.1257567997516499E-3</v>
      </c>
      <c r="E1347" s="14">
        <v>6.2098010765747197E-3</v>
      </c>
      <c r="F1347" s="14"/>
      <c r="G1347" s="14" t="s">
        <v>76</v>
      </c>
      <c r="H1347" s="14" t="s">
        <v>76</v>
      </c>
      <c r="I1347" s="14">
        <v>6.6186556258146798E-3</v>
      </c>
      <c r="J1347" s="14"/>
      <c r="K1347" s="14" t="s">
        <v>76</v>
      </c>
      <c r="L1347" s="14">
        <v>7.0382834885665399E-3</v>
      </c>
      <c r="M1347" s="14">
        <v>5.82063447573086E-3</v>
      </c>
      <c r="N1347" s="14"/>
      <c r="O1347" s="14">
        <v>4.7940816862449397E-3</v>
      </c>
      <c r="P1347" s="14">
        <v>9.4348594530555708E-3</v>
      </c>
      <c r="Q1347" s="14"/>
      <c r="R1347" s="14">
        <v>0</v>
      </c>
      <c r="S1347" s="14">
        <v>8.0299215725780308E-3</v>
      </c>
      <c r="T1347" s="14">
        <v>1.67126859705947E-2</v>
      </c>
      <c r="U1347" s="14">
        <v>0</v>
      </c>
      <c r="V1347" s="14">
        <v>8.2769813587082307E-3</v>
      </c>
      <c r="W1347" s="14">
        <v>5.5569598560061802E-3</v>
      </c>
      <c r="X1347" s="14">
        <v>0</v>
      </c>
      <c r="Y1347" s="14">
        <v>0</v>
      </c>
      <c r="Z1347" s="14">
        <v>1.7876626693665899E-2</v>
      </c>
      <c r="AA1347" s="14"/>
      <c r="AB1347" s="14">
        <v>0</v>
      </c>
      <c r="AC1347" s="14">
        <v>0</v>
      </c>
      <c r="AD1347" s="14">
        <v>0</v>
      </c>
      <c r="AE1347" s="14">
        <v>0</v>
      </c>
      <c r="AF1347" s="14"/>
      <c r="AG1347" s="14">
        <v>6.9750969989137096E-3</v>
      </c>
      <c r="AH1347" s="14">
        <v>0</v>
      </c>
      <c r="AI1347" s="14"/>
      <c r="AJ1347" s="14">
        <v>4.5373010422058201E-3</v>
      </c>
      <c r="AK1347" s="14">
        <v>7.9072483519856997E-3</v>
      </c>
      <c r="AL1347" s="14"/>
      <c r="AM1347" s="14">
        <v>3.0579360751867E-3</v>
      </c>
      <c r="AN1347" s="14">
        <v>1.41890835507792E-2</v>
      </c>
    </row>
    <row r="1348" spans="2:40" x14ac:dyDescent="0.35">
      <c r="B1348" t="s">
        <v>381</v>
      </c>
      <c r="C1348" s="14">
        <v>0.92215874837871203</v>
      </c>
      <c r="D1348" s="14">
        <v>0.901420479136393</v>
      </c>
      <c r="E1348" s="14">
        <v>0.94172152586631097</v>
      </c>
      <c r="F1348" s="14"/>
      <c r="G1348" s="14" t="s">
        <v>76</v>
      </c>
      <c r="H1348" s="14" t="s">
        <v>76</v>
      </c>
      <c r="I1348" s="14">
        <v>0.92215874837871203</v>
      </c>
      <c r="J1348" s="14"/>
      <c r="K1348" s="14" t="s">
        <v>76</v>
      </c>
      <c r="L1348" s="14">
        <v>0.91681568025611304</v>
      </c>
      <c r="M1348" s="14">
        <v>0.93231985002770801</v>
      </c>
      <c r="N1348" s="14"/>
      <c r="O1348" s="14">
        <v>0.92042681536945203</v>
      </c>
      <c r="P1348" s="14">
        <v>0.93647370771334404</v>
      </c>
      <c r="Q1348" s="14"/>
      <c r="R1348" s="14">
        <v>0.93726880949333802</v>
      </c>
      <c r="S1348" s="14">
        <v>0.93039392471029103</v>
      </c>
      <c r="T1348" s="14">
        <v>0.94023383090430002</v>
      </c>
      <c r="U1348" s="14">
        <v>0.94865355327520295</v>
      </c>
      <c r="V1348" s="14">
        <v>0.91195557835769203</v>
      </c>
      <c r="W1348" s="14">
        <v>0.91825986948634197</v>
      </c>
      <c r="X1348" s="14">
        <v>0.87735623494583603</v>
      </c>
      <c r="Y1348" s="14">
        <v>0.92617008815467605</v>
      </c>
      <c r="Z1348" s="14">
        <v>0.90025840287271397</v>
      </c>
      <c r="AA1348" s="14"/>
      <c r="AB1348" s="14">
        <v>0.889129283802506</v>
      </c>
      <c r="AC1348" s="14">
        <v>0.96327205011573602</v>
      </c>
      <c r="AD1348" s="14">
        <v>0.961149838446408</v>
      </c>
      <c r="AE1348" s="14">
        <v>0.91422380110728096</v>
      </c>
      <c r="AF1348" s="14"/>
      <c r="AG1348" s="14">
        <v>0.93155349218587102</v>
      </c>
      <c r="AH1348" s="14">
        <v>0.82305646329357296</v>
      </c>
      <c r="AI1348" s="14"/>
      <c r="AJ1348" s="14">
        <v>0.89363378750081002</v>
      </c>
      <c r="AK1348" s="14">
        <v>0.96443806474004601</v>
      </c>
      <c r="AL1348" s="14"/>
      <c r="AM1348" s="14">
        <v>0.94416092312698496</v>
      </c>
      <c r="AN1348" s="14">
        <v>0.89622588894488098</v>
      </c>
    </row>
    <row r="1349" spans="2:40" x14ac:dyDescent="0.35">
      <c r="C1349" s="14"/>
      <c r="D1349" s="14"/>
      <c r="E1349" s="14"/>
      <c r="F1349" s="14"/>
      <c r="G1349" s="14"/>
      <c r="H1349" s="14"/>
      <c r="I1349" s="14"/>
      <c r="J1349" s="14"/>
      <c r="K1349" s="14"/>
      <c r="L1349" s="14"/>
      <c r="M1349" s="14"/>
      <c r="N1349" s="14"/>
      <c r="O1349" s="14"/>
      <c r="P1349" s="14"/>
      <c r="Q1349" s="14"/>
      <c r="R1349" s="14"/>
      <c r="S1349" s="14"/>
      <c r="T1349" s="14"/>
      <c r="U1349" s="14"/>
      <c r="V1349" s="14"/>
      <c r="W1349" s="14"/>
      <c r="X1349" s="14"/>
      <c r="Y1349" s="14"/>
      <c r="Z1349" s="14"/>
      <c r="AA1349" s="14"/>
      <c r="AB1349" s="14"/>
      <c r="AC1349" s="14"/>
      <c r="AD1349" s="14"/>
      <c r="AE1349" s="14"/>
      <c r="AF1349" s="14"/>
      <c r="AG1349" s="14"/>
      <c r="AH1349" s="14"/>
      <c r="AI1349" s="14"/>
      <c r="AJ1349" s="14"/>
      <c r="AK1349" s="14"/>
      <c r="AL1349" s="14"/>
      <c r="AM1349" s="14"/>
      <c r="AN1349" s="14"/>
    </row>
    <row r="1350" spans="2:40" x14ac:dyDescent="0.35">
      <c r="B1350" s="6" t="s">
        <v>387</v>
      </c>
      <c r="C1350" s="14"/>
      <c r="D1350" s="14"/>
      <c r="E1350" s="14"/>
      <c r="F1350" s="14"/>
      <c r="G1350" s="14"/>
      <c r="H1350" s="14"/>
      <c r="I1350" s="14"/>
      <c r="J1350" s="14"/>
      <c r="K1350" s="14"/>
      <c r="L1350" s="14"/>
      <c r="M1350" s="14"/>
      <c r="N1350" s="14"/>
      <c r="O1350" s="14"/>
      <c r="P1350" s="14"/>
      <c r="Q1350" s="14"/>
      <c r="R1350" s="14"/>
      <c r="S1350" s="14"/>
      <c r="T1350" s="14"/>
      <c r="U1350" s="14"/>
      <c r="V1350" s="14"/>
      <c r="W1350" s="14"/>
      <c r="X1350" s="14"/>
      <c r="Y1350" s="14"/>
      <c r="Z1350" s="14"/>
      <c r="AA1350" s="14"/>
      <c r="AB1350" s="14"/>
      <c r="AC1350" s="14"/>
      <c r="AD1350" s="14"/>
      <c r="AE1350" s="14"/>
      <c r="AF1350" s="14"/>
      <c r="AG1350" s="14"/>
      <c r="AH1350" s="14"/>
      <c r="AI1350" s="14"/>
      <c r="AJ1350" s="14"/>
      <c r="AK1350" s="14"/>
      <c r="AL1350" s="14"/>
      <c r="AM1350" s="14"/>
      <c r="AN1350" s="14"/>
    </row>
    <row r="1351" spans="2:40" x14ac:dyDescent="0.35">
      <c r="B1351" s="24" t="s">
        <v>74</v>
      </c>
      <c r="C1351" s="14"/>
      <c r="D1351" s="14"/>
      <c r="E1351" s="14"/>
      <c r="F1351" s="14"/>
      <c r="G1351" s="14"/>
      <c r="H1351" s="14"/>
      <c r="I1351" s="14"/>
      <c r="J1351" s="14"/>
      <c r="K1351" s="14"/>
      <c r="L1351" s="14"/>
      <c r="M1351" s="14"/>
      <c r="N1351" s="14"/>
      <c r="O1351" s="14"/>
      <c r="P1351" s="14"/>
      <c r="Q1351" s="14"/>
      <c r="R1351" s="14"/>
      <c r="S1351" s="14"/>
      <c r="T1351" s="14"/>
      <c r="U1351" s="14"/>
      <c r="V1351" s="14"/>
      <c r="W1351" s="14"/>
      <c r="X1351" s="14"/>
      <c r="Y1351" s="14"/>
      <c r="Z1351" s="14"/>
      <c r="AA1351" s="14"/>
      <c r="AB1351" s="14"/>
      <c r="AC1351" s="14"/>
      <c r="AD1351" s="14"/>
      <c r="AE1351" s="14"/>
      <c r="AF1351" s="14"/>
      <c r="AG1351" s="14"/>
      <c r="AH1351" s="14"/>
      <c r="AI1351" s="14"/>
      <c r="AJ1351" s="14"/>
      <c r="AK1351" s="14"/>
      <c r="AL1351" s="14"/>
      <c r="AM1351" s="14"/>
      <c r="AN1351" s="14"/>
    </row>
    <row r="1352" spans="2:40" x14ac:dyDescent="0.35">
      <c r="B1352" t="s">
        <v>377</v>
      </c>
      <c r="C1352" s="14">
        <v>0.39103462270112499</v>
      </c>
      <c r="D1352" s="14">
        <v>0.43366205044136702</v>
      </c>
      <c r="E1352" s="14">
        <v>0.35391585032020301</v>
      </c>
      <c r="F1352" s="14"/>
      <c r="G1352" s="14" t="s">
        <v>76</v>
      </c>
      <c r="H1352" s="14" t="s">
        <v>76</v>
      </c>
      <c r="I1352" s="14">
        <v>0.39103462270112499</v>
      </c>
      <c r="J1352" s="14"/>
      <c r="K1352" s="14" t="s">
        <v>76</v>
      </c>
      <c r="L1352" s="14">
        <v>0.40545455870583802</v>
      </c>
      <c r="M1352" s="14">
        <v>0.36361172032483302</v>
      </c>
      <c r="N1352" s="14"/>
      <c r="O1352" s="14">
        <v>0.373158038413342</v>
      </c>
      <c r="P1352" s="14">
        <v>0.53208765409507597</v>
      </c>
      <c r="Q1352" s="14"/>
      <c r="R1352" s="14">
        <v>0.44715886951415201</v>
      </c>
      <c r="S1352" s="14">
        <v>0.35101607235911497</v>
      </c>
      <c r="T1352" s="14">
        <v>0.36365110636495002</v>
      </c>
      <c r="U1352" s="14">
        <v>0.39238071726676599</v>
      </c>
      <c r="V1352" s="14">
        <v>0.450698880105873</v>
      </c>
      <c r="W1352" s="14">
        <v>0.32174783472309498</v>
      </c>
      <c r="X1352" s="14">
        <v>0.40423483335110599</v>
      </c>
      <c r="Y1352" s="14">
        <v>0.344486210281164</v>
      </c>
      <c r="Z1352" s="14">
        <v>0.41323593777491302</v>
      </c>
      <c r="AA1352" s="14"/>
      <c r="AB1352" s="14">
        <v>0.29289279622584902</v>
      </c>
      <c r="AC1352" s="14">
        <v>0.64113161019645604</v>
      </c>
      <c r="AD1352" s="14">
        <v>0.29249773322785999</v>
      </c>
      <c r="AE1352" s="14">
        <v>0.49682590106093899</v>
      </c>
      <c r="AF1352" s="14"/>
      <c r="AG1352" s="14">
        <v>0.679802232382403</v>
      </c>
      <c r="AH1352" s="14">
        <v>0.23422699511936901</v>
      </c>
      <c r="AI1352" s="14"/>
      <c r="AJ1352" s="14">
        <v>0.52407371534842395</v>
      </c>
      <c r="AK1352" s="14">
        <v>0.22569669598021</v>
      </c>
      <c r="AL1352" s="14"/>
      <c r="AM1352" s="14">
        <v>0.589956619595293</v>
      </c>
      <c r="AN1352" s="14">
        <v>0.107461945673339</v>
      </c>
    </row>
    <row r="1353" spans="2:40" x14ac:dyDescent="0.35">
      <c r="B1353" t="s">
        <v>378</v>
      </c>
      <c r="C1353" s="14">
        <v>0.46256595875454198</v>
      </c>
      <c r="D1353" s="14">
        <v>0.44074079944674499</v>
      </c>
      <c r="E1353" s="14">
        <v>0.48360403580737799</v>
      </c>
      <c r="F1353" s="14"/>
      <c r="G1353" s="14" t="s">
        <v>76</v>
      </c>
      <c r="H1353" s="14" t="s">
        <v>76</v>
      </c>
      <c r="I1353" s="14">
        <v>0.46256595875454198</v>
      </c>
      <c r="J1353" s="14"/>
      <c r="K1353" s="14" t="s">
        <v>76</v>
      </c>
      <c r="L1353" s="14">
        <v>0.46197245479945198</v>
      </c>
      <c r="M1353" s="14">
        <v>0.46369464621994</v>
      </c>
      <c r="N1353" s="14"/>
      <c r="O1353" s="14">
        <v>0.48099174110496401</v>
      </c>
      <c r="P1353" s="14">
        <v>0.356241272848623</v>
      </c>
      <c r="Q1353" s="14"/>
      <c r="R1353" s="14">
        <v>0.42714273070912301</v>
      </c>
      <c r="S1353" s="14">
        <v>0.46456673516118702</v>
      </c>
      <c r="T1353" s="14">
        <v>0.461370027505352</v>
      </c>
      <c r="U1353" s="14">
        <v>0.495234814354926</v>
      </c>
      <c r="V1353" s="14">
        <v>0.390919572595535</v>
      </c>
      <c r="W1353" s="14">
        <v>0.55044625063667596</v>
      </c>
      <c r="X1353" s="14">
        <v>0.401158265490485</v>
      </c>
      <c r="Y1353" s="14">
        <v>0.52659807353860899</v>
      </c>
      <c r="Z1353" s="14">
        <v>0.475645084153486</v>
      </c>
      <c r="AA1353" s="14"/>
      <c r="AB1353" s="14">
        <v>0.52232148500901898</v>
      </c>
      <c r="AC1353" s="14">
        <v>0.32853634277879401</v>
      </c>
      <c r="AD1353" s="14">
        <v>0.48152629729906898</v>
      </c>
      <c r="AE1353" s="14">
        <v>0.46320473471106899</v>
      </c>
      <c r="AF1353" s="14"/>
      <c r="AG1353" s="14">
        <v>0.283069787782881</v>
      </c>
      <c r="AH1353" s="14">
        <v>0.51751378363947298</v>
      </c>
      <c r="AI1353" s="14"/>
      <c r="AJ1353" s="14">
        <v>0.36500794939735798</v>
      </c>
      <c r="AK1353" s="14">
        <v>0.55037621549898597</v>
      </c>
      <c r="AL1353" s="14"/>
      <c r="AM1353" s="14">
        <v>0.35365372973335701</v>
      </c>
      <c r="AN1353" s="14">
        <v>0.55081458561854502</v>
      </c>
    </row>
    <row r="1354" spans="2:40" x14ac:dyDescent="0.35">
      <c r="B1354" t="s">
        <v>379</v>
      </c>
      <c r="C1354" s="14">
        <v>0.110919640994081</v>
      </c>
      <c r="D1354" s="14">
        <v>9.2195513885142605E-2</v>
      </c>
      <c r="E1354" s="14">
        <v>0.12480383565193599</v>
      </c>
      <c r="F1354" s="14"/>
      <c r="G1354" s="14" t="s">
        <v>76</v>
      </c>
      <c r="H1354" s="14" t="s">
        <v>76</v>
      </c>
      <c r="I1354" s="14">
        <v>0.110919640994081</v>
      </c>
      <c r="J1354" s="14"/>
      <c r="K1354" s="14" t="s">
        <v>76</v>
      </c>
      <c r="L1354" s="14">
        <v>0.100455401919934</v>
      </c>
      <c r="M1354" s="14">
        <v>0.13081985459272</v>
      </c>
      <c r="N1354" s="14"/>
      <c r="O1354" s="14">
        <v>0.111651015339578</v>
      </c>
      <c r="P1354" s="14">
        <v>9.3002371002540801E-2</v>
      </c>
      <c r="Q1354" s="14"/>
      <c r="R1354" s="14">
        <v>9.4219014947891006E-2</v>
      </c>
      <c r="S1354" s="14">
        <v>0.15296560253085001</v>
      </c>
      <c r="T1354" s="14">
        <v>0.14961758959750801</v>
      </c>
      <c r="U1354" s="14">
        <v>9.7694561097694907E-2</v>
      </c>
      <c r="V1354" s="14">
        <v>8.5524292710751196E-2</v>
      </c>
      <c r="W1354" s="14">
        <v>8.3659730046540801E-2</v>
      </c>
      <c r="X1354" s="14">
        <v>0.137207890160151</v>
      </c>
      <c r="Y1354" s="14">
        <v>0.115017839219726</v>
      </c>
      <c r="Z1354" s="14">
        <v>7.9445498054199704E-2</v>
      </c>
      <c r="AA1354" s="14"/>
      <c r="AB1354" s="14">
        <v>0.130687837491995</v>
      </c>
      <c r="AC1354" s="14">
        <v>2.50160886812636E-2</v>
      </c>
      <c r="AD1354" s="14">
        <v>0.17659268491395499</v>
      </c>
      <c r="AE1354" s="14">
        <v>3.14821583193177E-2</v>
      </c>
      <c r="AF1354" s="14"/>
      <c r="AG1354" s="14">
        <v>2.4593280496561801E-2</v>
      </c>
      <c r="AH1354" s="14">
        <v>0.18835428326713599</v>
      </c>
      <c r="AI1354" s="14"/>
      <c r="AJ1354" s="14">
        <v>8.1827740530982795E-2</v>
      </c>
      <c r="AK1354" s="14">
        <v>0.17755398917415899</v>
      </c>
      <c r="AL1354" s="14"/>
      <c r="AM1354" s="14">
        <v>3.9327213557997898E-2</v>
      </c>
      <c r="AN1354" s="14">
        <v>0.256020796562478</v>
      </c>
    </row>
    <row r="1355" spans="2:40" x14ac:dyDescent="0.35">
      <c r="B1355" t="s">
        <v>380</v>
      </c>
      <c r="C1355" s="14">
        <v>2.1701599367640101E-2</v>
      </c>
      <c r="D1355" s="14">
        <v>1.93191499925594E-2</v>
      </c>
      <c r="E1355" s="14">
        <v>2.4061843127577399E-2</v>
      </c>
      <c r="F1355" s="14"/>
      <c r="G1355" s="14" t="s">
        <v>76</v>
      </c>
      <c r="H1355" s="14" t="s">
        <v>76</v>
      </c>
      <c r="I1355" s="14">
        <v>2.1701599367640101E-2</v>
      </c>
      <c r="J1355" s="14"/>
      <c r="K1355" s="14" t="s">
        <v>76</v>
      </c>
      <c r="L1355" s="14">
        <v>1.7055209009824001E-2</v>
      </c>
      <c r="M1355" s="14">
        <v>3.05378042677786E-2</v>
      </c>
      <c r="N1355" s="14"/>
      <c r="O1355" s="14">
        <v>2.4011941481740701E-2</v>
      </c>
      <c r="P1355" s="14">
        <v>0</v>
      </c>
      <c r="Q1355" s="14"/>
      <c r="R1355" s="14">
        <v>1.6343721867548601E-2</v>
      </c>
      <c r="S1355" s="14">
        <v>1.9266291834233201E-2</v>
      </c>
      <c r="T1355" s="14">
        <v>0</v>
      </c>
      <c r="U1355" s="14">
        <v>1.4689907280613E-2</v>
      </c>
      <c r="V1355" s="14">
        <v>6.4580273229132804E-2</v>
      </c>
      <c r="W1355" s="14">
        <v>2.70733417684925E-2</v>
      </c>
      <c r="X1355" s="14">
        <v>5.7399010998257498E-2</v>
      </c>
      <c r="Y1355" s="14">
        <v>0</v>
      </c>
      <c r="Z1355" s="14">
        <v>4.15206191017239E-3</v>
      </c>
      <c r="AA1355" s="14"/>
      <c r="AB1355" s="14">
        <v>4.6805537702864601E-2</v>
      </c>
      <c r="AC1355" s="14">
        <v>5.31595834348704E-3</v>
      </c>
      <c r="AD1355" s="14">
        <v>3.9166002538839499E-2</v>
      </c>
      <c r="AE1355" s="14">
        <v>8.4872059086739896E-3</v>
      </c>
      <c r="AF1355" s="14"/>
      <c r="AG1355" s="14">
        <v>5.5596023392409898E-3</v>
      </c>
      <c r="AH1355" s="14">
        <v>5.9904937974021702E-2</v>
      </c>
      <c r="AI1355" s="14"/>
      <c r="AJ1355" s="14">
        <v>2.45532936810294E-2</v>
      </c>
      <c r="AK1355" s="14">
        <v>2.6787574375893301E-2</v>
      </c>
      <c r="AL1355" s="14"/>
      <c r="AM1355" s="14">
        <v>7.1489806240234597E-3</v>
      </c>
      <c r="AN1355" s="14">
        <v>6.0245891660182703E-2</v>
      </c>
    </row>
    <row r="1356" spans="2:40" x14ac:dyDescent="0.35">
      <c r="B1356" t="s">
        <v>70</v>
      </c>
      <c r="C1356" s="14">
        <v>1.3778178182612099E-2</v>
      </c>
      <c r="D1356" s="14">
        <v>1.4082486234186E-2</v>
      </c>
      <c r="E1356" s="14">
        <v>1.3614435092906E-2</v>
      </c>
      <c r="F1356" s="14"/>
      <c r="G1356" s="14" t="s">
        <v>76</v>
      </c>
      <c r="H1356" s="14" t="s">
        <v>76</v>
      </c>
      <c r="I1356" s="14">
        <v>1.3778178182612099E-2</v>
      </c>
      <c r="J1356" s="14"/>
      <c r="K1356" s="14" t="s">
        <v>76</v>
      </c>
      <c r="L1356" s="14">
        <v>1.5062375564951099E-2</v>
      </c>
      <c r="M1356" s="14">
        <v>1.1335974594727899E-2</v>
      </c>
      <c r="N1356" s="14"/>
      <c r="O1356" s="14">
        <v>1.01872636603739E-2</v>
      </c>
      <c r="P1356" s="14">
        <v>1.8668702053760599E-2</v>
      </c>
      <c r="Q1356" s="14"/>
      <c r="R1356" s="14">
        <v>1.5135662961284701E-2</v>
      </c>
      <c r="S1356" s="14">
        <v>1.2185298114614501E-2</v>
      </c>
      <c r="T1356" s="14">
        <v>2.5361276532190301E-2</v>
      </c>
      <c r="U1356" s="14">
        <v>0</v>
      </c>
      <c r="V1356" s="14">
        <v>8.2769813587082307E-3</v>
      </c>
      <c r="W1356" s="14">
        <v>1.7072842825195899E-2</v>
      </c>
      <c r="X1356" s="14">
        <v>0</v>
      </c>
      <c r="Y1356" s="14">
        <v>1.38978769605007E-2</v>
      </c>
      <c r="Z1356" s="14">
        <v>2.7521418107228399E-2</v>
      </c>
      <c r="AA1356" s="14"/>
      <c r="AB1356" s="14">
        <v>7.2923435702724202E-3</v>
      </c>
      <c r="AC1356" s="14">
        <v>0</v>
      </c>
      <c r="AD1356" s="14">
        <v>1.02172820202764E-2</v>
      </c>
      <c r="AE1356" s="14">
        <v>0</v>
      </c>
      <c r="AF1356" s="14"/>
      <c r="AG1356" s="14">
        <v>6.9750969989137096E-3</v>
      </c>
      <c r="AH1356" s="14">
        <v>0</v>
      </c>
      <c r="AI1356" s="14"/>
      <c r="AJ1356" s="14">
        <v>4.5373010422058201E-3</v>
      </c>
      <c r="AK1356" s="14">
        <v>1.9585524970751899E-2</v>
      </c>
      <c r="AL1356" s="14"/>
      <c r="AM1356" s="14">
        <v>9.9134564893279403E-3</v>
      </c>
      <c r="AN1356" s="14">
        <v>2.5456780485455199E-2</v>
      </c>
    </row>
    <row r="1357" spans="2:40" x14ac:dyDescent="0.35">
      <c r="B1357" t="s">
        <v>381</v>
      </c>
      <c r="C1357" s="14">
        <v>0.85360058145566697</v>
      </c>
      <c r="D1357" s="14">
        <v>0.87440284988811201</v>
      </c>
      <c r="E1357" s="14">
        <v>0.83751988612757999</v>
      </c>
      <c r="F1357" s="14"/>
      <c r="G1357" s="14" t="s">
        <v>76</v>
      </c>
      <c r="H1357" s="14" t="s">
        <v>76</v>
      </c>
      <c r="I1357" s="14">
        <v>0.85360058145566697</v>
      </c>
      <c r="J1357" s="14"/>
      <c r="K1357" s="14" t="s">
        <v>76</v>
      </c>
      <c r="L1357" s="14">
        <v>0.86742701350528995</v>
      </c>
      <c r="M1357" s="14">
        <v>0.82730636654477396</v>
      </c>
      <c r="N1357" s="14"/>
      <c r="O1357" s="14">
        <v>0.85414977951830695</v>
      </c>
      <c r="P1357" s="14">
        <v>0.88832892694369903</v>
      </c>
      <c r="Q1357" s="14"/>
      <c r="R1357" s="14">
        <v>0.87430160022327597</v>
      </c>
      <c r="S1357" s="14">
        <v>0.81558280752030199</v>
      </c>
      <c r="T1357" s="14">
        <v>0.82502113387030196</v>
      </c>
      <c r="U1357" s="14">
        <v>0.88761553162169204</v>
      </c>
      <c r="V1357" s="14">
        <v>0.841618452701408</v>
      </c>
      <c r="W1357" s="14">
        <v>0.87219408535977105</v>
      </c>
      <c r="X1357" s="14">
        <v>0.80539309884159105</v>
      </c>
      <c r="Y1357" s="14">
        <v>0.87108428381977299</v>
      </c>
      <c r="Z1357" s="14">
        <v>0.88888102192839902</v>
      </c>
      <c r="AA1357" s="14"/>
      <c r="AB1357" s="14">
        <v>0.81521428123486805</v>
      </c>
      <c r="AC1357" s="14">
        <v>0.96966795297524899</v>
      </c>
      <c r="AD1357" s="14">
        <v>0.77402403052692903</v>
      </c>
      <c r="AE1357" s="14">
        <v>0.96003063577200798</v>
      </c>
      <c r="AF1357" s="14"/>
      <c r="AG1357" s="14">
        <v>0.96287202016528395</v>
      </c>
      <c r="AH1357" s="14">
        <v>0.75174077875884204</v>
      </c>
      <c r="AI1357" s="14"/>
      <c r="AJ1357" s="14">
        <v>0.88908166474578199</v>
      </c>
      <c r="AK1357" s="14">
        <v>0.77607291147919599</v>
      </c>
      <c r="AL1357" s="14"/>
      <c r="AM1357" s="14">
        <v>0.94361034932865095</v>
      </c>
      <c r="AN1357" s="14">
        <v>0.65827653129188402</v>
      </c>
    </row>
    <row r="1358" spans="2:40" x14ac:dyDescent="0.35">
      <c r="B1358" t="s">
        <v>136</v>
      </c>
      <c r="C1358" s="14">
        <v>0.13262124036172099</v>
      </c>
      <c r="D1358" s="14">
        <v>0.11151466387770199</v>
      </c>
      <c r="E1358" s="14">
        <v>0.14886567877951401</v>
      </c>
      <c r="F1358" s="14"/>
      <c r="G1358" s="14" t="s">
        <v>76</v>
      </c>
      <c r="H1358" s="14" t="s">
        <v>76</v>
      </c>
      <c r="I1358" s="14">
        <v>0.13262124036172099</v>
      </c>
      <c r="J1358" s="14"/>
      <c r="K1358" s="14" t="s">
        <v>76</v>
      </c>
      <c r="L1358" s="14">
        <v>0.11751061092975799</v>
      </c>
      <c r="M1358" s="14">
        <v>0.16135765886049899</v>
      </c>
      <c r="N1358" s="14"/>
      <c r="O1358" s="14">
        <v>0.13566295682131899</v>
      </c>
      <c r="P1358" s="14">
        <v>9.3002371002540801E-2</v>
      </c>
      <c r="Q1358" s="14"/>
      <c r="R1358" s="14">
        <v>0.11056273681544</v>
      </c>
      <c r="S1358" s="14">
        <v>0.17223189436508399</v>
      </c>
      <c r="T1358" s="14">
        <v>0.14961758959750801</v>
      </c>
      <c r="U1358" s="14">
        <v>0.112384468378308</v>
      </c>
      <c r="V1358" s="14">
        <v>0.150104565939884</v>
      </c>
      <c r="W1358" s="14">
        <v>0.110733071815033</v>
      </c>
      <c r="X1358" s="14">
        <v>0.19460690115840901</v>
      </c>
      <c r="Y1358" s="14">
        <v>0.115017839219726</v>
      </c>
      <c r="Z1358" s="14">
        <v>8.3597559964372098E-2</v>
      </c>
      <c r="AA1358" s="14"/>
      <c r="AB1358" s="14">
        <v>0.17749337519486</v>
      </c>
      <c r="AC1358" s="14">
        <v>3.0332047024750699E-2</v>
      </c>
      <c r="AD1358" s="14">
        <v>0.215758687452794</v>
      </c>
      <c r="AE1358" s="14">
        <v>3.9969364227991702E-2</v>
      </c>
      <c r="AF1358" s="14"/>
      <c r="AG1358" s="14">
        <v>3.0152882835802801E-2</v>
      </c>
      <c r="AH1358" s="14">
        <v>0.24825922124115801</v>
      </c>
      <c r="AI1358" s="14"/>
      <c r="AJ1358" s="14">
        <v>0.106381034212012</v>
      </c>
      <c r="AK1358" s="14">
        <v>0.20434156355005201</v>
      </c>
      <c r="AL1358" s="14"/>
      <c r="AM1358" s="14">
        <v>4.6476194182021403E-2</v>
      </c>
      <c r="AN1358" s="14">
        <v>0.31626668822266102</v>
      </c>
    </row>
    <row r="1359" spans="2:40" x14ac:dyDescent="0.35">
      <c r="C1359" s="14"/>
      <c r="D1359" s="14"/>
      <c r="E1359" s="14"/>
      <c r="F1359" s="14"/>
      <c r="G1359" s="14"/>
      <c r="H1359" s="14"/>
      <c r="I1359" s="14"/>
      <c r="J1359" s="14"/>
      <c r="K1359" s="14"/>
      <c r="L1359" s="14"/>
      <c r="M1359" s="14"/>
      <c r="N1359" s="14"/>
      <c r="O1359" s="14"/>
      <c r="P1359" s="14"/>
      <c r="Q1359" s="14"/>
      <c r="R1359" s="14"/>
      <c r="S1359" s="14"/>
      <c r="T1359" s="14"/>
      <c r="U1359" s="14"/>
      <c r="V1359" s="14"/>
      <c r="W1359" s="14"/>
      <c r="X1359" s="14"/>
      <c r="Y1359" s="14"/>
      <c r="Z1359" s="14"/>
      <c r="AA1359" s="14"/>
      <c r="AB1359" s="14"/>
      <c r="AC1359" s="14"/>
      <c r="AD1359" s="14"/>
      <c r="AE1359" s="14"/>
      <c r="AF1359" s="14"/>
      <c r="AG1359" s="14"/>
      <c r="AH1359" s="14"/>
      <c r="AI1359" s="14"/>
      <c r="AJ1359" s="14"/>
      <c r="AK1359" s="14"/>
      <c r="AL1359" s="14"/>
      <c r="AM1359" s="14"/>
      <c r="AN1359" s="14"/>
    </row>
    <row r="1360" spans="2:40" x14ac:dyDescent="0.35">
      <c r="C1360" s="14"/>
      <c r="D1360" s="14"/>
      <c r="E1360" s="14"/>
      <c r="F1360" s="14"/>
      <c r="G1360" s="14"/>
      <c r="H1360" s="14"/>
      <c r="I1360" s="14"/>
      <c r="J1360" s="14"/>
      <c r="K1360" s="14"/>
      <c r="L1360" s="14"/>
      <c r="M1360" s="14"/>
      <c r="N1360" s="14"/>
      <c r="O1360" s="14"/>
      <c r="P1360" s="14"/>
      <c r="Q1360" s="14"/>
      <c r="R1360" s="14"/>
      <c r="S1360" s="14"/>
      <c r="T1360" s="14"/>
      <c r="U1360" s="14"/>
      <c r="V1360" s="14"/>
      <c r="W1360" s="14"/>
      <c r="X1360" s="14"/>
      <c r="Y1360" s="14"/>
      <c r="Z1360" s="14"/>
      <c r="AA1360" s="14"/>
      <c r="AB1360" s="14"/>
      <c r="AC1360" s="14"/>
      <c r="AD1360" s="14"/>
      <c r="AE1360" s="14"/>
      <c r="AF1360" s="14"/>
      <c r="AG1360" s="14"/>
      <c r="AH1360" s="14"/>
      <c r="AI1360" s="14"/>
      <c r="AJ1360" s="14"/>
      <c r="AK1360" s="14"/>
      <c r="AL1360" s="14"/>
      <c r="AM1360" s="14"/>
      <c r="AN1360" s="14"/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L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12" width="20.7265625" customWidth="1"/>
  </cols>
  <sheetData>
    <row r="2" spans="2:12" ht="40" customHeight="1" x14ac:dyDescent="0.35">
      <c r="D2" s="41" t="s">
        <v>71</v>
      </c>
      <c r="E2" s="38"/>
      <c r="F2" s="38"/>
      <c r="G2" s="38"/>
      <c r="H2" s="38"/>
      <c r="I2" s="38"/>
      <c r="J2" s="38"/>
      <c r="K2" s="38"/>
      <c r="L2" s="38"/>
    </row>
    <row r="6" spans="2:12" ht="50" customHeight="1" x14ac:dyDescent="0.35">
      <c r="B6" s="17" t="s">
        <v>15</v>
      </c>
      <c r="C6" s="17" t="s">
        <v>56</v>
      </c>
      <c r="D6" s="17" t="s">
        <v>57</v>
      </c>
      <c r="E6" s="17" t="s">
        <v>58</v>
      </c>
      <c r="F6" s="17" t="s">
        <v>59</v>
      </c>
      <c r="G6" s="17" t="s">
        <v>60</v>
      </c>
      <c r="H6" s="17" t="s">
        <v>61</v>
      </c>
      <c r="I6" s="17" t="s">
        <v>62</v>
      </c>
      <c r="J6" s="17" t="s">
        <v>63</v>
      </c>
      <c r="K6" s="17" t="s">
        <v>64</v>
      </c>
    </row>
    <row r="7" spans="2:12" x14ac:dyDescent="0.35">
      <c r="B7" s="15" t="s">
        <v>65</v>
      </c>
      <c r="C7" s="14">
        <v>0.348056396408499</v>
      </c>
      <c r="D7" s="14">
        <v>0.30881184822049201</v>
      </c>
      <c r="E7" s="14">
        <v>0.44669664098131201</v>
      </c>
      <c r="F7" s="14">
        <v>0.32330256041163702</v>
      </c>
      <c r="G7" s="14">
        <v>0.56869602837918698</v>
      </c>
      <c r="H7" s="14">
        <v>0.19992586236396301</v>
      </c>
      <c r="I7" s="14">
        <v>0.14362258810060299</v>
      </c>
      <c r="J7" s="14">
        <v>0.53255416488331697</v>
      </c>
      <c r="K7" s="14">
        <v>0.117112903377088</v>
      </c>
    </row>
    <row r="8" spans="2:12" x14ac:dyDescent="0.35">
      <c r="B8" s="15" t="s">
        <v>66</v>
      </c>
      <c r="C8" s="14">
        <v>0.31984110829090601</v>
      </c>
      <c r="D8" s="14">
        <v>0.35725407285773397</v>
      </c>
      <c r="E8" s="14">
        <v>0.31537309208029701</v>
      </c>
      <c r="F8" s="14">
        <v>0.37954960749805899</v>
      </c>
      <c r="G8" s="14">
        <v>0.25170275271919901</v>
      </c>
      <c r="H8" s="14">
        <v>0.30557381293532199</v>
      </c>
      <c r="I8" s="14">
        <v>0.32714517131951298</v>
      </c>
      <c r="J8" s="14">
        <v>0.27938535949223198</v>
      </c>
      <c r="K8" s="14">
        <v>0.21484424416814599</v>
      </c>
    </row>
    <row r="9" spans="2:12" x14ac:dyDescent="0.35">
      <c r="B9" s="15" t="s">
        <v>67</v>
      </c>
      <c r="C9" s="14">
        <v>0.18590824770569001</v>
      </c>
      <c r="D9" s="14">
        <v>0.22472455460690499</v>
      </c>
      <c r="E9" s="14">
        <v>0.124259953400662</v>
      </c>
      <c r="F9" s="14">
        <v>0.19524669677645901</v>
      </c>
      <c r="G9" s="14">
        <v>0.118083700413814</v>
      </c>
      <c r="H9" s="14">
        <v>0.27961903274951799</v>
      </c>
      <c r="I9" s="14">
        <v>0.28363418726466499</v>
      </c>
      <c r="J9" s="14">
        <v>0.12311254059299399</v>
      </c>
      <c r="K9" s="14">
        <v>0.27224139430757499</v>
      </c>
    </row>
    <row r="10" spans="2:12" x14ac:dyDescent="0.35">
      <c r="B10" s="15" t="s">
        <v>68</v>
      </c>
      <c r="C10" s="14">
        <v>0.13897143358978301</v>
      </c>
      <c r="D10" s="14">
        <v>8.9856740976945002E-2</v>
      </c>
      <c r="E10" s="14">
        <v>2.10621543850858E-2</v>
      </c>
      <c r="F10" s="14">
        <v>4.5880754177128197E-2</v>
      </c>
      <c r="G10" s="14">
        <v>5.89817420782432E-2</v>
      </c>
      <c r="H10" s="14">
        <v>0.11902071397316601</v>
      </c>
      <c r="I10" s="14">
        <v>0.12242165122137499</v>
      </c>
      <c r="J10" s="14">
        <v>3.9031314506219203E-2</v>
      </c>
      <c r="K10" s="14">
        <v>0.146480726918405</v>
      </c>
    </row>
    <row r="11" spans="2:12" ht="29" x14ac:dyDescent="0.35">
      <c r="B11" s="15" t="s">
        <v>69</v>
      </c>
      <c r="C11" s="14">
        <v>1.9322400884914099E-3</v>
      </c>
      <c r="D11" s="14">
        <v>1.06476197952831E-2</v>
      </c>
      <c r="E11" s="14">
        <v>7.9544776922112106E-2</v>
      </c>
      <c r="F11" s="14">
        <v>3.2814707290749298E-2</v>
      </c>
      <c r="G11" s="14">
        <v>1.6024242729206399E-3</v>
      </c>
      <c r="H11" s="14">
        <v>7.9838645392399196E-2</v>
      </c>
      <c r="I11" s="14">
        <v>9.2321489539002197E-2</v>
      </c>
      <c r="J11" s="14">
        <v>2.1519953274081599E-2</v>
      </c>
      <c r="K11" s="14">
        <v>0.23052609096601501</v>
      </c>
    </row>
    <row r="12" spans="2:12" x14ac:dyDescent="0.35">
      <c r="B12" s="15" t="s">
        <v>70</v>
      </c>
      <c r="C12" s="14">
        <v>5.2905739166309402E-3</v>
      </c>
      <c r="D12" s="14">
        <v>8.7051635426402194E-3</v>
      </c>
      <c r="E12" s="14">
        <v>1.30633822305315E-2</v>
      </c>
      <c r="F12" s="14">
        <v>2.32056738459674E-2</v>
      </c>
      <c r="G12" s="14">
        <v>9.3335213663643104E-4</v>
      </c>
      <c r="H12" s="14">
        <v>1.6021932585632101E-2</v>
      </c>
      <c r="I12" s="14">
        <v>3.0854912554841501E-2</v>
      </c>
      <c r="J12" s="14">
        <v>4.3966672511561297E-3</v>
      </c>
      <c r="K12" s="14">
        <v>1.8794640262771001E-2</v>
      </c>
    </row>
    <row r="13" spans="2:12" x14ac:dyDescent="0.35">
      <c r="B13" s="16" t="s">
        <v>89</v>
      </c>
      <c r="C13" s="16"/>
      <c r="D13" s="16"/>
      <c r="E13" s="16"/>
      <c r="F13" s="16"/>
      <c r="G13" s="16"/>
      <c r="H13" s="16"/>
      <c r="I13" s="16"/>
      <c r="J13" s="16"/>
      <c r="K13" s="16"/>
    </row>
    <row r="14" spans="2:12" x14ac:dyDescent="0.35">
      <c r="B14" t="s">
        <v>72</v>
      </c>
    </row>
    <row r="15" spans="2:12" x14ac:dyDescent="0.35">
      <c r="B15" t="s">
        <v>73</v>
      </c>
    </row>
    <row r="19" spans="2:2" x14ac:dyDescent="0.35">
      <c r="B19" s="8" t="str">
        <f>HYPERLINK("#'Contents'!A1", "Return to Contents")</f>
        <v>Return to Contents</v>
      </c>
    </row>
  </sheetData>
  <mergeCells count="1">
    <mergeCell ref="D2:L2"/>
  </mergeCells>
  <pageMargins left="0.7" right="0.7" top="0.75" bottom="0.75" header="0.3" footer="0.3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AN19"/>
  <sheetViews>
    <sheetView showGridLines="0" topLeftCell="A6" workbookViewId="0">
      <pane xSplit="2" topLeftCell="C1" activePane="topRight" state="frozen"/>
      <selection pane="topRight" activeCell="B19" sqref="B19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77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938</v>
      </c>
      <c r="D7" s="10">
        <v>503</v>
      </c>
      <c r="E7" s="10">
        <v>433</v>
      </c>
      <c r="F7" s="10"/>
      <c r="G7" s="10">
        <v>429</v>
      </c>
      <c r="H7" s="10">
        <v>509</v>
      </c>
      <c r="I7" s="10" t="s">
        <v>75</v>
      </c>
      <c r="J7" s="10"/>
      <c r="K7" s="10">
        <v>938</v>
      </c>
      <c r="L7" s="10" t="s">
        <v>75</v>
      </c>
      <c r="M7" s="10" t="s">
        <v>75</v>
      </c>
      <c r="N7" s="10"/>
      <c r="O7" s="10">
        <v>827</v>
      </c>
      <c r="P7" s="10">
        <v>94</v>
      </c>
      <c r="Q7" s="10"/>
      <c r="R7" s="10">
        <v>134</v>
      </c>
      <c r="S7" s="10">
        <v>154</v>
      </c>
      <c r="T7" s="10">
        <v>99</v>
      </c>
      <c r="U7" s="10">
        <v>95</v>
      </c>
      <c r="V7" s="10">
        <v>87</v>
      </c>
      <c r="W7" s="10">
        <v>121</v>
      </c>
      <c r="X7" s="10">
        <v>67</v>
      </c>
      <c r="Y7" s="10">
        <v>44</v>
      </c>
      <c r="Z7" s="10">
        <v>137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611</v>
      </c>
      <c r="AN7" s="10">
        <v>169</v>
      </c>
    </row>
    <row r="8" spans="2:40" ht="30" customHeight="1" x14ac:dyDescent="0.35">
      <c r="B8" s="11" t="s">
        <v>20</v>
      </c>
      <c r="C8" s="11">
        <v>1018</v>
      </c>
      <c r="D8" s="11">
        <v>532</v>
      </c>
      <c r="E8" s="11">
        <v>484</v>
      </c>
      <c r="F8" s="11"/>
      <c r="G8" s="11">
        <v>559</v>
      </c>
      <c r="H8" s="11">
        <v>459</v>
      </c>
      <c r="I8" s="11" t="s">
        <v>75</v>
      </c>
      <c r="J8" s="11"/>
      <c r="K8" s="11">
        <v>1018</v>
      </c>
      <c r="L8" s="11" t="s">
        <v>75</v>
      </c>
      <c r="M8" s="11" t="s">
        <v>75</v>
      </c>
      <c r="N8" s="11"/>
      <c r="O8" s="11">
        <v>901</v>
      </c>
      <c r="P8" s="11">
        <v>100</v>
      </c>
      <c r="Q8" s="11"/>
      <c r="R8" s="11">
        <v>162</v>
      </c>
      <c r="S8" s="11">
        <v>153</v>
      </c>
      <c r="T8" s="11">
        <v>111</v>
      </c>
      <c r="U8" s="11">
        <v>116</v>
      </c>
      <c r="V8" s="11">
        <v>95</v>
      </c>
      <c r="W8" s="11">
        <v>103</v>
      </c>
      <c r="X8" s="11">
        <v>108</v>
      </c>
      <c r="Y8" s="11">
        <v>46</v>
      </c>
      <c r="Z8" s="11">
        <v>123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673</v>
      </c>
      <c r="AN8" s="11">
        <v>174</v>
      </c>
    </row>
    <row r="9" spans="2:40" x14ac:dyDescent="0.35">
      <c r="B9" s="15" t="s">
        <v>65</v>
      </c>
      <c r="C9" s="14">
        <v>0.348056396408499</v>
      </c>
      <c r="D9" s="14">
        <v>0.39066322638379403</v>
      </c>
      <c r="E9" s="14">
        <v>0.302677775310215</v>
      </c>
      <c r="F9" s="14"/>
      <c r="G9" s="14">
        <v>0.38114039506680802</v>
      </c>
      <c r="H9" s="14">
        <v>0.30777599287478402</v>
      </c>
      <c r="I9" s="14" t="s">
        <v>76</v>
      </c>
      <c r="J9" s="14"/>
      <c r="K9" s="14">
        <v>0.348056396408499</v>
      </c>
      <c r="L9" s="14" t="s">
        <v>76</v>
      </c>
      <c r="M9" s="14" t="s">
        <v>76</v>
      </c>
      <c r="N9" s="14"/>
      <c r="O9" s="14">
        <v>0.35022507400173197</v>
      </c>
      <c r="P9" s="14">
        <v>0.33067373320675503</v>
      </c>
      <c r="Q9" s="14"/>
      <c r="R9" s="14">
        <v>0.42063877341752698</v>
      </c>
      <c r="S9" s="14">
        <v>0.33218258463879402</v>
      </c>
      <c r="T9" s="14">
        <v>0.30093329843654198</v>
      </c>
      <c r="U9" s="14">
        <v>0.33877651895051603</v>
      </c>
      <c r="V9" s="14">
        <v>0.31076938341896099</v>
      </c>
      <c r="W9" s="14">
        <v>0.31491730308937299</v>
      </c>
      <c r="X9" s="14">
        <v>0.40712741808636799</v>
      </c>
      <c r="Y9" s="14">
        <v>0.21850332577138401</v>
      </c>
      <c r="Z9" s="14">
        <v>0.37624170503545301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0.50133199040077103</v>
      </c>
      <c r="AN9" s="14">
        <v>2.0002329460602899E-2</v>
      </c>
    </row>
    <row r="10" spans="2:40" x14ac:dyDescent="0.35">
      <c r="B10" s="15" t="s">
        <v>66</v>
      </c>
      <c r="C10" s="14">
        <v>0.31984110829090601</v>
      </c>
      <c r="D10" s="14">
        <v>0.32890684628051198</v>
      </c>
      <c r="E10" s="14">
        <v>0.30955915325651401</v>
      </c>
      <c r="F10" s="14"/>
      <c r="G10" s="14">
        <v>0.31892690330583001</v>
      </c>
      <c r="H10" s="14">
        <v>0.32095417041171298</v>
      </c>
      <c r="I10" s="14" t="s">
        <v>76</v>
      </c>
      <c r="J10" s="14"/>
      <c r="K10" s="14">
        <v>0.31984110829090601</v>
      </c>
      <c r="L10" s="14" t="s">
        <v>76</v>
      </c>
      <c r="M10" s="14" t="s">
        <v>76</v>
      </c>
      <c r="N10" s="14"/>
      <c r="O10" s="14">
        <v>0.31163817821098699</v>
      </c>
      <c r="P10" s="14">
        <v>0.39155942678503403</v>
      </c>
      <c r="Q10" s="14"/>
      <c r="R10" s="14">
        <v>0.39756171908577298</v>
      </c>
      <c r="S10" s="14">
        <v>0.31935167059697001</v>
      </c>
      <c r="T10" s="14">
        <v>0.30349587396059802</v>
      </c>
      <c r="U10" s="14">
        <v>0.33231945696352799</v>
      </c>
      <c r="V10" s="14">
        <v>0.22952382697578899</v>
      </c>
      <c r="W10" s="14">
        <v>0.36376976496421698</v>
      </c>
      <c r="X10" s="14">
        <v>0.27530721367669497</v>
      </c>
      <c r="Y10" s="14">
        <v>0.43262129258307203</v>
      </c>
      <c r="Z10" s="14">
        <v>0.25164781258584201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0.35734809282651198</v>
      </c>
      <c r="AN10" s="14">
        <v>8.5997480442485799E-2</v>
      </c>
    </row>
    <row r="11" spans="2:40" x14ac:dyDescent="0.35">
      <c r="B11" s="15" t="s">
        <v>67</v>
      </c>
      <c r="C11" s="14">
        <v>0.18590824770569001</v>
      </c>
      <c r="D11" s="14">
        <v>0.18568710072615799</v>
      </c>
      <c r="E11" s="14">
        <v>0.186946766881122</v>
      </c>
      <c r="F11" s="14"/>
      <c r="G11" s="14">
        <v>0.18628412568238101</v>
      </c>
      <c r="H11" s="14">
        <v>0.185450609052728</v>
      </c>
      <c r="I11" s="14" t="s">
        <v>76</v>
      </c>
      <c r="J11" s="14"/>
      <c r="K11" s="14">
        <v>0.18590824770569001</v>
      </c>
      <c r="L11" s="14" t="s">
        <v>76</v>
      </c>
      <c r="M11" s="14" t="s">
        <v>76</v>
      </c>
      <c r="N11" s="14"/>
      <c r="O11" s="14">
        <v>0.18656141420244499</v>
      </c>
      <c r="P11" s="14">
        <v>0.18829255718112001</v>
      </c>
      <c r="Q11" s="14"/>
      <c r="R11" s="14">
        <v>0.124851659274284</v>
      </c>
      <c r="S11" s="14">
        <v>0.16159966100710199</v>
      </c>
      <c r="T11" s="14">
        <v>0.189885507433496</v>
      </c>
      <c r="U11" s="14">
        <v>0.17620792980491701</v>
      </c>
      <c r="V11" s="14">
        <v>0.28403694496380599</v>
      </c>
      <c r="W11" s="14">
        <v>0.18820666373898701</v>
      </c>
      <c r="X11" s="14">
        <v>0.15793336911299499</v>
      </c>
      <c r="Y11" s="14">
        <v>0.19404979344171699</v>
      </c>
      <c r="Z11" s="14">
        <v>0.245731794843082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0.11206790872370399</v>
      </c>
      <c r="AN11" s="14">
        <v>0.30315197774782698</v>
      </c>
    </row>
    <row r="12" spans="2:40" x14ac:dyDescent="0.35">
      <c r="B12" s="15" t="s">
        <v>68</v>
      </c>
      <c r="C12" s="14">
        <v>0.13897143358978301</v>
      </c>
      <c r="D12" s="14">
        <v>9.0050981223202403E-2</v>
      </c>
      <c r="E12" s="14">
        <v>0.19337839044654101</v>
      </c>
      <c r="F12" s="14"/>
      <c r="G12" s="14">
        <v>0.10444360467563001</v>
      </c>
      <c r="H12" s="14">
        <v>0.181009728179541</v>
      </c>
      <c r="I12" s="14" t="s">
        <v>76</v>
      </c>
      <c r="J12" s="14"/>
      <c r="K12" s="14">
        <v>0.13897143358978301</v>
      </c>
      <c r="L12" s="14" t="s">
        <v>76</v>
      </c>
      <c r="M12" s="14" t="s">
        <v>76</v>
      </c>
      <c r="N12" s="14"/>
      <c r="O12" s="14">
        <v>0.147995729456077</v>
      </c>
      <c r="P12" s="14">
        <v>6.4493769995449202E-2</v>
      </c>
      <c r="Q12" s="14"/>
      <c r="R12" s="14">
        <v>3.8957848562827697E-2</v>
      </c>
      <c r="S12" s="14">
        <v>0.16609535441620499</v>
      </c>
      <c r="T12" s="14">
        <v>0.205685320169363</v>
      </c>
      <c r="U12" s="14">
        <v>0.152696094281038</v>
      </c>
      <c r="V12" s="14">
        <v>0.175669844641444</v>
      </c>
      <c r="W12" s="14">
        <v>0.133106268207423</v>
      </c>
      <c r="X12" s="14">
        <v>0.14800669424353499</v>
      </c>
      <c r="Y12" s="14">
        <v>0.154825588203826</v>
      </c>
      <c r="Z12" s="14">
        <v>0.12637868753562301</v>
      </c>
      <c r="AA12" s="14"/>
      <c r="AB12" s="14" t="s">
        <v>76</v>
      </c>
      <c r="AC12" s="14" t="s">
        <v>76</v>
      </c>
      <c r="AD12" s="14" t="s">
        <v>76</v>
      </c>
      <c r="AE12" s="14" t="s">
        <v>76</v>
      </c>
      <c r="AF12" s="14"/>
      <c r="AG12" s="14" t="s">
        <v>76</v>
      </c>
      <c r="AH12" s="14" t="s">
        <v>76</v>
      </c>
      <c r="AI12" s="14"/>
      <c r="AJ12" s="14" t="s">
        <v>76</v>
      </c>
      <c r="AK12" s="14" t="s">
        <v>76</v>
      </c>
      <c r="AL12" s="14"/>
      <c r="AM12" s="14">
        <v>2.4919449535412402E-2</v>
      </c>
      <c r="AN12" s="14">
        <v>0.59084821234908502</v>
      </c>
    </row>
    <row r="13" spans="2:40" ht="29" x14ac:dyDescent="0.35">
      <c r="B13" s="15" t="s">
        <v>69</v>
      </c>
      <c r="C13" s="14">
        <v>1.9322400884914099E-3</v>
      </c>
      <c r="D13" s="14">
        <v>0</v>
      </c>
      <c r="E13" s="14">
        <v>4.0659690256620003E-3</v>
      </c>
      <c r="F13" s="14"/>
      <c r="G13" s="14">
        <v>3.5192705769440799E-3</v>
      </c>
      <c r="H13" s="14">
        <v>0</v>
      </c>
      <c r="I13" s="14" t="s">
        <v>76</v>
      </c>
      <c r="J13" s="14"/>
      <c r="K13" s="14">
        <v>1.9322400884914099E-3</v>
      </c>
      <c r="L13" s="14" t="s">
        <v>76</v>
      </c>
      <c r="M13" s="14" t="s">
        <v>76</v>
      </c>
      <c r="N13" s="14"/>
      <c r="O13" s="14">
        <v>2.18345779945218E-3</v>
      </c>
      <c r="P13" s="14">
        <v>0</v>
      </c>
      <c r="Q13" s="14"/>
      <c r="R13" s="14">
        <v>1.21304762866783E-2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/>
      <c r="AB13" s="14" t="s">
        <v>76</v>
      </c>
      <c r="AC13" s="14" t="s">
        <v>76</v>
      </c>
      <c r="AD13" s="14" t="s">
        <v>76</v>
      </c>
      <c r="AE13" s="14" t="s">
        <v>76</v>
      </c>
      <c r="AF13" s="14"/>
      <c r="AG13" s="14" t="s">
        <v>76</v>
      </c>
      <c r="AH13" s="14" t="s">
        <v>76</v>
      </c>
      <c r="AI13" s="14"/>
      <c r="AJ13" s="14" t="s">
        <v>76</v>
      </c>
      <c r="AK13" s="14" t="s">
        <v>76</v>
      </c>
      <c r="AL13" s="14"/>
      <c r="AM13" s="14">
        <v>2.9214007395416699E-3</v>
      </c>
      <c r="AN13" s="14">
        <v>0</v>
      </c>
    </row>
    <row r="14" spans="2:40" x14ac:dyDescent="0.35">
      <c r="B14" s="15" t="s">
        <v>70</v>
      </c>
      <c r="C14" s="20">
        <v>5.2905739166309402E-3</v>
      </c>
      <c r="D14" s="20">
        <v>4.6918453863333499E-3</v>
      </c>
      <c r="E14" s="20">
        <v>3.3719450799466399E-3</v>
      </c>
      <c r="F14" s="20"/>
      <c r="G14" s="20">
        <v>5.6857006924061204E-3</v>
      </c>
      <c r="H14" s="20">
        <v>4.80949948123458E-3</v>
      </c>
      <c r="I14" s="20" t="s">
        <v>76</v>
      </c>
      <c r="J14" s="20"/>
      <c r="K14" s="20">
        <v>5.2905739166309402E-3</v>
      </c>
      <c r="L14" s="20" t="s">
        <v>76</v>
      </c>
      <c r="M14" s="20" t="s">
        <v>76</v>
      </c>
      <c r="N14" s="20"/>
      <c r="O14" s="20">
        <v>1.39614632930652E-3</v>
      </c>
      <c r="P14" s="20">
        <v>2.4980512831641499E-2</v>
      </c>
      <c r="Q14" s="20"/>
      <c r="R14" s="20">
        <v>5.8595233729098403E-3</v>
      </c>
      <c r="S14" s="20">
        <v>2.0770729340927899E-2</v>
      </c>
      <c r="T14" s="20">
        <v>0</v>
      </c>
      <c r="U14" s="20">
        <v>0</v>
      </c>
      <c r="V14" s="20">
        <v>0</v>
      </c>
      <c r="W14" s="20">
        <v>0</v>
      </c>
      <c r="X14" s="20">
        <v>1.1625304880407099E-2</v>
      </c>
      <c r="Y14" s="20">
        <v>0</v>
      </c>
      <c r="Z14" s="20">
        <v>0</v>
      </c>
      <c r="AA14" s="20"/>
      <c r="AB14" s="20" t="s">
        <v>76</v>
      </c>
      <c r="AC14" s="20" t="s">
        <v>76</v>
      </c>
      <c r="AD14" s="20" t="s">
        <v>76</v>
      </c>
      <c r="AE14" s="20" t="s">
        <v>76</v>
      </c>
      <c r="AF14" s="20"/>
      <c r="AG14" s="20" t="s">
        <v>76</v>
      </c>
      <c r="AH14" s="20" t="s">
        <v>76</v>
      </c>
      <c r="AI14" s="20"/>
      <c r="AJ14" s="20" t="s">
        <v>76</v>
      </c>
      <c r="AK14" s="20" t="s">
        <v>76</v>
      </c>
      <c r="AL14" s="20"/>
      <c r="AM14" s="20">
        <v>1.4111577740586699E-3</v>
      </c>
      <c r="AN14" s="20">
        <v>0</v>
      </c>
    </row>
    <row r="15" spans="2:40" x14ac:dyDescent="0.35">
      <c r="B15" s="16" t="s">
        <v>89</v>
      </c>
    </row>
    <row r="16" spans="2:40" x14ac:dyDescent="0.35">
      <c r="B16" t="s">
        <v>72</v>
      </c>
    </row>
    <row r="17" spans="2:2" x14ac:dyDescent="0.35">
      <c r="B17" t="s">
        <v>73</v>
      </c>
    </row>
    <row r="19" spans="2:2" x14ac:dyDescent="0.35">
      <c r="B19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AN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78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938</v>
      </c>
      <c r="D7" s="10">
        <v>503</v>
      </c>
      <c r="E7" s="10">
        <v>433</v>
      </c>
      <c r="F7" s="10"/>
      <c r="G7" s="10">
        <v>429</v>
      </c>
      <c r="H7" s="10">
        <v>509</v>
      </c>
      <c r="I7" s="10" t="s">
        <v>75</v>
      </c>
      <c r="J7" s="10"/>
      <c r="K7" s="10">
        <v>938</v>
      </c>
      <c r="L7" s="10" t="s">
        <v>75</v>
      </c>
      <c r="M7" s="10" t="s">
        <v>75</v>
      </c>
      <c r="N7" s="10"/>
      <c r="O7" s="10">
        <v>827</v>
      </c>
      <c r="P7" s="10">
        <v>94</v>
      </c>
      <c r="Q7" s="10"/>
      <c r="R7" s="10">
        <v>134</v>
      </c>
      <c r="S7" s="10">
        <v>154</v>
      </c>
      <c r="T7" s="10">
        <v>99</v>
      </c>
      <c r="U7" s="10">
        <v>95</v>
      </c>
      <c r="V7" s="10">
        <v>87</v>
      </c>
      <c r="W7" s="10">
        <v>121</v>
      </c>
      <c r="X7" s="10">
        <v>67</v>
      </c>
      <c r="Y7" s="10">
        <v>44</v>
      </c>
      <c r="Z7" s="10">
        <v>137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611</v>
      </c>
      <c r="AN7" s="10">
        <v>169</v>
      </c>
    </row>
    <row r="8" spans="2:40" ht="30" customHeight="1" x14ac:dyDescent="0.35">
      <c r="B8" s="11" t="s">
        <v>20</v>
      </c>
      <c r="C8" s="11">
        <v>1018</v>
      </c>
      <c r="D8" s="11">
        <v>532</v>
      </c>
      <c r="E8" s="11">
        <v>484</v>
      </c>
      <c r="F8" s="11"/>
      <c r="G8" s="11">
        <v>559</v>
      </c>
      <c r="H8" s="11">
        <v>459</v>
      </c>
      <c r="I8" s="11" t="s">
        <v>75</v>
      </c>
      <c r="J8" s="11"/>
      <c r="K8" s="11">
        <v>1018</v>
      </c>
      <c r="L8" s="11" t="s">
        <v>75</v>
      </c>
      <c r="M8" s="11" t="s">
        <v>75</v>
      </c>
      <c r="N8" s="11"/>
      <c r="O8" s="11">
        <v>901</v>
      </c>
      <c r="P8" s="11">
        <v>100</v>
      </c>
      <c r="Q8" s="11"/>
      <c r="R8" s="11">
        <v>162</v>
      </c>
      <c r="S8" s="11">
        <v>153</v>
      </c>
      <c r="T8" s="11">
        <v>111</v>
      </c>
      <c r="U8" s="11">
        <v>116</v>
      </c>
      <c r="V8" s="11">
        <v>95</v>
      </c>
      <c r="W8" s="11">
        <v>103</v>
      </c>
      <c r="X8" s="11">
        <v>108</v>
      </c>
      <c r="Y8" s="11">
        <v>46</v>
      </c>
      <c r="Z8" s="11">
        <v>123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673</v>
      </c>
      <c r="AN8" s="11">
        <v>174</v>
      </c>
    </row>
    <row r="9" spans="2:40" x14ac:dyDescent="0.35">
      <c r="B9" s="15" t="s">
        <v>65</v>
      </c>
      <c r="C9" s="14">
        <v>0.30881184822049201</v>
      </c>
      <c r="D9" s="14">
        <v>0.276484876113475</v>
      </c>
      <c r="E9" s="14">
        <v>0.34401467995614299</v>
      </c>
      <c r="F9" s="14"/>
      <c r="G9" s="14">
        <v>0.33611787376903801</v>
      </c>
      <c r="H9" s="14">
        <v>0.27556623787704398</v>
      </c>
      <c r="I9" s="14" t="s">
        <v>76</v>
      </c>
      <c r="J9" s="14"/>
      <c r="K9" s="14">
        <v>0.30881184822049201</v>
      </c>
      <c r="L9" s="14" t="s">
        <v>76</v>
      </c>
      <c r="M9" s="14" t="s">
        <v>76</v>
      </c>
      <c r="N9" s="14"/>
      <c r="O9" s="14">
        <v>0.28702008941097601</v>
      </c>
      <c r="P9" s="14">
        <v>0.52166057866064997</v>
      </c>
      <c r="Q9" s="14"/>
      <c r="R9" s="14">
        <v>0.42311015229911197</v>
      </c>
      <c r="S9" s="14">
        <v>0.25517219746813402</v>
      </c>
      <c r="T9" s="14">
        <v>0.24535852955877299</v>
      </c>
      <c r="U9" s="14">
        <v>0.19696422037092001</v>
      </c>
      <c r="V9" s="14">
        <v>0.25975116120340402</v>
      </c>
      <c r="W9" s="14">
        <v>0.31272488999653902</v>
      </c>
      <c r="X9" s="14">
        <v>0.34363763765816102</v>
      </c>
      <c r="Y9" s="14">
        <v>0.43052954539300797</v>
      </c>
      <c r="Z9" s="14">
        <v>0.34693016936423299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0.35397484010984098</v>
      </c>
      <c r="AN9" s="14">
        <v>0.22193601919318701</v>
      </c>
    </row>
    <row r="10" spans="2:40" x14ac:dyDescent="0.35">
      <c r="B10" s="15" t="s">
        <v>66</v>
      </c>
      <c r="C10" s="14">
        <v>0.35725407285773397</v>
      </c>
      <c r="D10" s="14">
        <v>0.34756148232152501</v>
      </c>
      <c r="E10" s="14">
        <v>0.369444140673648</v>
      </c>
      <c r="F10" s="14"/>
      <c r="G10" s="14">
        <v>0.32802485360510297</v>
      </c>
      <c r="H10" s="14">
        <v>0.39284120845857801</v>
      </c>
      <c r="I10" s="14" t="s">
        <v>76</v>
      </c>
      <c r="J10" s="14"/>
      <c r="K10" s="14">
        <v>0.35725407285773397</v>
      </c>
      <c r="L10" s="14" t="s">
        <v>76</v>
      </c>
      <c r="M10" s="14" t="s">
        <v>76</v>
      </c>
      <c r="N10" s="14"/>
      <c r="O10" s="14">
        <v>0.37095417685864002</v>
      </c>
      <c r="P10" s="14">
        <v>0.25921525728173</v>
      </c>
      <c r="Q10" s="14"/>
      <c r="R10" s="14">
        <v>0.34628520112266498</v>
      </c>
      <c r="S10" s="14">
        <v>0.34469829706556998</v>
      </c>
      <c r="T10" s="14">
        <v>0.40109759111520898</v>
      </c>
      <c r="U10" s="14">
        <v>0.43175812801440799</v>
      </c>
      <c r="V10" s="14">
        <v>0.37232207824957603</v>
      </c>
      <c r="W10" s="14">
        <v>0.43890167311805101</v>
      </c>
      <c r="X10" s="14">
        <v>0.277663036430294</v>
      </c>
      <c r="Y10" s="14">
        <v>0.24696063114734501</v>
      </c>
      <c r="Z10" s="14">
        <v>0.30837338673091402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0.35252312133546099</v>
      </c>
      <c r="AN10" s="14">
        <v>0.32205007844926498</v>
      </c>
    </row>
    <row r="11" spans="2:40" x14ac:dyDescent="0.35">
      <c r="B11" s="15" t="s">
        <v>67</v>
      </c>
      <c r="C11" s="14">
        <v>0.22472455460690499</v>
      </c>
      <c r="D11" s="14">
        <v>0.241085562406989</v>
      </c>
      <c r="E11" s="14">
        <v>0.20768875344265</v>
      </c>
      <c r="F11" s="14"/>
      <c r="G11" s="14">
        <v>0.237464192556575</v>
      </c>
      <c r="H11" s="14">
        <v>0.209213800819675</v>
      </c>
      <c r="I11" s="14" t="s">
        <v>76</v>
      </c>
      <c r="J11" s="14"/>
      <c r="K11" s="14">
        <v>0.22472455460690499</v>
      </c>
      <c r="L11" s="14" t="s">
        <v>76</v>
      </c>
      <c r="M11" s="14" t="s">
        <v>76</v>
      </c>
      <c r="N11" s="14"/>
      <c r="O11" s="14">
        <v>0.227708836756876</v>
      </c>
      <c r="P11" s="14">
        <v>0.17161050390031499</v>
      </c>
      <c r="Q11" s="14"/>
      <c r="R11" s="14">
        <v>0.14421741374774499</v>
      </c>
      <c r="S11" s="14">
        <v>0.26674118011697201</v>
      </c>
      <c r="T11" s="14">
        <v>0.213454703224562</v>
      </c>
      <c r="U11" s="14">
        <v>0.288754909573115</v>
      </c>
      <c r="V11" s="14">
        <v>0.26011292025020799</v>
      </c>
      <c r="W11" s="14">
        <v>0.15804230829326199</v>
      </c>
      <c r="X11" s="14">
        <v>0.25829334246204</v>
      </c>
      <c r="Y11" s="14">
        <v>0.18755163769348801</v>
      </c>
      <c r="Z11" s="14">
        <v>0.24071584193276899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0.19716861121888399</v>
      </c>
      <c r="AN11" s="14">
        <v>0.29675808401148501</v>
      </c>
    </row>
    <row r="12" spans="2:40" x14ac:dyDescent="0.35">
      <c r="B12" s="15" t="s">
        <v>68</v>
      </c>
      <c r="C12" s="14">
        <v>8.9856740976945002E-2</v>
      </c>
      <c r="D12" s="14">
        <v>0.11513762782184001</v>
      </c>
      <c r="E12" s="14">
        <v>5.98322920755191E-2</v>
      </c>
      <c r="F12" s="14"/>
      <c r="G12" s="14">
        <v>7.0668341275867602E-2</v>
      </c>
      <c r="H12" s="14">
        <v>0.113218986003862</v>
      </c>
      <c r="I12" s="14" t="s">
        <v>76</v>
      </c>
      <c r="J12" s="14"/>
      <c r="K12" s="14">
        <v>8.9856740976945002E-2</v>
      </c>
      <c r="L12" s="14" t="s">
        <v>76</v>
      </c>
      <c r="M12" s="14" t="s">
        <v>76</v>
      </c>
      <c r="N12" s="14"/>
      <c r="O12" s="14">
        <v>9.5202835175158998E-2</v>
      </c>
      <c r="P12" s="14">
        <v>3.9004306621720698E-2</v>
      </c>
      <c r="Q12" s="14"/>
      <c r="R12" s="14">
        <v>6.19584985922145E-2</v>
      </c>
      <c r="S12" s="14">
        <v>0.122726370525756</v>
      </c>
      <c r="T12" s="14">
        <v>0.11649952925101199</v>
      </c>
      <c r="U12" s="14">
        <v>8.2522742041556393E-2</v>
      </c>
      <c r="V12" s="14">
        <v>8.6099121024299202E-2</v>
      </c>
      <c r="W12" s="14">
        <v>9.0331128592147397E-2</v>
      </c>
      <c r="X12" s="14">
        <v>6.1339226531520102E-2</v>
      </c>
      <c r="Y12" s="14">
        <v>9.8248154853873296E-2</v>
      </c>
      <c r="Z12" s="14">
        <v>9.30632097062708E-2</v>
      </c>
      <c r="AA12" s="14"/>
      <c r="AB12" s="14" t="s">
        <v>76</v>
      </c>
      <c r="AC12" s="14" t="s">
        <v>76</v>
      </c>
      <c r="AD12" s="14" t="s">
        <v>76</v>
      </c>
      <c r="AE12" s="14" t="s">
        <v>76</v>
      </c>
      <c r="AF12" s="14"/>
      <c r="AG12" s="14" t="s">
        <v>76</v>
      </c>
      <c r="AH12" s="14" t="s">
        <v>76</v>
      </c>
      <c r="AI12" s="14"/>
      <c r="AJ12" s="14" t="s">
        <v>76</v>
      </c>
      <c r="AK12" s="14" t="s">
        <v>76</v>
      </c>
      <c r="AL12" s="14"/>
      <c r="AM12" s="14">
        <v>7.7978319924244699E-2</v>
      </c>
      <c r="AN12" s="14">
        <v>0.14824400869194801</v>
      </c>
    </row>
    <row r="13" spans="2:40" ht="29" x14ac:dyDescent="0.35">
      <c r="B13" s="15" t="s">
        <v>69</v>
      </c>
      <c r="C13" s="14">
        <v>1.06476197952831E-2</v>
      </c>
      <c r="D13" s="14">
        <v>6.2310822955553803E-3</v>
      </c>
      <c r="E13" s="14">
        <v>1.55513566883974E-2</v>
      </c>
      <c r="F13" s="14"/>
      <c r="G13" s="14">
        <v>1.5501061594361199E-2</v>
      </c>
      <c r="H13" s="14">
        <v>4.7384612255054097E-3</v>
      </c>
      <c r="I13" s="14" t="s">
        <v>76</v>
      </c>
      <c r="J13" s="14"/>
      <c r="K13" s="14">
        <v>1.06476197952831E-2</v>
      </c>
      <c r="L13" s="14" t="s">
        <v>76</v>
      </c>
      <c r="M13" s="14" t="s">
        <v>76</v>
      </c>
      <c r="N13" s="14"/>
      <c r="O13" s="14">
        <v>9.2771076093254908E-3</v>
      </c>
      <c r="P13" s="14">
        <v>8.5093535355831793E-3</v>
      </c>
      <c r="Q13" s="14"/>
      <c r="R13" s="14">
        <v>1.7375476091909099E-2</v>
      </c>
      <c r="S13" s="14">
        <v>1.06619548235681E-2</v>
      </c>
      <c r="T13" s="14">
        <v>0</v>
      </c>
      <c r="U13" s="14">
        <v>0</v>
      </c>
      <c r="V13" s="14">
        <v>0</v>
      </c>
      <c r="W13" s="14">
        <v>0</v>
      </c>
      <c r="X13" s="14">
        <v>5.9066756917984603E-2</v>
      </c>
      <c r="Y13" s="14">
        <v>0</v>
      </c>
      <c r="Z13" s="14">
        <v>0</v>
      </c>
      <c r="AA13" s="14"/>
      <c r="AB13" s="14" t="s">
        <v>76</v>
      </c>
      <c r="AC13" s="14" t="s">
        <v>76</v>
      </c>
      <c r="AD13" s="14" t="s">
        <v>76</v>
      </c>
      <c r="AE13" s="14" t="s">
        <v>76</v>
      </c>
      <c r="AF13" s="14"/>
      <c r="AG13" s="14" t="s">
        <v>76</v>
      </c>
      <c r="AH13" s="14" t="s">
        <v>76</v>
      </c>
      <c r="AI13" s="14"/>
      <c r="AJ13" s="14" t="s">
        <v>76</v>
      </c>
      <c r="AK13" s="14" t="s">
        <v>76</v>
      </c>
      <c r="AL13" s="14"/>
      <c r="AM13" s="14">
        <v>8.0465091692852892E-3</v>
      </c>
      <c r="AN13" s="14">
        <v>0</v>
      </c>
    </row>
    <row r="14" spans="2:40" x14ac:dyDescent="0.35">
      <c r="B14" s="15" t="s">
        <v>70</v>
      </c>
      <c r="C14" s="20">
        <v>8.7051635426402194E-3</v>
      </c>
      <c r="D14" s="20">
        <v>1.3499369040616001E-2</v>
      </c>
      <c r="E14" s="20">
        <v>3.46877716364297E-3</v>
      </c>
      <c r="F14" s="20"/>
      <c r="G14" s="20">
        <v>1.2223677199055399E-2</v>
      </c>
      <c r="H14" s="20">
        <v>4.4213056153369797E-3</v>
      </c>
      <c r="I14" s="20" t="s">
        <v>76</v>
      </c>
      <c r="J14" s="20"/>
      <c r="K14" s="20">
        <v>8.7051635426402194E-3</v>
      </c>
      <c r="L14" s="20" t="s">
        <v>76</v>
      </c>
      <c r="M14" s="20" t="s">
        <v>76</v>
      </c>
      <c r="N14" s="20"/>
      <c r="O14" s="20">
        <v>9.8369541890234204E-3</v>
      </c>
      <c r="P14" s="20">
        <v>0</v>
      </c>
      <c r="Q14" s="20"/>
      <c r="R14" s="20">
        <v>7.0532581463543598E-3</v>
      </c>
      <c r="S14" s="20">
        <v>0</v>
      </c>
      <c r="T14" s="20">
        <v>2.3589646850443999E-2</v>
      </c>
      <c r="U14" s="20">
        <v>0</v>
      </c>
      <c r="V14" s="20">
        <v>2.1714719272512301E-2</v>
      </c>
      <c r="W14" s="20">
        <v>0</v>
      </c>
      <c r="X14" s="20">
        <v>0</v>
      </c>
      <c r="Y14" s="20">
        <v>3.6710030912286203E-2</v>
      </c>
      <c r="Z14" s="20">
        <v>1.0917392265813499E-2</v>
      </c>
      <c r="AA14" s="20"/>
      <c r="AB14" s="20" t="s">
        <v>76</v>
      </c>
      <c r="AC14" s="20" t="s">
        <v>76</v>
      </c>
      <c r="AD14" s="20" t="s">
        <v>76</v>
      </c>
      <c r="AE14" s="20" t="s">
        <v>76</v>
      </c>
      <c r="AF14" s="20"/>
      <c r="AG14" s="20" t="s">
        <v>76</v>
      </c>
      <c r="AH14" s="20" t="s">
        <v>76</v>
      </c>
      <c r="AI14" s="20"/>
      <c r="AJ14" s="20" t="s">
        <v>76</v>
      </c>
      <c r="AK14" s="20" t="s">
        <v>76</v>
      </c>
      <c r="AL14" s="20"/>
      <c r="AM14" s="20">
        <v>1.03085982422851E-2</v>
      </c>
      <c r="AN14" s="20">
        <v>1.1011809654114701E-2</v>
      </c>
    </row>
    <row r="15" spans="2:40" x14ac:dyDescent="0.35">
      <c r="B15" s="16" t="s">
        <v>89</v>
      </c>
    </row>
    <row r="16" spans="2:40" x14ac:dyDescent="0.35">
      <c r="B16" t="s">
        <v>72</v>
      </c>
    </row>
    <row r="17" spans="2:2" x14ac:dyDescent="0.35">
      <c r="B17" t="s">
        <v>73</v>
      </c>
    </row>
    <row r="19" spans="2:2" x14ac:dyDescent="0.35">
      <c r="B19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AN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79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938</v>
      </c>
      <c r="D7" s="10">
        <v>503</v>
      </c>
      <c r="E7" s="10">
        <v>433</v>
      </c>
      <c r="F7" s="10"/>
      <c r="G7" s="10">
        <v>429</v>
      </c>
      <c r="H7" s="10">
        <v>509</v>
      </c>
      <c r="I7" s="10" t="s">
        <v>75</v>
      </c>
      <c r="J7" s="10"/>
      <c r="K7" s="10">
        <v>938</v>
      </c>
      <c r="L7" s="10" t="s">
        <v>75</v>
      </c>
      <c r="M7" s="10" t="s">
        <v>75</v>
      </c>
      <c r="N7" s="10"/>
      <c r="O7" s="10">
        <v>827</v>
      </c>
      <c r="P7" s="10">
        <v>94</v>
      </c>
      <c r="Q7" s="10"/>
      <c r="R7" s="10">
        <v>134</v>
      </c>
      <c r="S7" s="10">
        <v>154</v>
      </c>
      <c r="T7" s="10">
        <v>99</v>
      </c>
      <c r="U7" s="10">
        <v>95</v>
      </c>
      <c r="V7" s="10">
        <v>87</v>
      </c>
      <c r="W7" s="10">
        <v>121</v>
      </c>
      <c r="X7" s="10">
        <v>67</v>
      </c>
      <c r="Y7" s="10">
        <v>44</v>
      </c>
      <c r="Z7" s="10">
        <v>137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611</v>
      </c>
      <c r="AN7" s="10">
        <v>169</v>
      </c>
    </row>
    <row r="8" spans="2:40" ht="30" customHeight="1" x14ac:dyDescent="0.35">
      <c r="B8" s="11" t="s">
        <v>20</v>
      </c>
      <c r="C8" s="11">
        <v>1018</v>
      </c>
      <c r="D8" s="11">
        <v>532</v>
      </c>
      <c r="E8" s="11">
        <v>484</v>
      </c>
      <c r="F8" s="11"/>
      <c r="G8" s="11">
        <v>559</v>
      </c>
      <c r="H8" s="11">
        <v>459</v>
      </c>
      <c r="I8" s="11" t="s">
        <v>75</v>
      </c>
      <c r="J8" s="11"/>
      <c r="K8" s="11">
        <v>1018</v>
      </c>
      <c r="L8" s="11" t="s">
        <v>75</v>
      </c>
      <c r="M8" s="11" t="s">
        <v>75</v>
      </c>
      <c r="N8" s="11"/>
      <c r="O8" s="11">
        <v>901</v>
      </c>
      <c r="P8" s="11">
        <v>100</v>
      </c>
      <c r="Q8" s="11"/>
      <c r="R8" s="11">
        <v>162</v>
      </c>
      <c r="S8" s="11">
        <v>153</v>
      </c>
      <c r="T8" s="11">
        <v>111</v>
      </c>
      <c r="U8" s="11">
        <v>116</v>
      </c>
      <c r="V8" s="11">
        <v>95</v>
      </c>
      <c r="W8" s="11">
        <v>103</v>
      </c>
      <c r="X8" s="11">
        <v>108</v>
      </c>
      <c r="Y8" s="11">
        <v>46</v>
      </c>
      <c r="Z8" s="11">
        <v>123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673</v>
      </c>
      <c r="AN8" s="11">
        <v>174</v>
      </c>
    </row>
    <row r="9" spans="2:40" x14ac:dyDescent="0.35">
      <c r="B9" s="15" t="s">
        <v>65</v>
      </c>
      <c r="C9" s="14">
        <v>0.44669664098131201</v>
      </c>
      <c r="D9" s="14">
        <v>0.49807760880912599</v>
      </c>
      <c r="E9" s="14">
        <v>0.39041059650250598</v>
      </c>
      <c r="F9" s="14"/>
      <c r="G9" s="14">
        <v>0.45407818960697499</v>
      </c>
      <c r="H9" s="14">
        <v>0.437709463813996</v>
      </c>
      <c r="I9" s="14" t="s">
        <v>76</v>
      </c>
      <c r="J9" s="14"/>
      <c r="K9" s="14">
        <v>0.44669664098131201</v>
      </c>
      <c r="L9" s="14" t="s">
        <v>76</v>
      </c>
      <c r="M9" s="14" t="s">
        <v>76</v>
      </c>
      <c r="N9" s="14"/>
      <c r="O9" s="14">
        <v>0.42904113268924199</v>
      </c>
      <c r="P9" s="14">
        <v>0.61863823471018498</v>
      </c>
      <c r="Q9" s="14"/>
      <c r="R9" s="14">
        <v>0.54759654631121601</v>
      </c>
      <c r="S9" s="14">
        <v>0.35502028806109898</v>
      </c>
      <c r="T9" s="14">
        <v>0.371854707415955</v>
      </c>
      <c r="U9" s="14">
        <v>0.360431089532676</v>
      </c>
      <c r="V9" s="14">
        <v>0.40590738309322</v>
      </c>
      <c r="W9" s="14">
        <v>0.49122486098407903</v>
      </c>
      <c r="X9" s="14">
        <v>0.57535559141664505</v>
      </c>
      <c r="Y9" s="14">
        <v>0.44914852434714803</v>
      </c>
      <c r="Z9" s="14">
        <v>0.45739024685163499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0.49640381897983898</v>
      </c>
      <c r="AN9" s="14">
        <v>0.34085501243973299</v>
      </c>
    </row>
    <row r="10" spans="2:40" x14ac:dyDescent="0.35">
      <c r="B10" s="15" t="s">
        <v>66</v>
      </c>
      <c r="C10" s="14">
        <v>0.31537309208029701</v>
      </c>
      <c r="D10" s="14">
        <v>0.30382701681611002</v>
      </c>
      <c r="E10" s="14">
        <v>0.329422838652913</v>
      </c>
      <c r="F10" s="14"/>
      <c r="G10" s="14">
        <v>0.253396809194467</v>
      </c>
      <c r="H10" s="14">
        <v>0.39083040635309502</v>
      </c>
      <c r="I10" s="14" t="s">
        <v>76</v>
      </c>
      <c r="J10" s="14"/>
      <c r="K10" s="14">
        <v>0.31537309208029701</v>
      </c>
      <c r="L10" s="14" t="s">
        <v>76</v>
      </c>
      <c r="M10" s="14" t="s">
        <v>76</v>
      </c>
      <c r="N10" s="14"/>
      <c r="O10" s="14">
        <v>0.33005907599860101</v>
      </c>
      <c r="P10" s="14">
        <v>0.201644377756967</v>
      </c>
      <c r="Q10" s="14"/>
      <c r="R10" s="14">
        <v>0.27798501067327103</v>
      </c>
      <c r="S10" s="14">
        <v>0.396664592526837</v>
      </c>
      <c r="T10" s="14">
        <v>0.33938408368003598</v>
      </c>
      <c r="U10" s="14">
        <v>0.41788276297035798</v>
      </c>
      <c r="V10" s="14">
        <v>0.327114204157327</v>
      </c>
      <c r="W10" s="14">
        <v>0.22117223628020499</v>
      </c>
      <c r="X10" s="14">
        <v>0.24046766901889399</v>
      </c>
      <c r="Y10" s="14">
        <v>0.278458828838762</v>
      </c>
      <c r="Z10" s="14">
        <v>0.29401938563639002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0.294842585314117</v>
      </c>
      <c r="AN10" s="14">
        <v>0.346472630560685</v>
      </c>
    </row>
    <row r="11" spans="2:40" x14ac:dyDescent="0.35">
      <c r="B11" s="15" t="s">
        <v>67</v>
      </c>
      <c r="C11" s="14">
        <v>0.124259953400662</v>
      </c>
      <c r="D11" s="14">
        <v>9.5272217485850297E-2</v>
      </c>
      <c r="E11" s="14">
        <v>0.15667799805990201</v>
      </c>
      <c r="F11" s="14"/>
      <c r="G11" s="14">
        <v>0.125681852777557</v>
      </c>
      <c r="H11" s="14">
        <v>0.12252876361078199</v>
      </c>
      <c r="I11" s="14" t="s">
        <v>76</v>
      </c>
      <c r="J11" s="14"/>
      <c r="K11" s="14">
        <v>0.124259953400662</v>
      </c>
      <c r="L11" s="14" t="s">
        <v>76</v>
      </c>
      <c r="M11" s="14" t="s">
        <v>76</v>
      </c>
      <c r="N11" s="14"/>
      <c r="O11" s="14">
        <v>0.122732309599742</v>
      </c>
      <c r="P11" s="14">
        <v>0.12908656590486201</v>
      </c>
      <c r="Q11" s="14"/>
      <c r="R11" s="14">
        <v>0.12639874617822999</v>
      </c>
      <c r="S11" s="14">
        <v>9.0978074129798206E-2</v>
      </c>
      <c r="T11" s="14">
        <v>0.10907472098083799</v>
      </c>
      <c r="U11" s="14">
        <v>0.18366903754339001</v>
      </c>
      <c r="V11" s="14">
        <v>0.112875750219167</v>
      </c>
      <c r="W11" s="14">
        <v>0.13388199702624301</v>
      </c>
      <c r="X11" s="14">
        <v>0.10139217853225301</v>
      </c>
      <c r="Y11" s="14">
        <v>0.176459511813572</v>
      </c>
      <c r="Z11" s="14">
        <v>0.12185673394666099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9.6208978547565396E-2</v>
      </c>
      <c r="AN11" s="14">
        <v>0.22388842292434599</v>
      </c>
    </row>
    <row r="12" spans="2:40" x14ac:dyDescent="0.35">
      <c r="B12" s="15" t="s">
        <v>68</v>
      </c>
      <c r="C12" s="14">
        <v>2.10621543850858E-2</v>
      </c>
      <c r="D12" s="14">
        <v>1.11035288296272E-2</v>
      </c>
      <c r="E12" s="14">
        <v>3.2106736320086697E-2</v>
      </c>
      <c r="F12" s="14"/>
      <c r="G12" s="14">
        <v>2.2298292844733301E-2</v>
      </c>
      <c r="H12" s="14">
        <v>1.9557132078308399E-2</v>
      </c>
      <c r="I12" s="14" t="s">
        <v>76</v>
      </c>
      <c r="J12" s="14"/>
      <c r="K12" s="14">
        <v>2.10621543850858E-2</v>
      </c>
      <c r="L12" s="14" t="s">
        <v>76</v>
      </c>
      <c r="M12" s="14" t="s">
        <v>76</v>
      </c>
      <c r="N12" s="14"/>
      <c r="O12" s="14">
        <v>2.0449591301321301E-2</v>
      </c>
      <c r="P12" s="14">
        <v>3.0202993632486901E-2</v>
      </c>
      <c r="Q12" s="14"/>
      <c r="R12" s="14">
        <v>1.2039694698774099E-2</v>
      </c>
      <c r="S12" s="14">
        <v>1.8170013262010801E-2</v>
      </c>
      <c r="T12" s="14">
        <v>2.60668778062433E-2</v>
      </c>
      <c r="U12" s="14">
        <v>1.04712757713599E-2</v>
      </c>
      <c r="V12" s="14">
        <v>5.7341918518866601E-2</v>
      </c>
      <c r="W12" s="14">
        <v>4.3045127594613299E-2</v>
      </c>
      <c r="X12" s="14">
        <v>1.16096155166304E-2</v>
      </c>
      <c r="Y12" s="14">
        <v>0</v>
      </c>
      <c r="Z12" s="14">
        <v>1.1733016676306499E-2</v>
      </c>
      <c r="AA12" s="14"/>
      <c r="AB12" s="14" t="s">
        <v>76</v>
      </c>
      <c r="AC12" s="14" t="s">
        <v>76</v>
      </c>
      <c r="AD12" s="14" t="s">
        <v>76</v>
      </c>
      <c r="AE12" s="14" t="s">
        <v>76</v>
      </c>
      <c r="AF12" s="14"/>
      <c r="AG12" s="14" t="s">
        <v>76</v>
      </c>
      <c r="AH12" s="14" t="s">
        <v>76</v>
      </c>
      <c r="AI12" s="14"/>
      <c r="AJ12" s="14" t="s">
        <v>76</v>
      </c>
      <c r="AK12" s="14" t="s">
        <v>76</v>
      </c>
      <c r="AL12" s="14"/>
      <c r="AM12" s="14">
        <v>1.61987835071986E-2</v>
      </c>
      <c r="AN12" s="14">
        <v>3.94199650256431E-2</v>
      </c>
    </row>
    <row r="13" spans="2:40" ht="29" x14ac:dyDescent="0.35">
      <c r="B13" s="15" t="s">
        <v>69</v>
      </c>
      <c r="C13" s="14">
        <v>7.9544776922112106E-2</v>
      </c>
      <c r="D13" s="14">
        <v>8.1616089675719705E-2</v>
      </c>
      <c r="E13" s="14">
        <v>7.7606601402207903E-2</v>
      </c>
      <c r="F13" s="14"/>
      <c r="G13" s="14">
        <v>0.124702210432568</v>
      </c>
      <c r="H13" s="14">
        <v>2.45647346625841E-2</v>
      </c>
      <c r="I13" s="14" t="s">
        <v>76</v>
      </c>
      <c r="J13" s="14"/>
      <c r="K13" s="14">
        <v>7.9544776922112106E-2</v>
      </c>
      <c r="L13" s="14" t="s">
        <v>76</v>
      </c>
      <c r="M13" s="14" t="s">
        <v>76</v>
      </c>
      <c r="N13" s="14"/>
      <c r="O13" s="14">
        <v>8.5986608871532005E-2</v>
      </c>
      <c r="P13" s="14">
        <v>1.0921482031114199E-2</v>
      </c>
      <c r="Q13" s="14"/>
      <c r="R13" s="14">
        <v>3.0120478765599801E-2</v>
      </c>
      <c r="S13" s="14">
        <v>0.122305693379357</v>
      </c>
      <c r="T13" s="14">
        <v>0.10588126453694</v>
      </c>
      <c r="U13" s="14">
        <v>2.7545834182216199E-2</v>
      </c>
      <c r="V13" s="14">
        <v>7.8087818478599802E-2</v>
      </c>
      <c r="W13" s="14">
        <v>0.110675778114859</v>
      </c>
      <c r="X13" s="14">
        <v>5.9549640635170903E-2</v>
      </c>
      <c r="Y13" s="14">
        <v>9.5933135000517505E-2</v>
      </c>
      <c r="Z13" s="14">
        <v>0.103485799434964</v>
      </c>
      <c r="AA13" s="14"/>
      <c r="AB13" s="14" t="s">
        <v>76</v>
      </c>
      <c r="AC13" s="14" t="s">
        <v>76</v>
      </c>
      <c r="AD13" s="14" t="s">
        <v>76</v>
      </c>
      <c r="AE13" s="14" t="s">
        <v>76</v>
      </c>
      <c r="AF13" s="14"/>
      <c r="AG13" s="14" t="s">
        <v>76</v>
      </c>
      <c r="AH13" s="14" t="s">
        <v>76</v>
      </c>
      <c r="AI13" s="14"/>
      <c r="AJ13" s="14" t="s">
        <v>76</v>
      </c>
      <c r="AK13" s="14" t="s">
        <v>76</v>
      </c>
      <c r="AL13" s="14"/>
      <c r="AM13" s="14">
        <v>8.1045726942397395E-2</v>
      </c>
      <c r="AN13" s="14">
        <v>4.9363969049593601E-2</v>
      </c>
    </row>
    <row r="14" spans="2:40" x14ac:dyDescent="0.35">
      <c r="B14" s="15" t="s">
        <v>70</v>
      </c>
      <c r="C14" s="20">
        <v>1.30633822305315E-2</v>
      </c>
      <c r="D14" s="20">
        <v>1.01035383835659E-2</v>
      </c>
      <c r="E14" s="20">
        <v>1.37752290623845E-2</v>
      </c>
      <c r="F14" s="20"/>
      <c r="G14" s="20">
        <v>1.98426451437002E-2</v>
      </c>
      <c r="H14" s="20">
        <v>4.80949948123458E-3</v>
      </c>
      <c r="I14" s="20" t="s">
        <v>76</v>
      </c>
      <c r="J14" s="20"/>
      <c r="K14" s="20">
        <v>1.30633822305315E-2</v>
      </c>
      <c r="L14" s="20" t="s">
        <v>76</v>
      </c>
      <c r="M14" s="20" t="s">
        <v>76</v>
      </c>
      <c r="N14" s="20"/>
      <c r="O14" s="20">
        <v>1.1731281539562601E-2</v>
      </c>
      <c r="P14" s="20">
        <v>9.5063459643859906E-3</v>
      </c>
      <c r="Q14" s="20"/>
      <c r="R14" s="20">
        <v>5.8595233729098403E-3</v>
      </c>
      <c r="S14" s="20">
        <v>1.6861338640897498E-2</v>
      </c>
      <c r="T14" s="20">
        <v>4.7738345579987303E-2</v>
      </c>
      <c r="U14" s="20">
        <v>0</v>
      </c>
      <c r="V14" s="20">
        <v>1.86729255328194E-2</v>
      </c>
      <c r="W14" s="20">
        <v>0</v>
      </c>
      <c r="X14" s="20">
        <v>1.1625304880407099E-2</v>
      </c>
      <c r="Y14" s="20">
        <v>0</v>
      </c>
      <c r="Z14" s="20">
        <v>1.1514817454043501E-2</v>
      </c>
      <c r="AA14" s="20"/>
      <c r="AB14" s="20" t="s">
        <v>76</v>
      </c>
      <c r="AC14" s="20" t="s">
        <v>76</v>
      </c>
      <c r="AD14" s="20" t="s">
        <v>76</v>
      </c>
      <c r="AE14" s="20" t="s">
        <v>76</v>
      </c>
      <c r="AF14" s="20"/>
      <c r="AG14" s="20" t="s">
        <v>76</v>
      </c>
      <c r="AH14" s="20" t="s">
        <v>76</v>
      </c>
      <c r="AI14" s="20"/>
      <c r="AJ14" s="20" t="s">
        <v>76</v>
      </c>
      <c r="AK14" s="20" t="s">
        <v>76</v>
      </c>
      <c r="AL14" s="20"/>
      <c r="AM14" s="20">
        <v>1.53001067088821E-2</v>
      </c>
      <c r="AN14" s="20">
        <v>0</v>
      </c>
    </row>
    <row r="15" spans="2:40" x14ac:dyDescent="0.35">
      <c r="B15" s="16" t="s">
        <v>89</v>
      </c>
    </row>
    <row r="16" spans="2:40" x14ac:dyDescent="0.35">
      <c r="B16" t="s">
        <v>72</v>
      </c>
    </row>
    <row r="17" spans="2:2" x14ac:dyDescent="0.35">
      <c r="B17" t="s">
        <v>73</v>
      </c>
    </row>
    <row r="19" spans="2:2" x14ac:dyDescent="0.35">
      <c r="B19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AN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80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938</v>
      </c>
      <c r="D7" s="10">
        <v>503</v>
      </c>
      <c r="E7" s="10">
        <v>433</v>
      </c>
      <c r="F7" s="10"/>
      <c r="G7" s="10">
        <v>429</v>
      </c>
      <c r="H7" s="10">
        <v>509</v>
      </c>
      <c r="I7" s="10" t="s">
        <v>75</v>
      </c>
      <c r="J7" s="10"/>
      <c r="K7" s="10">
        <v>938</v>
      </c>
      <c r="L7" s="10" t="s">
        <v>75</v>
      </c>
      <c r="M7" s="10" t="s">
        <v>75</v>
      </c>
      <c r="N7" s="10"/>
      <c r="O7" s="10">
        <v>827</v>
      </c>
      <c r="P7" s="10">
        <v>94</v>
      </c>
      <c r="Q7" s="10"/>
      <c r="R7" s="10">
        <v>134</v>
      </c>
      <c r="S7" s="10">
        <v>154</v>
      </c>
      <c r="T7" s="10">
        <v>99</v>
      </c>
      <c r="U7" s="10">
        <v>95</v>
      </c>
      <c r="V7" s="10">
        <v>87</v>
      </c>
      <c r="W7" s="10">
        <v>121</v>
      </c>
      <c r="X7" s="10">
        <v>67</v>
      </c>
      <c r="Y7" s="10">
        <v>44</v>
      </c>
      <c r="Z7" s="10">
        <v>137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611</v>
      </c>
      <c r="AN7" s="10">
        <v>169</v>
      </c>
    </row>
    <row r="8" spans="2:40" ht="30" customHeight="1" x14ac:dyDescent="0.35">
      <c r="B8" s="11" t="s">
        <v>20</v>
      </c>
      <c r="C8" s="11">
        <v>1018</v>
      </c>
      <c r="D8" s="11">
        <v>532</v>
      </c>
      <c r="E8" s="11">
        <v>484</v>
      </c>
      <c r="F8" s="11"/>
      <c r="G8" s="11">
        <v>559</v>
      </c>
      <c r="H8" s="11">
        <v>459</v>
      </c>
      <c r="I8" s="11" t="s">
        <v>75</v>
      </c>
      <c r="J8" s="11"/>
      <c r="K8" s="11">
        <v>1018</v>
      </c>
      <c r="L8" s="11" t="s">
        <v>75</v>
      </c>
      <c r="M8" s="11" t="s">
        <v>75</v>
      </c>
      <c r="N8" s="11"/>
      <c r="O8" s="11">
        <v>901</v>
      </c>
      <c r="P8" s="11">
        <v>100</v>
      </c>
      <c r="Q8" s="11"/>
      <c r="R8" s="11">
        <v>162</v>
      </c>
      <c r="S8" s="11">
        <v>153</v>
      </c>
      <c r="T8" s="11">
        <v>111</v>
      </c>
      <c r="U8" s="11">
        <v>116</v>
      </c>
      <c r="V8" s="11">
        <v>95</v>
      </c>
      <c r="W8" s="11">
        <v>103</v>
      </c>
      <c r="X8" s="11">
        <v>108</v>
      </c>
      <c r="Y8" s="11">
        <v>46</v>
      </c>
      <c r="Z8" s="11">
        <v>123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673</v>
      </c>
      <c r="AN8" s="11">
        <v>174</v>
      </c>
    </row>
    <row r="9" spans="2:40" x14ac:dyDescent="0.35">
      <c r="B9" s="15" t="s">
        <v>65</v>
      </c>
      <c r="C9" s="14">
        <v>0.32330256041163702</v>
      </c>
      <c r="D9" s="14">
        <v>0.33887341845173202</v>
      </c>
      <c r="E9" s="14">
        <v>0.30755760970792301</v>
      </c>
      <c r="F9" s="14"/>
      <c r="G9" s="14">
        <v>0.33467030749075</v>
      </c>
      <c r="H9" s="14">
        <v>0.30946211009772501</v>
      </c>
      <c r="I9" s="14" t="s">
        <v>76</v>
      </c>
      <c r="J9" s="14"/>
      <c r="K9" s="14">
        <v>0.32330256041163702</v>
      </c>
      <c r="L9" s="14" t="s">
        <v>76</v>
      </c>
      <c r="M9" s="14" t="s">
        <v>76</v>
      </c>
      <c r="N9" s="14"/>
      <c r="O9" s="14">
        <v>0.30316319000065101</v>
      </c>
      <c r="P9" s="14">
        <v>0.47750404283936698</v>
      </c>
      <c r="Q9" s="14"/>
      <c r="R9" s="14">
        <v>0.44684463710753702</v>
      </c>
      <c r="S9" s="14">
        <v>0.27299844979258198</v>
      </c>
      <c r="T9" s="14">
        <v>0.29075305311135502</v>
      </c>
      <c r="U9" s="14">
        <v>0.35501388061005501</v>
      </c>
      <c r="V9" s="14">
        <v>0.28298406955997502</v>
      </c>
      <c r="W9" s="14">
        <v>0.29191439181088702</v>
      </c>
      <c r="X9" s="14">
        <v>0.33436664527750798</v>
      </c>
      <c r="Y9" s="14">
        <v>0.24346089937849</v>
      </c>
      <c r="Z9" s="14">
        <v>0.29988117837255401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0.37198411136181803</v>
      </c>
      <c r="AN9" s="14">
        <v>0.222986093261964</v>
      </c>
    </row>
    <row r="10" spans="2:40" x14ac:dyDescent="0.35">
      <c r="B10" s="15" t="s">
        <v>66</v>
      </c>
      <c r="C10" s="14">
        <v>0.37954960749805899</v>
      </c>
      <c r="D10" s="14">
        <v>0.39835901643955701</v>
      </c>
      <c r="E10" s="14">
        <v>0.35880503221395399</v>
      </c>
      <c r="F10" s="14"/>
      <c r="G10" s="14">
        <v>0.34903135685319298</v>
      </c>
      <c r="H10" s="14">
        <v>0.41670616356657703</v>
      </c>
      <c r="I10" s="14" t="s">
        <v>76</v>
      </c>
      <c r="J10" s="14"/>
      <c r="K10" s="14">
        <v>0.37954960749805899</v>
      </c>
      <c r="L10" s="14" t="s">
        <v>76</v>
      </c>
      <c r="M10" s="14" t="s">
        <v>76</v>
      </c>
      <c r="N10" s="14"/>
      <c r="O10" s="14">
        <v>0.38854433454110499</v>
      </c>
      <c r="P10" s="14">
        <v>0.31767089665192999</v>
      </c>
      <c r="Q10" s="14"/>
      <c r="R10" s="14">
        <v>0.34325151606404503</v>
      </c>
      <c r="S10" s="14">
        <v>0.385672953760337</v>
      </c>
      <c r="T10" s="14">
        <v>0.34835500645192802</v>
      </c>
      <c r="U10" s="14">
        <v>0.35180494049403899</v>
      </c>
      <c r="V10" s="14">
        <v>0.36083928721749597</v>
      </c>
      <c r="W10" s="14">
        <v>0.45201458049587601</v>
      </c>
      <c r="X10" s="14">
        <v>0.35345023080825999</v>
      </c>
      <c r="Y10" s="14">
        <v>0.47142711727113701</v>
      </c>
      <c r="Z10" s="14">
        <v>0.41699407859160198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0.38599740180299502</v>
      </c>
      <c r="AN10" s="14">
        <v>0.33152111852998101</v>
      </c>
    </row>
    <row r="11" spans="2:40" x14ac:dyDescent="0.35">
      <c r="B11" s="15" t="s">
        <v>67</v>
      </c>
      <c r="C11" s="14">
        <v>0.19524669677645901</v>
      </c>
      <c r="D11" s="14">
        <v>0.17149179245118301</v>
      </c>
      <c r="E11" s="14">
        <v>0.22221228770937401</v>
      </c>
      <c r="F11" s="14"/>
      <c r="G11" s="14">
        <v>0.175667202697357</v>
      </c>
      <c r="H11" s="14">
        <v>0.219085106717093</v>
      </c>
      <c r="I11" s="14" t="s">
        <v>76</v>
      </c>
      <c r="J11" s="14"/>
      <c r="K11" s="14">
        <v>0.19524669677645901</v>
      </c>
      <c r="L11" s="14" t="s">
        <v>76</v>
      </c>
      <c r="M11" s="14" t="s">
        <v>76</v>
      </c>
      <c r="N11" s="14"/>
      <c r="O11" s="14">
        <v>0.19690140912424201</v>
      </c>
      <c r="P11" s="14">
        <v>0.17954982674967601</v>
      </c>
      <c r="Q11" s="14"/>
      <c r="R11" s="14">
        <v>0.17343541970207599</v>
      </c>
      <c r="S11" s="14">
        <v>0.19867669378981401</v>
      </c>
      <c r="T11" s="14">
        <v>0.19694747112830799</v>
      </c>
      <c r="U11" s="14">
        <v>0.25959438545741698</v>
      </c>
      <c r="V11" s="14">
        <v>0.22633910891662101</v>
      </c>
      <c r="W11" s="14">
        <v>0.20331180839405899</v>
      </c>
      <c r="X11" s="14">
        <v>0.17188180424680399</v>
      </c>
      <c r="Y11" s="14">
        <v>0.16996829137670999</v>
      </c>
      <c r="Z11" s="14">
        <v>0.156476972234078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0.159112023316515</v>
      </c>
      <c r="AN11" s="14">
        <v>0.30026625427043402</v>
      </c>
    </row>
    <row r="12" spans="2:40" x14ac:dyDescent="0.35">
      <c r="B12" s="15" t="s">
        <v>68</v>
      </c>
      <c r="C12" s="14">
        <v>4.5880754177128197E-2</v>
      </c>
      <c r="D12" s="14">
        <v>4.16754224116377E-2</v>
      </c>
      <c r="E12" s="14">
        <v>5.0702881211333199E-2</v>
      </c>
      <c r="F12" s="14"/>
      <c r="G12" s="14">
        <v>5.1050431598950202E-2</v>
      </c>
      <c r="H12" s="14">
        <v>3.9586572665371397E-2</v>
      </c>
      <c r="I12" s="14" t="s">
        <v>76</v>
      </c>
      <c r="J12" s="14"/>
      <c r="K12" s="14">
        <v>4.5880754177128197E-2</v>
      </c>
      <c r="L12" s="14" t="s">
        <v>76</v>
      </c>
      <c r="M12" s="14" t="s">
        <v>76</v>
      </c>
      <c r="N12" s="14"/>
      <c r="O12" s="14">
        <v>5.0086055460082199E-2</v>
      </c>
      <c r="P12" s="14">
        <v>7.2595342590578097E-3</v>
      </c>
      <c r="Q12" s="14"/>
      <c r="R12" s="14">
        <v>6.1801713258643103E-3</v>
      </c>
      <c r="S12" s="14">
        <v>7.3587148071240296E-2</v>
      </c>
      <c r="T12" s="14">
        <v>7.5278385870179002E-2</v>
      </c>
      <c r="U12" s="14">
        <v>3.3586793438487902E-2</v>
      </c>
      <c r="V12" s="14">
        <v>9.0793868077622297E-2</v>
      </c>
      <c r="W12" s="14">
        <v>1.41708582554086E-2</v>
      </c>
      <c r="X12" s="14">
        <v>1.2244923068641601E-2</v>
      </c>
      <c r="Y12" s="14">
        <v>7.8433665989032397E-2</v>
      </c>
      <c r="Z12" s="14">
        <v>5.7937779132767903E-2</v>
      </c>
      <c r="AA12" s="14"/>
      <c r="AB12" s="14" t="s">
        <v>76</v>
      </c>
      <c r="AC12" s="14" t="s">
        <v>76</v>
      </c>
      <c r="AD12" s="14" t="s">
        <v>76</v>
      </c>
      <c r="AE12" s="14" t="s">
        <v>76</v>
      </c>
      <c r="AF12" s="14"/>
      <c r="AG12" s="14" t="s">
        <v>76</v>
      </c>
      <c r="AH12" s="14" t="s">
        <v>76</v>
      </c>
      <c r="AI12" s="14"/>
      <c r="AJ12" s="14" t="s">
        <v>76</v>
      </c>
      <c r="AK12" s="14" t="s">
        <v>76</v>
      </c>
      <c r="AL12" s="14"/>
      <c r="AM12" s="14">
        <v>2.1050029003254402E-2</v>
      </c>
      <c r="AN12" s="14">
        <v>0.13504029008279</v>
      </c>
    </row>
    <row r="13" spans="2:40" ht="29" x14ac:dyDescent="0.35">
      <c r="B13" s="15" t="s">
        <v>69</v>
      </c>
      <c r="C13" s="14">
        <v>3.2814707290749298E-2</v>
      </c>
      <c r="D13" s="14">
        <v>2.6877142788798301E-2</v>
      </c>
      <c r="E13" s="14">
        <v>3.9486397245495901E-2</v>
      </c>
      <c r="F13" s="14"/>
      <c r="G13" s="14">
        <v>5.53668020814128E-2</v>
      </c>
      <c r="H13" s="14">
        <v>5.3570989139472402E-3</v>
      </c>
      <c r="I13" s="14" t="s">
        <v>76</v>
      </c>
      <c r="J13" s="14"/>
      <c r="K13" s="14">
        <v>3.2814707290749298E-2</v>
      </c>
      <c r="L13" s="14" t="s">
        <v>76</v>
      </c>
      <c r="M13" s="14" t="s">
        <v>76</v>
      </c>
      <c r="N13" s="14"/>
      <c r="O13" s="14">
        <v>3.61369818914987E-2</v>
      </c>
      <c r="P13" s="14">
        <v>8.5093535355831793E-3</v>
      </c>
      <c r="Q13" s="14"/>
      <c r="R13" s="14">
        <v>1.7375476091909099E-2</v>
      </c>
      <c r="S13" s="14">
        <v>5.2203415945128298E-2</v>
      </c>
      <c r="T13" s="14">
        <v>5.6555459270483402E-2</v>
      </c>
      <c r="U13" s="14">
        <v>0</v>
      </c>
      <c r="V13" s="14">
        <v>1.86729255328194E-2</v>
      </c>
      <c r="W13" s="14">
        <v>2.5100496836155499E-2</v>
      </c>
      <c r="X13" s="14">
        <v>7.0856241423958993E-2</v>
      </c>
      <c r="Y13" s="14">
        <v>0</v>
      </c>
      <c r="Z13" s="14">
        <v>3.4762962340035099E-2</v>
      </c>
      <c r="AA13" s="14"/>
      <c r="AB13" s="14" t="s">
        <v>76</v>
      </c>
      <c r="AC13" s="14" t="s">
        <v>76</v>
      </c>
      <c r="AD13" s="14" t="s">
        <v>76</v>
      </c>
      <c r="AE13" s="14" t="s">
        <v>76</v>
      </c>
      <c r="AF13" s="14"/>
      <c r="AG13" s="14" t="s">
        <v>76</v>
      </c>
      <c r="AH13" s="14" t="s">
        <v>76</v>
      </c>
      <c r="AI13" s="14"/>
      <c r="AJ13" s="14" t="s">
        <v>76</v>
      </c>
      <c r="AK13" s="14" t="s">
        <v>76</v>
      </c>
      <c r="AL13" s="14"/>
      <c r="AM13" s="14">
        <v>3.3597659520315099E-2</v>
      </c>
      <c r="AN13" s="14">
        <v>4.9877137538601396E-3</v>
      </c>
    </row>
    <row r="14" spans="2:40" x14ac:dyDescent="0.35">
      <c r="B14" s="15" t="s">
        <v>70</v>
      </c>
      <c r="C14" s="20">
        <v>2.32056738459674E-2</v>
      </c>
      <c r="D14" s="20">
        <v>2.2723207457092401E-2</v>
      </c>
      <c r="E14" s="20">
        <v>2.12357919119192E-2</v>
      </c>
      <c r="F14" s="20"/>
      <c r="G14" s="20">
        <v>3.4213899278336901E-2</v>
      </c>
      <c r="H14" s="20">
        <v>9.8029480392858304E-3</v>
      </c>
      <c r="I14" s="20" t="s">
        <v>76</v>
      </c>
      <c r="J14" s="20"/>
      <c r="K14" s="20">
        <v>2.32056738459674E-2</v>
      </c>
      <c r="L14" s="20" t="s">
        <v>76</v>
      </c>
      <c r="M14" s="20" t="s">
        <v>76</v>
      </c>
      <c r="N14" s="20"/>
      <c r="O14" s="20">
        <v>2.5168028982420598E-2</v>
      </c>
      <c r="P14" s="20">
        <v>9.5063459643859906E-3</v>
      </c>
      <c r="Q14" s="20"/>
      <c r="R14" s="20">
        <v>1.2912779708568399E-2</v>
      </c>
      <c r="S14" s="20">
        <v>1.6861338640897498E-2</v>
      </c>
      <c r="T14" s="20">
        <v>3.21106241677468E-2</v>
      </c>
      <c r="U14" s="20">
        <v>0</v>
      </c>
      <c r="V14" s="20">
        <v>2.03707406954667E-2</v>
      </c>
      <c r="W14" s="20">
        <v>1.3487864207615099E-2</v>
      </c>
      <c r="X14" s="20">
        <v>5.7200155174827898E-2</v>
      </c>
      <c r="Y14" s="20">
        <v>3.6710025984629802E-2</v>
      </c>
      <c r="Z14" s="20">
        <v>3.3947029328962403E-2</v>
      </c>
      <c r="AA14" s="20"/>
      <c r="AB14" s="20" t="s">
        <v>76</v>
      </c>
      <c r="AC14" s="20" t="s">
        <v>76</v>
      </c>
      <c r="AD14" s="20" t="s">
        <v>76</v>
      </c>
      <c r="AE14" s="20" t="s">
        <v>76</v>
      </c>
      <c r="AF14" s="20"/>
      <c r="AG14" s="20" t="s">
        <v>76</v>
      </c>
      <c r="AH14" s="20" t="s">
        <v>76</v>
      </c>
      <c r="AI14" s="20"/>
      <c r="AJ14" s="20" t="s">
        <v>76</v>
      </c>
      <c r="AK14" s="20" t="s">
        <v>76</v>
      </c>
      <c r="AL14" s="20"/>
      <c r="AM14" s="20">
        <v>2.8258774995102699E-2</v>
      </c>
      <c r="AN14" s="20">
        <v>5.1985301009712104E-3</v>
      </c>
    </row>
    <row r="15" spans="2:40" x14ac:dyDescent="0.35">
      <c r="B15" s="16" t="s">
        <v>89</v>
      </c>
    </row>
    <row r="16" spans="2:40" x14ac:dyDescent="0.35">
      <c r="B16" t="s">
        <v>72</v>
      </c>
    </row>
    <row r="17" spans="2:2" x14ac:dyDescent="0.35">
      <c r="B17" t="s">
        <v>73</v>
      </c>
    </row>
    <row r="19" spans="2:2" x14ac:dyDescent="0.35">
      <c r="B19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AN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81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938</v>
      </c>
      <c r="D7" s="10">
        <v>503</v>
      </c>
      <c r="E7" s="10">
        <v>433</v>
      </c>
      <c r="F7" s="10"/>
      <c r="G7" s="10">
        <v>429</v>
      </c>
      <c r="H7" s="10">
        <v>509</v>
      </c>
      <c r="I7" s="10" t="s">
        <v>75</v>
      </c>
      <c r="J7" s="10"/>
      <c r="K7" s="10">
        <v>938</v>
      </c>
      <c r="L7" s="10" t="s">
        <v>75</v>
      </c>
      <c r="M7" s="10" t="s">
        <v>75</v>
      </c>
      <c r="N7" s="10"/>
      <c r="O7" s="10">
        <v>827</v>
      </c>
      <c r="P7" s="10">
        <v>94</v>
      </c>
      <c r="Q7" s="10"/>
      <c r="R7" s="10">
        <v>134</v>
      </c>
      <c r="S7" s="10">
        <v>154</v>
      </c>
      <c r="T7" s="10">
        <v>99</v>
      </c>
      <c r="U7" s="10">
        <v>95</v>
      </c>
      <c r="V7" s="10">
        <v>87</v>
      </c>
      <c r="W7" s="10">
        <v>121</v>
      </c>
      <c r="X7" s="10">
        <v>67</v>
      </c>
      <c r="Y7" s="10">
        <v>44</v>
      </c>
      <c r="Z7" s="10">
        <v>137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611</v>
      </c>
      <c r="AN7" s="10">
        <v>169</v>
      </c>
    </row>
    <row r="8" spans="2:40" ht="30" customHeight="1" x14ac:dyDescent="0.35">
      <c r="B8" s="11" t="s">
        <v>20</v>
      </c>
      <c r="C8" s="11">
        <v>1018</v>
      </c>
      <c r="D8" s="11">
        <v>532</v>
      </c>
      <c r="E8" s="11">
        <v>484</v>
      </c>
      <c r="F8" s="11"/>
      <c r="G8" s="11">
        <v>559</v>
      </c>
      <c r="H8" s="11">
        <v>459</v>
      </c>
      <c r="I8" s="11" t="s">
        <v>75</v>
      </c>
      <c r="J8" s="11"/>
      <c r="K8" s="11">
        <v>1018</v>
      </c>
      <c r="L8" s="11" t="s">
        <v>75</v>
      </c>
      <c r="M8" s="11" t="s">
        <v>75</v>
      </c>
      <c r="N8" s="11"/>
      <c r="O8" s="11">
        <v>901</v>
      </c>
      <c r="P8" s="11">
        <v>100</v>
      </c>
      <c r="Q8" s="11"/>
      <c r="R8" s="11">
        <v>162</v>
      </c>
      <c r="S8" s="11">
        <v>153</v>
      </c>
      <c r="T8" s="11">
        <v>111</v>
      </c>
      <c r="U8" s="11">
        <v>116</v>
      </c>
      <c r="V8" s="11">
        <v>95</v>
      </c>
      <c r="W8" s="11">
        <v>103</v>
      </c>
      <c r="X8" s="11">
        <v>108</v>
      </c>
      <c r="Y8" s="11">
        <v>46</v>
      </c>
      <c r="Z8" s="11">
        <v>123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673</v>
      </c>
      <c r="AN8" s="11">
        <v>174</v>
      </c>
    </row>
    <row r="9" spans="2:40" x14ac:dyDescent="0.35">
      <c r="B9" s="15" t="s">
        <v>65</v>
      </c>
      <c r="C9" s="14">
        <v>0.56869602837918698</v>
      </c>
      <c r="D9" s="14">
        <v>0.63724496259276098</v>
      </c>
      <c r="E9" s="14">
        <v>0.49404710230855098</v>
      </c>
      <c r="F9" s="14"/>
      <c r="G9" s="14">
        <v>0.60332486328833601</v>
      </c>
      <c r="H9" s="14">
        <v>0.526534757051346</v>
      </c>
      <c r="I9" s="14" t="s">
        <v>76</v>
      </c>
      <c r="J9" s="14"/>
      <c r="K9" s="14">
        <v>0.56869602837918698</v>
      </c>
      <c r="L9" s="14" t="s">
        <v>76</v>
      </c>
      <c r="M9" s="14" t="s">
        <v>76</v>
      </c>
      <c r="N9" s="14"/>
      <c r="O9" s="14">
        <v>0.566370434450857</v>
      </c>
      <c r="P9" s="14">
        <v>0.61314006238297902</v>
      </c>
      <c r="Q9" s="14"/>
      <c r="R9" s="14">
        <v>0.65112235790115403</v>
      </c>
      <c r="S9" s="14">
        <v>0.42336998772323298</v>
      </c>
      <c r="T9" s="14">
        <v>0.59165746814932696</v>
      </c>
      <c r="U9" s="14">
        <v>0.57162687892647002</v>
      </c>
      <c r="V9" s="14">
        <v>0.50366402136967503</v>
      </c>
      <c r="W9" s="14">
        <v>0.58755232121987799</v>
      </c>
      <c r="X9" s="14">
        <v>0.61678579840135095</v>
      </c>
      <c r="Y9" s="14">
        <v>0.58159534292889203</v>
      </c>
      <c r="Z9" s="14">
        <v>0.60474972342721101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0.61400989320179999</v>
      </c>
      <c r="AN9" s="14">
        <v>0.46402118073137599</v>
      </c>
    </row>
    <row r="10" spans="2:40" x14ac:dyDescent="0.35">
      <c r="B10" s="15" t="s">
        <v>66</v>
      </c>
      <c r="C10" s="14">
        <v>0.25170275271919901</v>
      </c>
      <c r="D10" s="14">
        <v>0.21041760166530801</v>
      </c>
      <c r="E10" s="14">
        <v>0.29819311029362999</v>
      </c>
      <c r="F10" s="14"/>
      <c r="G10" s="14">
        <v>0.255360158287115</v>
      </c>
      <c r="H10" s="14">
        <v>0.24724979122311</v>
      </c>
      <c r="I10" s="14" t="s">
        <v>76</v>
      </c>
      <c r="J10" s="14"/>
      <c r="K10" s="14">
        <v>0.25170275271919901</v>
      </c>
      <c r="L10" s="14" t="s">
        <v>76</v>
      </c>
      <c r="M10" s="14" t="s">
        <v>76</v>
      </c>
      <c r="N10" s="14"/>
      <c r="O10" s="14">
        <v>0.25402721274824902</v>
      </c>
      <c r="P10" s="14">
        <v>0.24111552945849299</v>
      </c>
      <c r="Q10" s="14"/>
      <c r="R10" s="14">
        <v>0.24138299436571301</v>
      </c>
      <c r="S10" s="14">
        <v>0.345472358075887</v>
      </c>
      <c r="T10" s="14">
        <v>0.26157497737395502</v>
      </c>
      <c r="U10" s="14">
        <v>0.23720537326223101</v>
      </c>
      <c r="V10" s="14">
        <v>0.234166877399759</v>
      </c>
      <c r="W10" s="14">
        <v>0.24262511584389701</v>
      </c>
      <c r="X10" s="14">
        <v>0.18101119963411699</v>
      </c>
      <c r="Y10" s="14">
        <v>0.22733167618340699</v>
      </c>
      <c r="Z10" s="14">
        <v>0.245876537250729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0.24276972984922701</v>
      </c>
      <c r="AN10" s="14">
        <v>0.23518842038165999</v>
      </c>
    </row>
    <row r="11" spans="2:40" x14ac:dyDescent="0.35">
      <c r="B11" s="15" t="s">
        <v>67</v>
      </c>
      <c r="C11" s="14">
        <v>0.118083700413814</v>
      </c>
      <c r="D11" s="14">
        <v>0.103254160747127</v>
      </c>
      <c r="E11" s="14">
        <v>0.13230145267038501</v>
      </c>
      <c r="F11" s="14"/>
      <c r="G11" s="14">
        <v>9.7794938787324898E-2</v>
      </c>
      <c r="H11" s="14">
        <v>0.142785657210353</v>
      </c>
      <c r="I11" s="14" t="s">
        <v>76</v>
      </c>
      <c r="J11" s="14"/>
      <c r="K11" s="14">
        <v>0.118083700413814</v>
      </c>
      <c r="L11" s="14" t="s">
        <v>76</v>
      </c>
      <c r="M11" s="14" t="s">
        <v>76</v>
      </c>
      <c r="N11" s="14"/>
      <c r="O11" s="14">
        <v>0.122107764778079</v>
      </c>
      <c r="P11" s="14">
        <v>6.6973397341786006E-2</v>
      </c>
      <c r="Q11" s="14"/>
      <c r="R11" s="14">
        <v>8.8722344651654406E-2</v>
      </c>
      <c r="S11" s="14">
        <v>0.155534473950941</v>
      </c>
      <c r="T11" s="14">
        <v>5.7149891880024298E-2</v>
      </c>
      <c r="U11" s="14">
        <v>0.11831699936145799</v>
      </c>
      <c r="V11" s="14">
        <v>0.198524620218028</v>
      </c>
      <c r="W11" s="14">
        <v>0.12894571291853599</v>
      </c>
      <c r="X11" s="14">
        <v>0.110989640996927</v>
      </c>
      <c r="Y11" s="14">
        <v>9.3795193355850001E-2</v>
      </c>
      <c r="Z11" s="14">
        <v>0.108982510067356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9.8003276868463704E-2</v>
      </c>
      <c r="AN11" s="14">
        <v>0.17532194078020699</v>
      </c>
    </row>
    <row r="12" spans="2:40" x14ac:dyDescent="0.35">
      <c r="B12" s="15" t="s">
        <v>68</v>
      </c>
      <c r="C12" s="14">
        <v>5.89817420782432E-2</v>
      </c>
      <c r="D12" s="14">
        <v>4.7297791015572001E-2</v>
      </c>
      <c r="E12" s="14">
        <v>7.2086389647487106E-2</v>
      </c>
      <c r="F12" s="14"/>
      <c r="G12" s="14">
        <v>4.0601476551270999E-2</v>
      </c>
      <c r="H12" s="14">
        <v>8.1360068233123306E-2</v>
      </c>
      <c r="I12" s="14" t="s">
        <v>76</v>
      </c>
      <c r="J12" s="14"/>
      <c r="K12" s="14">
        <v>5.89817420782432E-2</v>
      </c>
      <c r="L12" s="14" t="s">
        <v>76</v>
      </c>
      <c r="M12" s="14" t="s">
        <v>76</v>
      </c>
      <c r="N12" s="14"/>
      <c r="O12" s="14">
        <v>5.5683826618173497E-2</v>
      </c>
      <c r="P12" s="14">
        <v>6.9264664852356703E-2</v>
      </c>
      <c r="Q12" s="14"/>
      <c r="R12" s="14">
        <v>1.2912779708568399E-2</v>
      </c>
      <c r="S12" s="14">
        <v>6.4961225426372005E-2</v>
      </c>
      <c r="T12" s="14">
        <v>8.9617662596693695E-2</v>
      </c>
      <c r="U12" s="14">
        <v>7.2850748449840602E-2</v>
      </c>
      <c r="V12" s="14">
        <v>6.3644481012537502E-2</v>
      </c>
      <c r="W12" s="14">
        <v>4.0876850017688399E-2</v>
      </c>
      <c r="X12" s="14">
        <v>9.1213360967605295E-2</v>
      </c>
      <c r="Y12" s="14">
        <v>9.7277787531850707E-2</v>
      </c>
      <c r="Z12" s="14">
        <v>4.0391229254704598E-2</v>
      </c>
      <c r="AA12" s="14"/>
      <c r="AB12" s="14" t="s">
        <v>76</v>
      </c>
      <c r="AC12" s="14" t="s">
        <v>76</v>
      </c>
      <c r="AD12" s="14" t="s">
        <v>76</v>
      </c>
      <c r="AE12" s="14" t="s">
        <v>76</v>
      </c>
      <c r="AF12" s="14"/>
      <c r="AG12" s="14" t="s">
        <v>76</v>
      </c>
      <c r="AH12" s="14" t="s">
        <v>76</v>
      </c>
      <c r="AI12" s="14"/>
      <c r="AJ12" s="14" t="s">
        <v>76</v>
      </c>
      <c r="AK12" s="14" t="s">
        <v>76</v>
      </c>
      <c r="AL12" s="14"/>
      <c r="AM12" s="14">
        <v>4.13831981123663E-2</v>
      </c>
      <c r="AN12" s="14">
        <v>0.125468458106758</v>
      </c>
    </row>
    <row r="13" spans="2:40" ht="29" x14ac:dyDescent="0.35">
      <c r="B13" s="15" t="s">
        <v>69</v>
      </c>
      <c r="C13" s="14">
        <v>1.6024242729206399E-3</v>
      </c>
      <c r="D13" s="14">
        <v>0</v>
      </c>
      <c r="E13" s="14">
        <v>3.3719450799466399E-3</v>
      </c>
      <c r="F13" s="14"/>
      <c r="G13" s="14">
        <v>2.9185630859535302E-3</v>
      </c>
      <c r="H13" s="14">
        <v>0</v>
      </c>
      <c r="I13" s="14" t="s">
        <v>76</v>
      </c>
      <c r="J13" s="14"/>
      <c r="K13" s="14">
        <v>1.6024242729206399E-3</v>
      </c>
      <c r="L13" s="14" t="s">
        <v>76</v>
      </c>
      <c r="M13" s="14" t="s">
        <v>76</v>
      </c>
      <c r="N13" s="14"/>
      <c r="O13" s="14">
        <v>1.8107614046408401E-3</v>
      </c>
      <c r="P13" s="14">
        <v>0</v>
      </c>
      <c r="Q13" s="14"/>
      <c r="R13" s="14">
        <v>0</v>
      </c>
      <c r="S13" s="14">
        <v>1.06619548235681E-2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/>
      <c r="AB13" s="14" t="s">
        <v>76</v>
      </c>
      <c r="AC13" s="14" t="s">
        <v>76</v>
      </c>
      <c r="AD13" s="14" t="s">
        <v>76</v>
      </c>
      <c r="AE13" s="14" t="s">
        <v>76</v>
      </c>
      <c r="AF13" s="14"/>
      <c r="AG13" s="14" t="s">
        <v>76</v>
      </c>
      <c r="AH13" s="14" t="s">
        <v>76</v>
      </c>
      <c r="AI13" s="14"/>
      <c r="AJ13" s="14" t="s">
        <v>76</v>
      </c>
      <c r="AK13" s="14" t="s">
        <v>76</v>
      </c>
      <c r="AL13" s="14"/>
      <c r="AM13" s="14">
        <v>2.4227441940844999E-3</v>
      </c>
      <c r="AN13" s="14">
        <v>0</v>
      </c>
    </row>
    <row r="14" spans="2:40" x14ac:dyDescent="0.35">
      <c r="B14" s="15" t="s">
        <v>70</v>
      </c>
      <c r="C14" s="20">
        <v>9.3335213663643104E-4</v>
      </c>
      <c r="D14" s="20">
        <v>1.78548397923191E-3</v>
      </c>
      <c r="E14" s="20">
        <v>0</v>
      </c>
      <c r="F14" s="20"/>
      <c r="G14" s="20">
        <v>0</v>
      </c>
      <c r="H14" s="20">
        <v>2.0697262820672298E-3</v>
      </c>
      <c r="I14" s="20" t="s">
        <v>76</v>
      </c>
      <c r="J14" s="20"/>
      <c r="K14" s="20">
        <v>9.3335213663643104E-4</v>
      </c>
      <c r="L14" s="20" t="s">
        <v>76</v>
      </c>
      <c r="M14" s="20" t="s">
        <v>76</v>
      </c>
      <c r="N14" s="20"/>
      <c r="O14" s="20">
        <v>0</v>
      </c>
      <c r="P14" s="20">
        <v>9.5063459643859906E-3</v>
      </c>
      <c r="Q14" s="20"/>
      <c r="R14" s="20">
        <v>5.8595233729098403E-3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/>
      <c r="AB14" s="20" t="s">
        <v>76</v>
      </c>
      <c r="AC14" s="20" t="s">
        <v>76</v>
      </c>
      <c r="AD14" s="20" t="s">
        <v>76</v>
      </c>
      <c r="AE14" s="20" t="s">
        <v>76</v>
      </c>
      <c r="AF14" s="20"/>
      <c r="AG14" s="20" t="s">
        <v>76</v>
      </c>
      <c r="AH14" s="20" t="s">
        <v>76</v>
      </c>
      <c r="AI14" s="20"/>
      <c r="AJ14" s="20" t="s">
        <v>76</v>
      </c>
      <c r="AK14" s="20" t="s">
        <v>76</v>
      </c>
      <c r="AL14" s="20"/>
      <c r="AM14" s="20">
        <v>1.4111577740586699E-3</v>
      </c>
      <c r="AN14" s="20">
        <v>0</v>
      </c>
    </row>
    <row r="15" spans="2:40" x14ac:dyDescent="0.35">
      <c r="B15" s="16" t="s">
        <v>89</v>
      </c>
    </row>
    <row r="16" spans="2:40" x14ac:dyDescent="0.35">
      <c r="B16" t="s">
        <v>72</v>
      </c>
    </row>
    <row r="17" spans="2:2" x14ac:dyDescent="0.35">
      <c r="B17" t="s">
        <v>73</v>
      </c>
    </row>
    <row r="19" spans="2:2" x14ac:dyDescent="0.35">
      <c r="B19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AN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82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938</v>
      </c>
      <c r="D7" s="10">
        <v>503</v>
      </c>
      <c r="E7" s="10">
        <v>433</v>
      </c>
      <c r="F7" s="10"/>
      <c r="G7" s="10">
        <v>429</v>
      </c>
      <c r="H7" s="10">
        <v>509</v>
      </c>
      <c r="I7" s="10" t="s">
        <v>75</v>
      </c>
      <c r="J7" s="10"/>
      <c r="K7" s="10">
        <v>938</v>
      </c>
      <c r="L7" s="10" t="s">
        <v>75</v>
      </c>
      <c r="M7" s="10" t="s">
        <v>75</v>
      </c>
      <c r="N7" s="10"/>
      <c r="O7" s="10">
        <v>827</v>
      </c>
      <c r="P7" s="10">
        <v>94</v>
      </c>
      <c r="Q7" s="10"/>
      <c r="R7" s="10">
        <v>134</v>
      </c>
      <c r="S7" s="10">
        <v>154</v>
      </c>
      <c r="T7" s="10">
        <v>99</v>
      </c>
      <c r="U7" s="10">
        <v>95</v>
      </c>
      <c r="V7" s="10">
        <v>87</v>
      </c>
      <c r="W7" s="10">
        <v>121</v>
      </c>
      <c r="X7" s="10">
        <v>67</v>
      </c>
      <c r="Y7" s="10">
        <v>44</v>
      </c>
      <c r="Z7" s="10">
        <v>137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611</v>
      </c>
      <c r="AN7" s="10">
        <v>169</v>
      </c>
    </row>
    <row r="8" spans="2:40" ht="30" customHeight="1" x14ac:dyDescent="0.35">
      <c r="B8" s="11" t="s">
        <v>20</v>
      </c>
      <c r="C8" s="11">
        <v>1018</v>
      </c>
      <c r="D8" s="11">
        <v>532</v>
      </c>
      <c r="E8" s="11">
        <v>484</v>
      </c>
      <c r="F8" s="11"/>
      <c r="G8" s="11">
        <v>559</v>
      </c>
      <c r="H8" s="11">
        <v>459</v>
      </c>
      <c r="I8" s="11" t="s">
        <v>75</v>
      </c>
      <c r="J8" s="11"/>
      <c r="K8" s="11">
        <v>1018</v>
      </c>
      <c r="L8" s="11" t="s">
        <v>75</v>
      </c>
      <c r="M8" s="11" t="s">
        <v>75</v>
      </c>
      <c r="N8" s="11"/>
      <c r="O8" s="11">
        <v>901</v>
      </c>
      <c r="P8" s="11">
        <v>100</v>
      </c>
      <c r="Q8" s="11"/>
      <c r="R8" s="11">
        <v>162</v>
      </c>
      <c r="S8" s="11">
        <v>153</v>
      </c>
      <c r="T8" s="11">
        <v>111</v>
      </c>
      <c r="U8" s="11">
        <v>116</v>
      </c>
      <c r="V8" s="11">
        <v>95</v>
      </c>
      <c r="W8" s="11">
        <v>103</v>
      </c>
      <c r="X8" s="11">
        <v>108</v>
      </c>
      <c r="Y8" s="11">
        <v>46</v>
      </c>
      <c r="Z8" s="11">
        <v>123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673</v>
      </c>
      <c r="AN8" s="11">
        <v>174</v>
      </c>
    </row>
    <row r="9" spans="2:40" x14ac:dyDescent="0.35">
      <c r="B9" s="15" t="s">
        <v>65</v>
      </c>
      <c r="C9" s="14">
        <v>0.19992586236396301</v>
      </c>
      <c r="D9" s="14">
        <v>0.19642708692542801</v>
      </c>
      <c r="E9" s="14">
        <v>0.20462973467766701</v>
      </c>
      <c r="F9" s="14"/>
      <c r="G9" s="14">
        <v>0.19580843244439999</v>
      </c>
      <c r="H9" s="14">
        <v>0.20493891234001599</v>
      </c>
      <c r="I9" s="14" t="s">
        <v>76</v>
      </c>
      <c r="J9" s="14"/>
      <c r="K9" s="14">
        <v>0.19992586236396301</v>
      </c>
      <c r="L9" s="14" t="s">
        <v>76</v>
      </c>
      <c r="M9" s="14" t="s">
        <v>76</v>
      </c>
      <c r="N9" s="14"/>
      <c r="O9" s="14">
        <v>0.196022850083239</v>
      </c>
      <c r="P9" s="14">
        <v>0.23254193759567501</v>
      </c>
      <c r="Q9" s="14"/>
      <c r="R9" s="14">
        <v>0.238719572923169</v>
      </c>
      <c r="S9" s="14">
        <v>0.16306306322297201</v>
      </c>
      <c r="T9" s="14">
        <v>0.17650403244413801</v>
      </c>
      <c r="U9" s="14">
        <v>0.266524939810795</v>
      </c>
      <c r="V9" s="14">
        <v>0.18016347195830101</v>
      </c>
      <c r="W9" s="14">
        <v>0.215244815161796</v>
      </c>
      <c r="X9" s="14">
        <v>0.17797198840627201</v>
      </c>
      <c r="Y9" s="14">
        <v>0.20981141014089699</v>
      </c>
      <c r="Z9" s="14">
        <v>0.171002860647746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0.205042394829513</v>
      </c>
      <c r="AN9" s="14">
        <v>0.18872745329035101</v>
      </c>
    </row>
    <row r="10" spans="2:40" x14ac:dyDescent="0.35">
      <c r="B10" s="15" t="s">
        <v>66</v>
      </c>
      <c r="C10" s="14">
        <v>0.30557381293532199</v>
      </c>
      <c r="D10" s="14">
        <v>0.32978067268003602</v>
      </c>
      <c r="E10" s="14">
        <v>0.27857559826434503</v>
      </c>
      <c r="F10" s="14"/>
      <c r="G10" s="14">
        <v>0.26182473215464303</v>
      </c>
      <c r="H10" s="14">
        <v>0.358839158707913</v>
      </c>
      <c r="I10" s="14" t="s">
        <v>76</v>
      </c>
      <c r="J10" s="14"/>
      <c r="K10" s="14">
        <v>0.30557381293532199</v>
      </c>
      <c r="L10" s="14" t="s">
        <v>76</v>
      </c>
      <c r="M10" s="14" t="s">
        <v>76</v>
      </c>
      <c r="N10" s="14"/>
      <c r="O10" s="14">
        <v>0.30394934388611999</v>
      </c>
      <c r="P10" s="14">
        <v>0.32575129404061298</v>
      </c>
      <c r="Q10" s="14"/>
      <c r="R10" s="14">
        <v>0.29647702167824802</v>
      </c>
      <c r="S10" s="14">
        <v>0.25922826899759799</v>
      </c>
      <c r="T10" s="14">
        <v>0.24661020635797601</v>
      </c>
      <c r="U10" s="14">
        <v>0.27001463436228201</v>
      </c>
      <c r="V10" s="14">
        <v>0.38489597224458499</v>
      </c>
      <c r="W10" s="14">
        <v>0.38500915295834498</v>
      </c>
      <c r="X10" s="14">
        <v>0.28285512085956299</v>
      </c>
      <c r="Y10" s="14">
        <v>0.35855695539189097</v>
      </c>
      <c r="Z10" s="14">
        <v>0.33464228206936403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0.32462791904756599</v>
      </c>
      <c r="AN10" s="14">
        <v>0.25091491622276801</v>
      </c>
    </row>
    <row r="11" spans="2:40" x14ac:dyDescent="0.35">
      <c r="B11" s="15" t="s">
        <v>67</v>
      </c>
      <c r="C11" s="14">
        <v>0.27961903274951799</v>
      </c>
      <c r="D11" s="14">
        <v>0.28139035439791799</v>
      </c>
      <c r="E11" s="14">
        <v>0.278866702685721</v>
      </c>
      <c r="F11" s="14"/>
      <c r="G11" s="14">
        <v>0.287284498503599</v>
      </c>
      <c r="H11" s="14">
        <v>0.27028618102753499</v>
      </c>
      <c r="I11" s="14" t="s">
        <v>76</v>
      </c>
      <c r="J11" s="14"/>
      <c r="K11" s="14">
        <v>0.27961903274951799</v>
      </c>
      <c r="L11" s="14" t="s">
        <v>76</v>
      </c>
      <c r="M11" s="14" t="s">
        <v>76</v>
      </c>
      <c r="N11" s="14"/>
      <c r="O11" s="14">
        <v>0.27270314740323198</v>
      </c>
      <c r="P11" s="14">
        <v>0.30205318557308702</v>
      </c>
      <c r="Q11" s="14"/>
      <c r="R11" s="14">
        <v>0.26207286969115501</v>
      </c>
      <c r="S11" s="14">
        <v>0.29954680092639002</v>
      </c>
      <c r="T11" s="14">
        <v>0.273187765112271</v>
      </c>
      <c r="U11" s="14">
        <v>0.34893765493842699</v>
      </c>
      <c r="V11" s="14">
        <v>0.28712969808056898</v>
      </c>
      <c r="W11" s="14">
        <v>0.21734423834556499</v>
      </c>
      <c r="X11" s="14">
        <v>0.311623367047421</v>
      </c>
      <c r="Y11" s="14">
        <v>0.22153497756930199</v>
      </c>
      <c r="Z11" s="14">
        <v>0.25783677601835298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0.267843298439563</v>
      </c>
      <c r="AN11" s="14">
        <v>0.356047090379074</v>
      </c>
    </row>
    <row r="12" spans="2:40" x14ac:dyDescent="0.35">
      <c r="B12" s="15" t="s">
        <v>68</v>
      </c>
      <c r="C12" s="14">
        <v>0.11902071397316601</v>
      </c>
      <c r="D12" s="14">
        <v>0.105437881458899</v>
      </c>
      <c r="E12" s="14">
        <v>0.13187109705386699</v>
      </c>
      <c r="F12" s="14"/>
      <c r="G12" s="14">
        <v>9.8348074152484297E-2</v>
      </c>
      <c r="H12" s="14">
        <v>0.14419004984106801</v>
      </c>
      <c r="I12" s="14" t="s">
        <v>76</v>
      </c>
      <c r="J12" s="14"/>
      <c r="K12" s="14">
        <v>0.11902071397316601</v>
      </c>
      <c r="L12" s="14" t="s">
        <v>76</v>
      </c>
      <c r="M12" s="14" t="s">
        <v>76</v>
      </c>
      <c r="N12" s="14"/>
      <c r="O12" s="14">
        <v>0.124170207069127</v>
      </c>
      <c r="P12" s="14">
        <v>9.3060925990618701E-2</v>
      </c>
      <c r="Q12" s="14"/>
      <c r="R12" s="14">
        <v>0.10444112118035501</v>
      </c>
      <c r="S12" s="14">
        <v>0.15049227633422199</v>
      </c>
      <c r="T12" s="14">
        <v>0.12645414821391099</v>
      </c>
      <c r="U12" s="14">
        <v>8.8749151426622694E-2</v>
      </c>
      <c r="V12" s="14">
        <v>0.12913793218372499</v>
      </c>
      <c r="W12" s="14">
        <v>0.104017444063865</v>
      </c>
      <c r="X12" s="14">
        <v>0.13390585711557401</v>
      </c>
      <c r="Y12" s="14">
        <v>0.11797377318111101</v>
      </c>
      <c r="Z12" s="14">
        <v>0.11301455554126</v>
      </c>
      <c r="AA12" s="14"/>
      <c r="AB12" s="14" t="s">
        <v>76</v>
      </c>
      <c r="AC12" s="14" t="s">
        <v>76</v>
      </c>
      <c r="AD12" s="14" t="s">
        <v>76</v>
      </c>
      <c r="AE12" s="14" t="s">
        <v>76</v>
      </c>
      <c r="AF12" s="14"/>
      <c r="AG12" s="14" t="s">
        <v>76</v>
      </c>
      <c r="AH12" s="14" t="s">
        <v>76</v>
      </c>
      <c r="AI12" s="14"/>
      <c r="AJ12" s="14" t="s">
        <v>76</v>
      </c>
      <c r="AK12" s="14" t="s">
        <v>76</v>
      </c>
      <c r="AL12" s="14"/>
      <c r="AM12" s="14">
        <v>0.103980799564012</v>
      </c>
      <c r="AN12" s="14">
        <v>0.17268195188331201</v>
      </c>
    </row>
    <row r="13" spans="2:40" ht="29" x14ac:dyDescent="0.35">
      <c r="B13" s="15" t="s">
        <v>69</v>
      </c>
      <c r="C13" s="14">
        <v>7.9838645392399196E-2</v>
      </c>
      <c r="D13" s="14">
        <v>7.4694221840705802E-2</v>
      </c>
      <c r="E13" s="14">
        <v>8.5839034341480394E-2</v>
      </c>
      <c r="F13" s="14"/>
      <c r="G13" s="14">
        <v>0.135374362276204</v>
      </c>
      <c r="H13" s="14">
        <v>1.2222843877067501E-2</v>
      </c>
      <c r="I13" s="14" t="s">
        <v>76</v>
      </c>
      <c r="J13" s="14"/>
      <c r="K13" s="14">
        <v>7.9838645392399196E-2</v>
      </c>
      <c r="L13" s="14" t="s">
        <v>76</v>
      </c>
      <c r="M13" s="14" t="s">
        <v>76</v>
      </c>
      <c r="N13" s="14"/>
      <c r="O13" s="14">
        <v>8.6104148720530696E-2</v>
      </c>
      <c r="P13" s="14">
        <v>3.7086310835620397E-2</v>
      </c>
      <c r="Q13" s="14"/>
      <c r="R13" s="14">
        <v>9.2429891154164098E-2</v>
      </c>
      <c r="S13" s="14">
        <v>8.46055270731354E-2</v>
      </c>
      <c r="T13" s="14">
        <v>0.16161613059992699</v>
      </c>
      <c r="U13" s="14">
        <v>1.7074560623107801E-2</v>
      </c>
      <c r="V13" s="14">
        <v>1.86729255328194E-2</v>
      </c>
      <c r="W13" s="14">
        <v>7.8384349470428702E-2</v>
      </c>
      <c r="X13" s="14">
        <v>9.3643666571169404E-2</v>
      </c>
      <c r="Y13" s="14">
        <v>3.6710030912286203E-2</v>
      </c>
      <c r="Z13" s="14">
        <v>9.5204804321551997E-2</v>
      </c>
      <c r="AA13" s="14"/>
      <c r="AB13" s="14" t="s">
        <v>76</v>
      </c>
      <c r="AC13" s="14" t="s">
        <v>76</v>
      </c>
      <c r="AD13" s="14" t="s">
        <v>76</v>
      </c>
      <c r="AE13" s="14" t="s">
        <v>76</v>
      </c>
      <c r="AF13" s="14"/>
      <c r="AG13" s="14" t="s">
        <v>76</v>
      </c>
      <c r="AH13" s="14" t="s">
        <v>76</v>
      </c>
      <c r="AI13" s="14"/>
      <c r="AJ13" s="14" t="s">
        <v>76</v>
      </c>
      <c r="AK13" s="14" t="s">
        <v>76</v>
      </c>
      <c r="AL13" s="14"/>
      <c r="AM13" s="14">
        <v>8.7538553803486296E-2</v>
      </c>
      <c r="AN13" s="14">
        <v>1.6957363894592001E-2</v>
      </c>
    </row>
    <row r="14" spans="2:40" x14ac:dyDescent="0.35">
      <c r="B14" s="15" t="s">
        <v>70</v>
      </c>
      <c r="C14" s="20">
        <v>1.6021932585632101E-2</v>
      </c>
      <c r="D14" s="20">
        <v>1.2269782697012699E-2</v>
      </c>
      <c r="E14" s="20">
        <v>2.0217832976919099E-2</v>
      </c>
      <c r="F14" s="20"/>
      <c r="G14" s="20">
        <v>2.1359900468669198E-2</v>
      </c>
      <c r="H14" s="20">
        <v>9.5228542064006005E-3</v>
      </c>
      <c r="I14" s="20" t="s">
        <v>76</v>
      </c>
      <c r="J14" s="20"/>
      <c r="K14" s="20">
        <v>1.6021932585632101E-2</v>
      </c>
      <c r="L14" s="20" t="s">
        <v>76</v>
      </c>
      <c r="M14" s="20" t="s">
        <v>76</v>
      </c>
      <c r="N14" s="20"/>
      <c r="O14" s="20">
        <v>1.7050302837751E-2</v>
      </c>
      <c r="P14" s="20">
        <v>9.5063459643859906E-3</v>
      </c>
      <c r="Q14" s="20"/>
      <c r="R14" s="20">
        <v>5.8595233729098403E-3</v>
      </c>
      <c r="S14" s="20">
        <v>4.3064063445683101E-2</v>
      </c>
      <c r="T14" s="20">
        <v>1.5627717271777E-2</v>
      </c>
      <c r="U14" s="20">
        <v>8.6990588387657192E-3</v>
      </c>
      <c r="V14" s="20">
        <v>0</v>
      </c>
      <c r="W14" s="20">
        <v>0</v>
      </c>
      <c r="X14" s="20">
        <v>0</v>
      </c>
      <c r="Y14" s="20">
        <v>5.5412852804512497E-2</v>
      </c>
      <c r="Z14" s="20">
        <v>2.82987214017246E-2</v>
      </c>
      <c r="AA14" s="20"/>
      <c r="AB14" s="20" t="s">
        <v>76</v>
      </c>
      <c r="AC14" s="20" t="s">
        <v>76</v>
      </c>
      <c r="AD14" s="20" t="s">
        <v>76</v>
      </c>
      <c r="AE14" s="20" t="s">
        <v>76</v>
      </c>
      <c r="AF14" s="20"/>
      <c r="AG14" s="20" t="s">
        <v>76</v>
      </c>
      <c r="AH14" s="20" t="s">
        <v>76</v>
      </c>
      <c r="AI14" s="20"/>
      <c r="AJ14" s="20" t="s">
        <v>76</v>
      </c>
      <c r="AK14" s="20" t="s">
        <v>76</v>
      </c>
      <c r="AL14" s="20"/>
      <c r="AM14" s="20">
        <v>1.0967034315859501E-2</v>
      </c>
      <c r="AN14" s="20">
        <v>1.4671224329903001E-2</v>
      </c>
    </row>
    <row r="15" spans="2:40" x14ac:dyDescent="0.35">
      <c r="B15" s="16" t="s">
        <v>89</v>
      </c>
    </row>
    <row r="16" spans="2:40" x14ac:dyDescent="0.35">
      <c r="B16" t="s">
        <v>72</v>
      </c>
    </row>
    <row r="17" spans="2:2" x14ac:dyDescent="0.35">
      <c r="B17" t="s">
        <v>73</v>
      </c>
    </row>
    <row r="19" spans="2:2" x14ac:dyDescent="0.35">
      <c r="B19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AN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83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938</v>
      </c>
      <c r="D7" s="10">
        <v>503</v>
      </c>
      <c r="E7" s="10">
        <v>433</v>
      </c>
      <c r="F7" s="10"/>
      <c r="G7" s="10">
        <v>429</v>
      </c>
      <c r="H7" s="10">
        <v>509</v>
      </c>
      <c r="I7" s="10" t="s">
        <v>75</v>
      </c>
      <c r="J7" s="10"/>
      <c r="K7" s="10">
        <v>938</v>
      </c>
      <c r="L7" s="10" t="s">
        <v>75</v>
      </c>
      <c r="M7" s="10" t="s">
        <v>75</v>
      </c>
      <c r="N7" s="10"/>
      <c r="O7" s="10">
        <v>827</v>
      </c>
      <c r="P7" s="10">
        <v>94</v>
      </c>
      <c r="Q7" s="10"/>
      <c r="R7" s="10">
        <v>134</v>
      </c>
      <c r="S7" s="10">
        <v>154</v>
      </c>
      <c r="T7" s="10">
        <v>99</v>
      </c>
      <c r="U7" s="10">
        <v>95</v>
      </c>
      <c r="V7" s="10">
        <v>87</v>
      </c>
      <c r="W7" s="10">
        <v>121</v>
      </c>
      <c r="X7" s="10">
        <v>67</v>
      </c>
      <c r="Y7" s="10">
        <v>44</v>
      </c>
      <c r="Z7" s="10">
        <v>137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611</v>
      </c>
      <c r="AN7" s="10">
        <v>169</v>
      </c>
    </row>
    <row r="8" spans="2:40" ht="30" customHeight="1" x14ac:dyDescent="0.35">
      <c r="B8" s="11" t="s">
        <v>20</v>
      </c>
      <c r="C8" s="11">
        <v>1018</v>
      </c>
      <c r="D8" s="11">
        <v>532</v>
      </c>
      <c r="E8" s="11">
        <v>484</v>
      </c>
      <c r="F8" s="11"/>
      <c r="G8" s="11">
        <v>559</v>
      </c>
      <c r="H8" s="11">
        <v>459</v>
      </c>
      <c r="I8" s="11" t="s">
        <v>75</v>
      </c>
      <c r="J8" s="11"/>
      <c r="K8" s="11">
        <v>1018</v>
      </c>
      <c r="L8" s="11" t="s">
        <v>75</v>
      </c>
      <c r="M8" s="11" t="s">
        <v>75</v>
      </c>
      <c r="N8" s="11"/>
      <c r="O8" s="11">
        <v>901</v>
      </c>
      <c r="P8" s="11">
        <v>100</v>
      </c>
      <c r="Q8" s="11"/>
      <c r="R8" s="11">
        <v>162</v>
      </c>
      <c r="S8" s="11">
        <v>153</v>
      </c>
      <c r="T8" s="11">
        <v>111</v>
      </c>
      <c r="U8" s="11">
        <v>116</v>
      </c>
      <c r="V8" s="11">
        <v>95</v>
      </c>
      <c r="W8" s="11">
        <v>103</v>
      </c>
      <c r="X8" s="11">
        <v>108</v>
      </c>
      <c r="Y8" s="11">
        <v>46</v>
      </c>
      <c r="Z8" s="11">
        <v>123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673</v>
      </c>
      <c r="AN8" s="11">
        <v>174</v>
      </c>
    </row>
    <row r="9" spans="2:40" x14ac:dyDescent="0.35">
      <c r="B9" s="15" t="s">
        <v>65</v>
      </c>
      <c r="C9" s="14">
        <v>0.14362258810060299</v>
      </c>
      <c r="D9" s="14">
        <v>0.156121479107803</v>
      </c>
      <c r="E9" s="14">
        <v>0.13048818509593099</v>
      </c>
      <c r="F9" s="14"/>
      <c r="G9" s="14">
        <v>0.14470267356059199</v>
      </c>
      <c r="H9" s="14">
        <v>0.14230756331691299</v>
      </c>
      <c r="I9" s="14" t="s">
        <v>76</v>
      </c>
      <c r="J9" s="14"/>
      <c r="K9" s="14">
        <v>0.14362258810060299</v>
      </c>
      <c r="L9" s="14" t="s">
        <v>76</v>
      </c>
      <c r="M9" s="14" t="s">
        <v>76</v>
      </c>
      <c r="N9" s="14"/>
      <c r="O9" s="14">
        <v>0.136751938281197</v>
      </c>
      <c r="P9" s="14">
        <v>0.202700267605774</v>
      </c>
      <c r="Q9" s="14"/>
      <c r="R9" s="14">
        <v>0.20105569988144101</v>
      </c>
      <c r="S9" s="14">
        <v>0.12977180225441201</v>
      </c>
      <c r="T9" s="14">
        <v>9.2691420607610098E-2</v>
      </c>
      <c r="U9" s="14">
        <v>0.176565753076771</v>
      </c>
      <c r="V9" s="14">
        <v>8.6830404599196206E-2</v>
      </c>
      <c r="W9" s="14">
        <v>0.116084392512332</v>
      </c>
      <c r="X9" s="14">
        <v>0.142600368226864</v>
      </c>
      <c r="Y9" s="14">
        <v>0.16089828378639301</v>
      </c>
      <c r="Z9" s="14">
        <v>0.16149332877612499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0.15965169842729199</v>
      </c>
      <c r="AN9" s="14">
        <v>7.8547758346754495E-2</v>
      </c>
    </row>
    <row r="10" spans="2:40" x14ac:dyDescent="0.35">
      <c r="B10" s="15" t="s">
        <v>66</v>
      </c>
      <c r="C10" s="14">
        <v>0.32714517131951298</v>
      </c>
      <c r="D10" s="14">
        <v>0.33814005902831901</v>
      </c>
      <c r="E10" s="14">
        <v>0.31477239678084001</v>
      </c>
      <c r="F10" s="14"/>
      <c r="G10" s="14">
        <v>0.30844640013347802</v>
      </c>
      <c r="H10" s="14">
        <v>0.349911284229173</v>
      </c>
      <c r="I10" s="14" t="s">
        <v>76</v>
      </c>
      <c r="J10" s="14"/>
      <c r="K10" s="14">
        <v>0.32714517131951298</v>
      </c>
      <c r="L10" s="14" t="s">
        <v>76</v>
      </c>
      <c r="M10" s="14" t="s">
        <v>76</v>
      </c>
      <c r="N10" s="14"/>
      <c r="O10" s="14">
        <v>0.31820482368727698</v>
      </c>
      <c r="P10" s="14">
        <v>0.416144155195731</v>
      </c>
      <c r="Q10" s="14"/>
      <c r="R10" s="14">
        <v>0.42861528775827001</v>
      </c>
      <c r="S10" s="14">
        <v>0.23780576115350699</v>
      </c>
      <c r="T10" s="14">
        <v>0.29072245438621702</v>
      </c>
      <c r="U10" s="14">
        <v>0.34769366047627598</v>
      </c>
      <c r="V10" s="14">
        <v>0.37042158426192101</v>
      </c>
      <c r="W10" s="14">
        <v>0.36217411182161502</v>
      </c>
      <c r="X10" s="14">
        <v>0.26756762414360502</v>
      </c>
      <c r="Y10" s="14">
        <v>0.36773881035220302</v>
      </c>
      <c r="Z10" s="14">
        <v>0.292590132993368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0.37145157286492198</v>
      </c>
      <c r="AN10" s="14">
        <v>0.249291895819376</v>
      </c>
    </row>
    <row r="11" spans="2:40" x14ac:dyDescent="0.35">
      <c r="B11" s="15" t="s">
        <v>67</v>
      </c>
      <c r="C11" s="14">
        <v>0.28363418726466499</v>
      </c>
      <c r="D11" s="14">
        <v>0.27701981287944</v>
      </c>
      <c r="E11" s="14">
        <v>0.29212329546099702</v>
      </c>
      <c r="F11" s="14"/>
      <c r="G11" s="14">
        <v>0.243008947916457</v>
      </c>
      <c r="H11" s="14">
        <v>0.33309619611976798</v>
      </c>
      <c r="I11" s="14" t="s">
        <v>76</v>
      </c>
      <c r="J11" s="14"/>
      <c r="K11" s="14">
        <v>0.28363418726466499</v>
      </c>
      <c r="L11" s="14" t="s">
        <v>76</v>
      </c>
      <c r="M11" s="14" t="s">
        <v>76</v>
      </c>
      <c r="N11" s="14"/>
      <c r="O11" s="14">
        <v>0.29230269195368902</v>
      </c>
      <c r="P11" s="14">
        <v>0.22672418523990401</v>
      </c>
      <c r="Q11" s="14"/>
      <c r="R11" s="14">
        <v>0.20936385943008401</v>
      </c>
      <c r="S11" s="14">
        <v>0.34699998915757202</v>
      </c>
      <c r="T11" s="14">
        <v>0.30532476603933001</v>
      </c>
      <c r="U11" s="14">
        <v>0.29896079355829502</v>
      </c>
      <c r="V11" s="14">
        <v>0.30102803540197898</v>
      </c>
      <c r="W11" s="14">
        <v>0.322701240518387</v>
      </c>
      <c r="X11" s="14">
        <v>0.336219007408318</v>
      </c>
      <c r="Y11" s="14">
        <v>0.17158767539575701</v>
      </c>
      <c r="Z11" s="14">
        <v>0.21799249057481301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0.26649636348603001</v>
      </c>
      <c r="AN11" s="14">
        <v>0.32771066098847002</v>
      </c>
    </row>
    <row r="12" spans="2:40" x14ac:dyDescent="0.35">
      <c r="B12" s="15" t="s">
        <v>68</v>
      </c>
      <c r="C12" s="14">
        <v>0.12242165122137499</v>
      </c>
      <c r="D12" s="14">
        <v>0.108176300628946</v>
      </c>
      <c r="E12" s="14">
        <v>0.13861521354077</v>
      </c>
      <c r="F12" s="14"/>
      <c r="G12" s="14">
        <v>0.10450731074606601</v>
      </c>
      <c r="H12" s="14">
        <v>0.14423270468073601</v>
      </c>
      <c r="I12" s="14" t="s">
        <v>76</v>
      </c>
      <c r="J12" s="14"/>
      <c r="K12" s="14">
        <v>0.12242165122137499</v>
      </c>
      <c r="L12" s="14" t="s">
        <v>76</v>
      </c>
      <c r="M12" s="14" t="s">
        <v>76</v>
      </c>
      <c r="N12" s="14"/>
      <c r="O12" s="14">
        <v>0.12687196197581199</v>
      </c>
      <c r="P12" s="14">
        <v>8.6835754371160298E-2</v>
      </c>
      <c r="Q12" s="14"/>
      <c r="R12" s="14">
        <v>4.8584064423347999E-2</v>
      </c>
      <c r="S12" s="14">
        <v>0.13443268098952799</v>
      </c>
      <c r="T12" s="14">
        <v>8.6451589589772296E-2</v>
      </c>
      <c r="U12" s="14">
        <v>0.13393161280367699</v>
      </c>
      <c r="V12" s="14">
        <v>0.14849461130154401</v>
      </c>
      <c r="W12" s="14">
        <v>0.13233797562948099</v>
      </c>
      <c r="X12" s="14">
        <v>0.13436924068391901</v>
      </c>
      <c r="Y12" s="14">
        <v>0.22825981246370999</v>
      </c>
      <c r="Z12" s="14">
        <v>0.14809693579614999</v>
      </c>
      <c r="AA12" s="14"/>
      <c r="AB12" s="14" t="s">
        <v>76</v>
      </c>
      <c r="AC12" s="14" t="s">
        <v>76</v>
      </c>
      <c r="AD12" s="14" t="s">
        <v>76</v>
      </c>
      <c r="AE12" s="14" t="s">
        <v>76</v>
      </c>
      <c r="AF12" s="14"/>
      <c r="AG12" s="14" t="s">
        <v>76</v>
      </c>
      <c r="AH12" s="14" t="s">
        <v>76</v>
      </c>
      <c r="AI12" s="14"/>
      <c r="AJ12" s="14" t="s">
        <v>76</v>
      </c>
      <c r="AK12" s="14" t="s">
        <v>76</v>
      </c>
      <c r="AL12" s="14"/>
      <c r="AM12" s="14">
        <v>8.9052694088556095E-2</v>
      </c>
      <c r="AN12" s="14">
        <v>0.250346457797541</v>
      </c>
    </row>
    <row r="13" spans="2:40" ht="29" x14ac:dyDescent="0.35">
      <c r="B13" s="15" t="s">
        <v>69</v>
      </c>
      <c r="C13" s="14">
        <v>9.2321489539002197E-2</v>
      </c>
      <c r="D13" s="14">
        <v>9.7380445026258394E-2</v>
      </c>
      <c r="E13" s="14">
        <v>8.7151562862487805E-2</v>
      </c>
      <c r="F13" s="14"/>
      <c r="G13" s="14">
        <v>0.14992781291795301</v>
      </c>
      <c r="H13" s="14">
        <v>2.2184684863035299E-2</v>
      </c>
      <c r="I13" s="14" t="s">
        <v>76</v>
      </c>
      <c r="J13" s="14"/>
      <c r="K13" s="14">
        <v>9.2321489539002197E-2</v>
      </c>
      <c r="L13" s="14" t="s">
        <v>76</v>
      </c>
      <c r="M13" s="14" t="s">
        <v>76</v>
      </c>
      <c r="N13" s="14"/>
      <c r="O13" s="14">
        <v>9.5017755760356801E-2</v>
      </c>
      <c r="P13" s="14">
        <v>4.9210040045164202E-2</v>
      </c>
      <c r="Q13" s="14"/>
      <c r="R13" s="14">
        <v>0.105327832171199</v>
      </c>
      <c r="S13" s="14">
        <v>0.113571908476468</v>
      </c>
      <c r="T13" s="14">
        <v>0.17707142379708399</v>
      </c>
      <c r="U13" s="14">
        <v>1.7074560623107801E-2</v>
      </c>
      <c r="V13" s="14">
        <v>3.8175404737249799E-2</v>
      </c>
      <c r="W13" s="14">
        <v>6.6702279518184596E-2</v>
      </c>
      <c r="X13" s="14">
        <v>7.0856241423958993E-2</v>
      </c>
      <c r="Y13" s="14">
        <v>7.1515418001936795E-2</v>
      </c>
      <c r="Z13" s="14">
        <v>0.133186550034913</v>
      </c>
      <c r="AA13" s="14"/>
      <c r="AB13" s="14" t="s">
        <v>76</v>
      </c>
      <c r="AC13" s="14" t="s">
        <v>76</v>
      </c>
      <c r="AD13" s="14" t="s">
        <v>76</v>
      </c>
      <c r="AE13" s="14" t="s">
        <v>76</v>
      </c>
      <c r="AF13" s="14"/>
      <c r="AG13" s="14" t="s">
        <v>76</v>
      </c>
      <c r="AH13" s="14" t="s">
        <v>76</v>
      </c>
      <c r="AI13" s="14"/>
      <c r="AJ13" s="14" t="s">
        <v>76</v>
      </c>
      <c r="AK13" s="14" t="s">
        <v>76</v>
      </c>
      <c r="AL13" s="14"/>
      <c r="AM13" s="14">
        <v>8.12561866719992E-2</v>
      </c>
      <c r="AN13" s="14">
        <v>7.4643135021353502E-2</v>
      </c>
    </row>
    <row r="14" spans="2:40" x14ac:dyDescent="0.35">
      <c r="B14" s="15" t="s">
        <v>70</v>
      </c>
      <c r="C14" s="20">
        <v>3.0854912554841501E-2</v>
      </c>
      <c r="D14" s="20">
        <v>2.3161903329233E-2</v>
      </c>
      <c r="E14" s="20">
        <v>3.6849346258974597E-2</v>
      </c>
      <c r="F14" s="20"/>
      <c r="G14" s="20">
        <v>4.9406854725453302E-2</v>
      </c>
      <c r="H14" s="20">
        <v>8.2675667903752605E-3</v>
      </c>
      <c r="I14" s="20" t="s">
        <v>76</v>
      </c>
      <c r="J14" s="20"/>
      <c r="K14" s="20">
        <v>3.0854912554841501E-2</v>
      </c>
      <c r="L14" s="20" t="s">
        <v>76</v>
      </c>
      <c r="M14" s="20" t="s">
        <v>76</v>
      </c>
      <c r="N14" s="20"/>
      <c r="O14" s="20">
        <v>3.08508283416692E-2</v>
      </c>
      <c r="P14" s="20">
        <v>1.8385597542266902E-2</v>
      </c>
      <c r="Q14" s="20"/>
      <c r="R14" s="20">
        <v>7.0532563356585599E-3</v>
      </c>
      <c r="S14" s="20">
        <v>3.74178579685117E-2</v>
      </c>
      <c r="T14" s="20">
        <v>4.7738345579987303E-2</v>
      </c>
      <c r="U14" s="20">
        <v>2.5773619461873499E-2</v>
      </c>
      <c r="V14" s="20">
        <v>5.5049959698111203E-2</v>
      </c>
      <c r="W14" s="20">
        <v>0</v>
      </c>
      <c r="X14" s="20">
        <v>4.8387518113334499E-2</v>
      </c>
      <c r="Y14" s="20">
        <v>0</v>
      </c>
      <c r="Z14" s="20">
        <v>4.6640561824630798E-2</v>
      </c>
      <c r="AA14" s="20"/>
      <c r="AB14" s="20" t="s">
        <v>76</v>
      </c>
      <c r="AC14" s="20" t="s">
        <v>76</v>
      </c>
      <c r="AD14" s="20" t="s">
        <v>76</v>
      </c>
      <c r="AE14" s="20" t="s">
        <v>76</v>
      </c>
      <c r="AF14" s="20"/>
      <c r="AG14" s="20" t="s">
        <v>76</v>
      </c>
      <c r="AH14" s="20" t="s">
        <v>76</v>
      </c>
      <c r="AI14" s="20"/>
      <c r="AJ14" s="20" t="s">
        <v>76</v>
      </c>
      <c r="AK14" s="20" t="s">
        <v>76</v>
      </c>
      <c r="AL14" s="20"/>
      <c r="AM14" s="20">
        <v>3.2091484461200602E-2</v>
      </c>
      <c r="AN14" s="20">
        <v>1.9460092026505098E-2</v>
      </c>
    </row>
    <row r="15" spans="2:40" x14ac:dyDescent="0.35">
      <c r="B15" s="16" t="s">
        <v>89</v>
      </c>
    </row>
    <row r="16" spans="2:40" x14ac:dyDescent="0.35">
      <c r="B16" t="s">
        <v>72</v>
      </c>
    </row>
    <row r="17" spans="2:2" x14ac:dyDescent="0.35">
      <c r="B17" t="s">
        <v>73</v>
      </c>
    </row>
    <row r="19" spans="2:2" x14ac:dyDescent="0.35">
      <c r="B19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AN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84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938</v>
      </c>
      <c r="D7" s="10">
        <v>503</v>
      </c>
      <c r="E7" s="10">
        <v>433</v>
      </c>
      <c r="F7" s="10"/>
      <c r="G7" s="10">
        <v>429</v>
      </c>
      <c r="H7" s="10">
        <v>509</v>
      </c>
      <c r="I7" s="10" t="s">
        <v>75</v>
      </c>
      <c r="J7" s="10"/>
      <c r="K7" s="10">
        <v>938</v>
      </c>
      <c r="L7" s="10" t="s">
        <v>75</v>
      </c>
      <c r="M7" s="10" t="s">
        <v>75</v>
      </c>
      <c r="N7" s="10"/>
      <c r="O7" s="10">
        <v>827</v>
      </c>
      <c r="P7" s="10">
        <v>94</v>
      </c>
      <c r="Q7" s="10"/>
      <c r="R7" s="10">
        <v>134</v>
      </c>
      <c r="S7" s="10">
        <v>154</v>
      </c>
      <c r="T7" s="10">
        <v>99</v>
      </c>
      <c r="U7" s="10">
        <v>95</v>
      </c>
      <c r="V7" s="10">
        <v>87</v>
      </c>
      <c r="W7" s="10">
        <v>121</v>
      </c>
      <c r="X7" s="10">
        <v>67</v>
      </c>
      <c r="Y7" s="10">
        <v>44</v>
      </c>
      <c r="Z7" s="10">
        <v>137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611</v>
      </c>
      <c r="AN7" s="10">
        <v>169</v>
      </c>
    </row>
    <row r="8" spans="2:40" ht="30" customHeight="1" x14ac:dyDescent="0.35">
      <c r="B8" s="11" t="s">
        <v>20</v>
      </c>
      <c r="C8" s="11">
        <v>1018</v>
      </c>
      <c r="D8" s="11">
        <v>532</v>
      </c>
      <c r="E8" s="11">
        <v>484</v>
      </c>
      <c r="F8" s="11"/>
      <c r="G8" s="11">
        <v>559</v>
      </c>
      <c r="H8" s="11">
        <v>459</v>
      </c>
      <c r="I8" s="11" t="s">
        <v>75</v>
      </c>
      <c r="J8" s="11"/>
      <c r="K8" s="11">
        <v>1018</v>
      </c>
      <c r="L8" s="11" t="s">
        <v>75</v>
      </c>
      <c r="M8" s="11" t="s">
        <v>75</v>
      </c>
      <c r="N8" s="11"/>
      <c r="O8" s="11">
        <v>901</v>
      </c>
      <c r="P8" s="11">
        <v>100</v>
      </c>
      <c r="Q8" s="11"/>
      <c r="R8" s="11">
        <v>162</v>
      </c>
      <c r="S8" s="11">
        <v>153</v>
      </c>
      <c r="T8" s="11">
        <v>111</v>
      </c>
      <c r="U8" s="11">
        <v>116</v>
      </c>
      <c r="V8" s="11">
        <v>95</v>
      </c>
      <c r="W8" s="11">
        <v>103</v>
      </c>
      <c r="X8" s="11">
        <v>108</v>
      </c>
      <c r="Y8" s="11">
        <v>46</v>
      </c>
      <c r="Z8" s="11">
        <v>123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673</v>
      </c>
      <c r="AN8" s="11">
        <v>174</v>
      </c>
    </row>
    <row r="9" spans="2:40" x14ac:dyDescent="0.35">
      <c r="B9" s="15" t="s">
        <v>65</v>
      </c>
      <c r="C9" s="14">
        <v>0.53255416488331697</v>
      </c>
      <c r="D9" s="14">
        <v>0.43894858717737301</v>
      </c>
      <c r="E9" s="14">
        <v>0.63519850674814304</v>
      </c>
      <c r="F9" s="14"/>
      <c r="G9" s="14">
        <v>0.58058814251345203</v>
      </c>
      <c r="H9" s="14">
        <v>0.474071874932393</v>
      </c>
      <c r="I9" s="14" t="s">
        <v>76</v>
      </c>
      <c r="J9" s="14"/>
      <c r="K9" s="14">
        <v>0.53255416488331697</v>
      </c>
      <c r="L9" s="14" t="s">
        <v>76</v>
      </c>
      <c r="M9" s="14" t="s">
        <v>76</v>
      </c>
      <c r="N9" s="14"/>
      <c r="O9" s="14">
        <v>0.53686924517869095</v>
      </c>
      <c r="P9" s="14">
        <v>0.49059220631818601</v>
      </c>
      <c r="Q9" s="14"/>
      <c r="R9" s="14">
        <v>0.49004293194006798</v>
      </c>
      <c r="S9" s="14">
        <v>0.493915851028147</v>
      </c>
      <c r="T9" s="14">
        <v>0.46065339930648302</v>
      </c>
      <c r="U9" s="14">
        <v>0.55733269788477702</v>
      </c>
      <c r="V9" s="14">
        <v>0.52126640345491404</v>
      </c>
      <c r="W9" s="14">
        <v>0.53944537961293104</v>
      </c>
      <c r="X9" s="14">
        <v>0.61085129674941796</v>
      </c>
      <c r="Y9" s="14">
        <v>0.62232060737949901</v>
      </c>
      <c r="Z9" s="14">
        <v>0.57893838287921295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0.52483529134856899</v>
      </c>
      <c r="AN9" s="14">
        <v>0.54516000311952195</v>
      </c>
    </row>
    <row r="10" spans="2:40" x14ac:dyDescent="0.35">
      <c r="B10" s="15" t="s">
        <v>66</v>
      </c>
      <c r="C10" s="14">
        <v>0.27938535949223198</v>
      </c>
      <c r="D10" s="14">
        <v>0.33910160408380002</v>
      </c>
      <c r="E10" s="14">
        <v>0.21321480796558101</v>
      </c>
      <c r="F10" s="14"/>
      <c r="G10" s="14">
        <v>0.25120221044284202</v>
      </c>
      <c r="H10" s="14">
        <v>0.31369888453752298</v>
      </c>
      <c r="I10" s="14" t="s">
        <v>76</v>
      </c>
      <c r="J10" s="14"/>
      <c r="K10" s="14">
        <v>0.27938535949223198</v>
      </c>
      <c r="L10" s="14" t="s">
        <v>76</v>
      </c>
      <c r="M10" s="14" t="s">
        <v>76</v>
      </c>
      <c r="N10" s="14"/>
      <c r="O10" s="14">
        <v>0.27362869685781699</v>
      </c>
      <c r="P10" s="14">
        <v>0.32783255054681598</v>
      </c>
      <c r="Q10" s="14"/>
      <c r="R10" s="14">
        <v>0.31782205213081</v>
      </c>
      <c r="S10" s="14">
        <v>0.295374385965055</v>
      </c>
      <c r="T10" s="14">
        <v>0.28851973796952202</v>
      </c>
      <c r="U10" s="14">
        <v>0.248053060928807</v>
      </c>
      <c r="V10" s="14">
        <v>0.30827878670735998</v>
      </c>
      <c r="W10" s="14">
        <v>0.28869800986257399</v>
      </c>
      <c r="X10" s="14">
        <v>0.22023415339270799</v>
      </c>
      <c r="Y10" s="14">
        <v>0.27985124312238902</v>
      </c>
      <c r="Z10" s="14">
        <v>0.25194803064797999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0.28484950977520801</v>
      </c>
      <c r="AN10" s="14">
        <v>0.28051703732597499</v>
      </c>
    </row>
    <row r="11" spans="2:40" x14ac:dyDescent="0.35">
      <c r="B11" s="15" t="s">
        <v>67</v>
      </c>
      <c r="C11" s="14">
        <v>0.12311254059299399</v>
      </c>
      <c r="D11" s="14">
        <v>0.14541135963572099</v>
      </c>
      <c r="E11" s="14">
        <v>9.9110484610528196E-2</v>
      </c>
      <c r="F11" s="14"/>
      <c r="G11" s="14">
        <v>0.10457465981410601</v>
      </c>
      <c r="H11" s="14">
        <v>0.145682766343077</v>
      </c>
      <c r="I11" s="14" t="s">
        <v>76</v>
      </c>
      <c r="J11" s="14"/>
      <c r="K11" s="14">
        <v>0.12311254059299399</v>
      </c>
      <c r="L11" s="14" t="s">
        <v>76</v>
      </c>
      <c r="M11" s="14" t="s">
        <v>76</v>
      </c>
      <c r="N11" s="14"/>
      <c r="O11" s="14">
        <v>0.12097425087211</v>
      </c>
      <c r="P11" s="14">
        <v>0.15405319767064199</v>
      </c>
      <c r="Q11" s="14"/>
      <c r="R11" s="14">
        <v>8.3018665531034305E-2</v>
      </c>
      <c r="S11" s="14">
        <v>0.15114597882564601</v>
      </c>
      <c r="T11" s="14">
        <v>0.15389122732636901</v>
      </c>
      <c r="U11" s="14">
        <v>0.13456289994576501</v>
      </c>
      <c r="V11" s="14">
        <v>0.132044475935443</v>
      </c>
      <c r="W11" s="14">
        <v>0.130102805047599</v>
      </c>
      <c r="X11" s="14">
        <v>0.14488014228325799</v>
      </c>
      <c r="Y11" s="14">
        <v>7.9125323737880601E-2</v>
      </c>
      <c r="Z11" s="14">
        <v>8.6920093858324804E-2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0.113493161829647</v>
      </c>
      <c r="AN11" s="14">
        <v>0.14562877600061699</v>
      </c>
    </row>
    <row r="12" spans="2:40" x14ac:dyDescent="0.35">
      <c r="B12" s="15" t="s">
        <v>68</v>
      </c>
      <c r="C12" s="14">
        <v>3.9031314506219203E-2</v>
      </c>
      <c r="D12" s="14">
        <v>5.0732960153447401E-2</v>
      </c>
      <c r="E12" s="14">
        <v>2.6326472226611101E-2</v>
      </c>
      <c r="F12" s="14"/>
      <c r="G12" s="14">
        <v>2.8343622453414201E-2</v>
      </c>
      <c r="H12" s="14">
        <v>5.2043784769481301E-2</v>
      </c>
      <c r="I12" s="14" t="s">
        <v>76</v>
      </c>
      <c r="J12" s="14"/>
      <c r="K12" s="14">
        <v>3.9031314506219203E-2</v>
      </c>
      <c r="L12" s="14" t="s">
        <v>76</v>
      </c>
      <c r="M12" s="14" t="s">
        <v>76</v>
      </c>
      <c r="N12" s="14"/>
      <c r="O12" s="14">
        <v>4.1240458562567202E-2</v>
      </c>
      <c r="P12" s="14">
        <v>9.5063459643859906E-3</v>
      </c>
      <c r="Q12" s="14"/>
      <c r="R12" s="14">
        <v>4.6589002471836199E-2</v>
      </c>
      <c r="S12" s="14">
        <v>5.4413618804860599E-2</v>
      </c>
      <c r="T12" s="14">
        <v>4.1235360632603101E-2</v>
      </c>
      <c r="U12" s="14">
        <v>6.0051341240651097E-2</v>
      </c>
      <c r="V12" s="14">
        <v>3.8410333902282698E-2</v>
      </c>
      <c r="W12" s="14">
        <v>2.7313210959826899E-2</v>
      </c>
      <c r="X12" s="14">
        <v>0</v>
      </c>
      <c r="Y12" s="14">
        <v>0</v>
      </c>
      <c r="Z12" s="14">
        <v>4.7137479913420002E-2</v>
      </c>
      <c r="AA12" s="14"/>
      <c r="AB12" s="14" t="s">
        <v>76</v>
      </c>
      <c r="AC12" s="14" t="s">
        <v>76</v>
      </c>
      <c r="AD12" s="14" t="s">
        <v>76</v>
      </c>
      <c r="AE12" s="14" t="s">
        <v>76</v>
      </c>
      <c r="AF12" s="14"/>
      <c r="AG12" s="14" t="s">
        <v>76</v>
      </c>
      <c r="AH12" s="14" t="s">
        <v>76</v>
      </c>
      <c r="AI12" s="14"/>
      <c r="AJ12" s="14" t="s">
        <v>76</v>
      </c>
      <c r="AK12" s="14" t="s">
        <v>76</v>
      </c>
      <c r="AL12" s="14"/>
      <c r="AM12" s="14">
        <v>3.90492265240431E-2</v>
      </c>
      <c r="AN12" s="14">
        <v>2.8694183553885502E-2</v>
      </c>
    </row>
    <row r="13" spans="2:40" ht="29" x14ac:dyDescent="0.35">
      <c r="B13" s="15" t="s">
        <v>69</v>
      </c>
      <c r="C13" s="14">
        <v>2.1519953274081599E-2</v>
      </c>
      <c r="D13" s="14">
        <v>1.9029750957535299E-2</v>
      </c>
      <c r="E13" s="14">
        <v>2.4351230601064099E-2</v>
      </c>
      <c r="F13" s="14"/>
      <c r="G13" s="14">
        <v>2.89834825136196E-2</v>
      </c>
      <c r="H13" s="14">
        <v>1.2432963135458899E-2</v>
      </c>
      <c r="I13" s="14" t="s">
        <v>76</v>
      </c>
      <c r="J13" s="14"/>
      <c r="K13" s="14">
        <v>2.1519953274081599E-2</v>
      </c>
      <c r="L13" s="14" t="s">
        <v>76</v>
      </c>
      <c r="M13" s="14" t="s">
        <v>76</v>
      </c>
      <c r="N13" s="14"/>
      <c r="O13" s="14">
        <v>2.33737549522205E-2</v>
      </c>
      <c r="P13" s="14">
        <v>8.5093535355831793E-3</v>
      </c>
      <c r="Q13" s="14"/>
      <c r="R13" s="14">
        <v>4.51667152638952E-2</v>
      </c>
      <c r="S13" s="14">
        <v>5.1501653762912897E-3</v>
      </c>
      <c r="T13" s="14">
        <v>5.5700274765022401E-2</v>
      </c>
      <c r="U13" s="14">
        <v>0</v>
      </c>
      <c r="V13" s="14">
        <v>0</v>
      </c>
      <c r="W13" s="14">
        <v>6.74393210380756E-3</v>
      </c>
      <c r="X13" s="14">
        <v>2.4034407574616001E-2</v>
      </c>
      <c r="Y13" s="14">
        <v>1.8702825760231599E-2</v>
      </c>
      <c r="Z13" s="14">
        <v>2.7994346574520899E-2</v>
      </c>
      <c r="AA13" s="14"/>
      <c r="AB13" s="14" t="s">
        <v>76</v>
      </c>
      <c r="AC13" s="14" t="s">
        <v>76</v>
      </c>
      <c r="AD13" s="14" t="s">
        <v>76</v>
      </c>
      <c r="AE13" s="14" t="s">
        <v>76</v>
      </c>
      <c r="AF13" s="14"/>
      <c r="AG13" s="14" t="s">
        <v>76</v>
      </c>
      <c r="AH13" s="14" t="s">
        <v>76</v>
      </c>
      <c r="AI13" s="14"/>
      <c r="AJ13" s="14" t="s">
        <v>76</v>
      </c>
      <c r="AK13" s="14" t="s">
        <v>76</v>
      </c>
      <c r="AL13" s="14"/>
      <c r="AM13" s="14">
        <v>3.1125382474875299E-2</v>
      </c>
      <c r="AN13" s="14">
        <v>0</v>
      </c>
    </row>
    <row r="14" spans="2:40" x14ac:dyDescent="0.35">
      <c r="B14" s="15" t="s">
        <v>70</v>
      </c>
      <c r="C14" s="20">
        <v>4.3966672511561297E-3</v>
      </c>
      <c r="D14" s="20">
        <v>6.7757379921229797E-3</v>
      </c>
      <c r="E14" s="20">
        <v>1.7984978480723899E-3</v>
      </c>
      <c r="F14" s="20"/>
      <c r="G14" s="20">
        <v>6.3078822625665101E-3</v>
      </c>
      <c r="H14" s="20">
        <v>2.0697262820672298E-3</v>
      </c>
      <c r="I14" s="20" t="s">
        <v>76</v>
      </c>
      <c r="J14" s="20"/>
      <c r="K14" s="20">
        <v>4.3966672511561297E-3</v>
      </c>
      <c r="L14" s="20" t="s">
        <v>76</v>
      </c>
      <c r="M14" s="20" t="s">
        <v>76</v>
      </c>
      <c r="N14" s="20"/>
      <c r="O14" s="20">
        <v>3.9135935765946504E-3</v>
      </c>
      <c r="P14" s="20">
        <v>9.5063459643859906E-3</v>
      </c>
      <c r="Q14" s="20"/>
      <c r="R14" s="20">
        <v>1.73606326623565E-2</v>
      </c>
      <c r="S14" s="20">
        <v>0</v>
      </c>
      <c r="T14" s="20">
        <v>0</v>
      </c>
      <c r="U14" s="20">
        <v>0</v>
      </c>
      <c r="V14" s="20">
        <v>0</v>
      </c>
      <c r="W14" s="20">
        <v>7.6966624132609402E-3</v>
      </c>
      <c r="X14" s="20">
        <v>0</v>
      </c>
      <c r="Y14" s="20">
        <v>0</v>
      </c>
      <c r="Z14" s="20">
        <v>7.0616661265406003E-3</v>
      </c>
      <c r="AA14" s="20"/>
      <c r="AB14" s="20" t="s">
        <v>76</v>
      </c>
      <c r="AC14" s="20" t="s">
        <v>76</v>
      </c>
      <c r="AD14" s="20" t="s">
        <v>76</v>
      </c>
      <c r="AE14" s="20" t="s">
        <v>76</v>
      </c>
      <c r="AF14" s="20"/>
      <c r="AG14" s="20" t="s">
        <v>76</v>
      </c>
      <c r="AH14" s="20" t="s">
        <v>76</v>
      </c>
      <c r="AI14" s="20"/>
      <c r="AJ14" s="20" t="s">
        <v>76</v>
      </c>
      <c r="AK14" s="20" t="s">
        <v>76</v>
      </c>
      <c r="AL14" s="20"/>
      <c r="AM14" s="20">
        <v>6.64742804765759E-3</v>
      </c>
      <c r="AN14" s="20">
        <v>0</v>
      </c>
    </row>
    <row r="15" spans="2:40" x14ac:dyDescent="0.35">
      <c r="B15" s="16" t="s">
        <v>89</v>
      </c>
    </row>
    <row r="16" spans="2:40" x14ac:dyDescent="0.35">
      <c r="B16" t="s">
        <v>72</v>
      </c>
    </row>
    <row r="17" spans="2:2" x14ac:dyDescent="0.35">
      <c r="B17" t="s">
        <v>73</v>
      </c>
    </row>
    <row r="19" spans="2:2" x14ac:dyDescent="0.35">
      <c r="B19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2:AN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85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938</v>
      </c>
      <c r="D7" s="10">
        <v>503</v>
      </c>
      <c r="E7" s="10">
        <v>433</v>
      </c>
      <c r="F7" s="10"/>
      <c r="G7" s="10">
        <v>429</v>
      </c>
      <c r="H7" s="10">
        <v>509</v>
      </c>
      <c r="I7" s="10" t="s">
        <v>75</v>
      </c>
      <c r="J7" s="10"/>
      <c r="K7" s="10">
        <v>938</v>
      </c>
      <c r="L7" s="10" t="s">
        <v>75</v>
      </c>
      <c r="M7" s="10" t="s">
        <v>75</v>
      </c>
      <c r="N7" s="10"/>
      <c r="O7" s="10">
        <v>827</v>
      </c>
      <c r="P7" s="10">
        <v>94</v>
      </c>
      <c r="Q7" s="10"/>
      <c r="R7" s="10">
        <v>134</v>
      </c>
      <c r="S7" s="10">
        <v>154</v>
      </c>
      <c r="T7" s="10">
        <v>99</v>
      </c>
      <c r="U7" s="10">
        <v>95</v>
      </c>
      <c r="V7" s="10">
        <v>87</v>
      </c>
      <c r="W7" s="10">
        <v>121</v>
      </c>
      <c r="X7" s="10">
        <v>67</v>
      </c>
      <c r="Y7" s="10">
        <v>44</v>
      </c>
      <c r="Z7" s="10">
        <v>137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611</v>
      </c>
      <c r="AN7" s="10">
        <v>169</v>
      </c>
    </row>
    <row r="8" spans="2:40" ht="30" customHeight="1" x14ac:dyDescent="0.35">
      <c r="B8" s="11" t="s">
        <v>20</v>
      </c>
      <c r="C8" s="11">
        <v>1018</v>
      </c>
      <c r="D8" s="11">
        <v>532</v>
      </c>
      <c r="E8" s="11">
        <v>484</v>
      </c>
      <c r="F8" s="11"/>
      <c r="G8" s="11">
        <v>559</v>
      </c>
      <c r="H8" s="11">
        <v>459</v>
      </c>
      <c r="I8" s="11" t="s">
        <v>75</v>
      </c>
      <c r="J8" s="11"/>
      <c r="K8" s="11">
        <v>1018</v>
      </c>
      <c r="L8" s="11" t="s">
        <v>75</v>
      </c>
      <c r="M8" s="11" t="s">
        <v>75</v>
      </c>
      <c r="N8" s="11"/>
      <c r="O8" s="11">
        <v>901</v>
      </c>
      <c r="P8" s="11">
        <v>100</v>
      </c>
      <c r="Q8" s="11"/>
      <c r="R8" s="11">
        <v>162</v>
      </c>
      <c r="S8" s="11">
        <v>153</v>
      </c>
      <c r="T8" s="11">
        <v>111</v>
      </c>
      <c r="U8" s="11">
        <v>116</v>
      </c>
      <c r="V8" s="11">
        <v>95</v>
      </c>
      <c r="W8" s="11">
        <v>103</v>
      </c>
      <c r="X8" s="11">
        <v>108</v>
      </c>
      <c r="Y8" s="11">
        <v>46</v>
      </c>
      <c r="Z8" s="11">
        <v>123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673</v>
      </c>
      <c r="AN8" s="11">
        <v>174</v>
      </c>
    </row>
    <row r="9" spans="2:40" x14ac:dyDescent="0.35">
      <c r="B9" s="15" t="s">
        <v>65</v>
      </c>
      <c r="C9" s="14">
        <v>0.117112903377088</v>
      </c>
      <c r="D9" s="14">
        <v>0.10106523651077599</v>
      </c>
      <c r="E9" s="14">
        <v>0.135266303792489</v>
      </c>
      <c r="F9" s="14"/>
      <c r="G9" s="14">
        <v>0.137108550619464</v>
      </c>
      <c r="H9" s="14">
        <v>9.2767818970599603E-2</v>
      </c>
      <c r="I9" s="14" t="s">
        <v>76</v>
      </c>
      <c r="J9" s="14"/>
      <c r="K9" s="14">
        <v>0.117112903377088</v>
      </c>
      <c r="L9" s="14" t="s">
        <v>76</v>
      </c>
      <c r="M9" s="14" t="s">
        <v>76</v>
      </c>
      <c r="N9" s="14"/>
      <c r="O9" s="14">
        <v>0.110897747840993</v>
      </c>
      <c r="P9" s="14">
        <v>0.17574211893414701</v>
      </c>
      <c r="Q9" s="14"/>
      <c r="R9" s="14">
        <v>0.17101340736223</v>
      </c>
      <c r="S9" s="14">
        <v>9.2944528044739405E-2</v>
      </c>
      <c r="T9" s="14">
        <v>7.5093599689161794E-2</v>
      </c>
      <c r="U9" s="14">
        <v>0.15343565577754101</v>
      </c>
      <c r="V9" s="14">
        <v>0.130380871729813</v>
      </c>
      <c r="W9" s="14">
        <v>0.11523693773829601</v>
      </c>
      <c r="X9" s="14">
        <v>5.0383554518066198E-2</v>
      </c>
      <c r="Y9" s="14">
        <v>0.14823301755583601</v>
      </c>
      <c r="Z9" s="14">
        <v>0.118166228599051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0.13976697572642</v>
      </c>
      <c r="AN9" s="14">
        <v>7.6749171134644606E-2</v>
      </c>
    </row>
    <row r="10" spans="2:40" x14ac:dyDescent="0.35">
      <c r="B10" s="15" t="s">
        <v>66</v>
      </c>
      <c r="C10" s="14">
        <v>0.21484424416814599</v>
      </c>
      <c r="D10" s="14">
        <v>0.20364802384726799</v>
      </c>
      <c r="E10" s="14">
        <v>0.22640129225021499</v>
      </c>
      <c r="F10" s="14"/>
      <c r="G10" s="14">
        <v>0.17510942674654201</v>
      </c>
      <c r="H10" s="14">
        <v>0.26322214723273402</v>
      </c>
      <c r="I10" s="14" t="s">
        <v>76</v>
      </c>
      <c r="J10" s="14"/>
      <c r="K10" s="14">
        <v>0.21484424416814599</v>
      </c>
      <c r="L10" s="14" t="s">
        <v>76</v>
      </c>
      <c r="M10" s="14" t="s">
        <v>76</v>
      </c>
      <c r="N10" s="14"/>
      <c r="O10" s="14">
        <v>0.20017410070303601</v>
      </c>
      <c r="P10" s="14">
        <v>0.35736863393425999</v>
      </c>
      <c r="Q10" s="14"/>
      <c r="R10" s="14">
        <v>0.25304040862604799</v>
      </c>
      <c r="S10" s="14">
        <v>0.177030171559486</v>
      </c>
      <c r="T10" s="14">
        <v>0.25034581850494703</v>
      </c>
      <c r="U10" s="14">
        <v>0.17907780575853099</v>
      </c>
      <c r="V10" s="14">
        <v>0.19911080158303501</v>
      </c>
      <c r="W10" s="14">
        <v>0.29392697139894602</v>
      </c>
      <c r="X10" s="14">
        <v>0.17095431001606201</v>
      </c>
      <c r="Y10" s="14">
        <v>0.17313750196187599</v>
      </c>
      <c r="Z10" s="14">
        <v>0.213514189422846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0.22987018843580101</v>
      </c>
      <c r="AN10" s="14">
        <v>0.13618316175103301</v>
      </c>
    </row>
    <row r="11" spans="2:40" x14ac:dyDescent="0.35">
      <c r="B11" s="15" t="s">
        <v>67</v>
      </c>
      <c r="C11" s="14">
        <v>0.27224139430757499</v>
      </c>
      <c r="D11" s="14">
        <v>0.26502917628742201</v>
      </c>
      <c r="E11" s="14">
        <v>0.281339395471919</v>
      </c>
      <c r="F11" s="14"/>
      <c r="G11" s="14">
        <v>0.20123909909436699</v>
      </c>
      <c r="H11" s="14">
        <v>0.35868805187596298</v>
      </c>
      <c r="I11" s="14" t="s">
        <v>76</v>
      </c>
      <c r="J11" s="14"/>
      <c r="K11" s="14">
        <v>0.27224139430757499</v>
      </c>
      <c r="L11" s="14" t="s">
        <v>76</v>
      </c>
      <c r="M11" s="14" t="s">
        <v>76</v>
      </c>
      <c r="N11" s="14"/>
      <c r="O11" s="14">
        <v>0.26895568313174301</v>
      </c>
      <c r="P11" s="14">
        <v>0.292117202300819</v>
      </c>
      <c r="Q11" s="14"/>
      <c r="R11" s="14">
        <v>0.28274893695293202</v>
      </c>
      <c r="S11" s="14">
        <v>0.278770732357772</v>
      </c>
      <c r="T11" s="14">
        <v>0.208192960807915</v>
      </c>
      <c r="U11" s="14">
        <v>0.259705421773198</v>
      </c>
      <c r="V11" s="14">
        <v>0.31183626012683402</v>
      </c>
      <c r="W11" s="14">
        <v>0.25367539413802298</v>
      </c>
      <c r="X11" s="14">
        <v>0.35436803143074203</v>
      </c>
      <c r="Y11" s="14">
        <v>0.197616618119032</v>
      </c>
      <c r="Z11" s="14">
        <v>0.26041057374806198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0.25817500399343302</v>
      </c>
      <c r="AN11" s="14">
        <v>0.31882500460679902</v>
      </c>
    </row>
    <row r="12" spans="2:40" x14ac:dyDescent="0.35">
      <c r="B12" s="15" t="s">
        <v>68</v>
      </c>
      <c r="C12" s="14">
        <v>0.146480726918405</v>
      </c>
      <c r="D12" s="14">
        <v>0.164405201653021</v>
      </c>
      <c r="E12" s="14">
        <v>0.12739040995449799</v>
      </c>
      <c r="F12" s="14"/>
      <c r="G12" s="14">
        <v>0.10901393163754</v>
      </c>
      <c r="H12" s="14">
        <v>0.19209726948374101</v>
      </c>
      <c r="I12" s="14" t="s">
        <v>76</v>
      </c>
      <c r="J12" s="14"/>
      <c r="K12" s="14">
        <v>0.146480726918405</v>
      </c>
      <c r="L12" s="14" t="s">
        <v>76</v>
      </c>
      <c r="M12" s="14" t="s">
        <v>76</v>
      </c>
      <c r="N12" s="14"/>
      <c r="O12" s="14">
        <v>0.14902402206462101</v>
      </c>
      <c r="P12" s="14">
        <v>0.124301997888956</v>
      </c>
      <c r="Q12" s="14"/>
      <c r="R12" s="14">
        <v>0.110055445917185</v>
      </c>
      <c r="S12" s="14">
        <v>0.20094791858026201</v>
      </c>
      <c r="T12" s="14">
        <v>0.16566255274442501</v>
      </c>
      <c r="U12" s="14">
        <v>0.194098950570122</v>
      </c>
      <c r="V12" s="14">
        <v>0.135065342122134</v>
      </c>
      <c r="W12" s="14">
        <v>0.119717797115598</v>
      </c>
      <c r="X12" s="14">
        <v>0.11205718363714599</v>
      </c>
      <c r="Y12" s="14">
        <v>0.19989872091685701</v>
      </c>
      <c r="Z12" s="14">
        <v>0.10602262089610399</v>
      </c>
      <c r="AA12" s="14"/>
      <c r="AB12" s="14" t="s">
        <v>76</v>
      </c>
      <c r="AC12" s="14" t="s">
        <v>76</v>
      </c>
      <c r="AD12" s="14" t="s">
        <v>76</v>
      </c>
      <c r="AE12" s="14" t="s">
        <v>76</v>
      </c>
      <c r="AF12" s="14"/>
      <c r="AG12" s="14" t="s">
        <v>76</v>
      </c>
      <c r="AH12" s="14" t="s">
        <v>76</v>
      </c>
      <c r="AI12" s="14"/>
      <c r="AJ12" s="14" t="s">
        <v>76</v>
      </c>
      <c r="AK12" s="14" t="s">
        <v>76</v>
      </c>
      <c r="AL12" s="14"/>
      <c r="AM12" s="14">
        <v>0.12020630162200401</v>
      </c>
      <c r="AN12" s="14">
        <v>0.24157458582119701</v>
      </c>
    </row>
    <row r="13" spans="2:40" ht="29" x14ac:dyDescent="0.35">
      <c r="B13" s="15" t="s">
        <v>69</v>
      </c>
      <c r="C13" s="14">
        <v>0.23052609096601501</v>
      </c>
      <c r="D13" s="14">
        <v>0.25109100976936499</v>
      </c>
      <c r="E13" s="14">
        <v>0.20629094490997599</v>
      </c>
      <c r="F13" s="14"/>
      <c r="G13" s="14">
        <v>0.348967938951386</v>
      </c>
      <c r="H13" s="14">
        <v>8.6320867123422199E-2</v>
      </c>
      <c r="I13" s="14" t="s">
        <v>76</v>
      </c>
      <c r="J13" s="14"/>
      <c r="K13" s="14">
        <v>0.23052609096601501</v>
      </c>
      <c r="L13" s="14" t="s">
        <v>76</v>
      </c>
      <c r="M13" s="14" t="s">
        <v>76</v>
      </c>
      <c r="N13" s="14"/>
      <c r="O13" s="14">
        <v>0.25097981523122298</v>
      </c>
      <c r="P13" s="14">
        <v>5.0470046941817698E-2</v>
      </c>
      <c r="Q13" s="14"/>
      <c r="R13" s="14">
        <v>0.17608854299525001</v>
      </c>
      <c r="S13" s="14">
        <v>0.227674072370461</v>
      </c>
      <c r="T13" s="14">
        <v>0.25901046903506703</v>
      </c>
      <c r="U13" s="14">
        <v>0.213682166120608</v>
      </c>
      <c r="V13" s="14">
        <v>0.21215522475041501</v>
      </c>
      <c r="W13" s="14">
        <v>0.20489265119105901</v>
      </c>
      <c r="X13" s="14">
        <v>0.27644734442171798</v>
      </c>
      <c r="Y13" s="14">
        <v>0.28111414144639901</v>
      </c>
      <c r="Z13" s="14">
        <v>0.27239250814382399</v>
      </c>
      <c r="AA13" s="14"/>
      <c r="AB13" s="14" t="s">
        <v>76</v>
      </c>
      <c r="AC13" s="14" t="s">
        <v>76</v>
      </c>
      <c r="AD13" s="14" t="s">
        <v>76</v>
      </c>
      <c r="AE13" s="14" t="s">
        <v>76</v>
      </c>
      <c r="AF13" s="14"/>
      <c r="AG13" s="14" t="s">
        <v>76</v>
      </c>
      <c r="AH13" s="14" t="s">
        <v>76</v>
      </c>
      <c r="AI13" s="14"/>
      <c r="AJ13" s="14" t="s">
        <v>76</v>
      </c>
      <c r="AK13" s="14" t="s">
        <v>76</v>
      </c>
      <c r="AL13" s="14"/>
      <c r="AM13" s="14">
        <v>0.22836777213551299</v>
      </c>
      <c r="AN13" s="14">
        <v>0.208132112086445</v>
      </c>
    </row>
    <row r="14" spans="2:40" x14ac:dyDescent="0.35">
      <c r="B14" s="15" t="s">
        <v>70</v>
      </c>
      <c r="C14" s="20">
        <v>1.8794640262771001E-2</v>
      </c>
      <c r="D14" s="20">
        <v>1.47613519321466E-2</v>
      </c>
      <c r="E14" s="20">
        <v>2.3311653620904399E-2</v>
      </c>
      <c r="F14" s="20"/>
      <c r="G14" s="20">
        <v>2.8561052950701101E-2</v>
      </c>
      <c r="H14" s="20">
        <v>6.9038453135394102E-3</v>
      </c>
      <c r="I14" s="20" t="s">
        <v>76</v>
      </c>
      <c r="J14" s="20"/>
      <c r="K14" s="20">
        <v>1.8794640262771001E-2</v>
      </c>
      <c r="L14" s="20" t="s">
        <v>76</v>
      </c>
      <c r="M14" s="20" t="s">
        <v>76</v>
      </c>
      <c r="N14" s="20"/>
      <c r="O14" s="20">
        <v>1.99686310283833E-2</v>
      </c>
      <c r="P14" s="20">
        <v>0</v>
      </c>
      <c r="Q14" s="20"/>
      <c r="R14" s="20">
        <v>7.0532581463543598E-3</v>
      </c>
      <c r="S14" s="20">
        <v>2.2632577087279698E-2</v>
      </c>
      <c r="T14" s="20">
        <v>4.1694599218483799E-2</v>
      </c>
      <c r="U14" s="20">
        <v>0</v>
      </c>
      <c r="V14" s="20">
        <v>1.14514996877678E-2</v>
      </c>
      <c r="W14" s="20">
        <v>1.2550248418077699E-2</v>
      </c>
      <c r="X14" s="20">
        <v>3.5789575976266003E-2</v>
      </c>
      <c r="Y14" s="20">
        <v>0</v>
      </c>
      <c r="Z14" s="20">
        <v>2.9493879190111899E-2</v>
      </c>
      <c r="AA14" s="20"/>
      <c r="AB14" s="20" t="s">
        <v>76</v>
      </c>
      <c r="AC14" s="20" t="s">
        <v>76</v>
      </c>
      <c r="AD14" s="20" t="s">
        <v>76</v>
      </c>
      <c r="AE14" s="20" t="s">
        <v>76</v>
      </c>
      <c r="AF14" s="20"/>
      <c r="AG14" s="20" t="s">
        <v>76</v>
      </c>
      <c r="AH14" s="20" t="s">
        <v>76</v>
      </c>
      <c r="AI14" s="20"/>
      <c r="AJ14" s="20" t="s">
        <v>76</v>
      </c>
      <c r="AK14" s="20" t="s">
        <v>76</v>
      </c>
      <c r="AL14" s="20"/>
      <c r="AM14" s="20">
        <v>2.3613758086828598E-2</v>
      </c>
      <c r="AN14" s="20">
        <v>1.8535964599879998E-2</v>
      </c>
    </row>
    <row r="15" spans="2:40" x14ac:dyDescent="0.35">
      <c r="B15" s="16" t="s">
        <v>89</v>
      </c>
    </row>
    <row r="16" spans="2:40" x14ac:dyDescent="0.35">
      <c r="B16" t="s">
        <v>72</v>
      </c>
    </row>
    <row r="17" spans="2:2" x14ac:dyDescent="0.35">
      <c r="B17" t="s">
        <v>73</v>
      </c>
    </row>
    <row r="19" spans="2:2" x14ac:dyDescent="0.35">
      <c r="B19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N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14" width="20.7265625" customWidth="1"/>
  </cols>
  <sheetData>
    <row r="2" spans="2:14" ht="40" customHeight="1" x14ac:dyDescent="0.35">
      <c r="D2" s="41" t="s">
        <v>71</v>
      </c>
      <c r="E2" s="38"/>
      <c r="F2" s="38"/>
      <c r="G2" s="38"/>
      <c r="H2" s="38"/>
      <c r="I2" s="38"/>
      <c r="J2" s="38"/>
      <c r="K2" s="38"/>
      <c r="L2" s="38"/>
      <c r="M2" s="38"/>
      <c r="N2" s="38"/>
    </row>
    <row r="6" spans="2:14" ht="50" customHeight="1" x14ac:dyDescent="0.35">
      <c r="B6" s="17" t="s">
        <v>15</v>
      </c>
      <c r="C6" s="17" t="s">
        <v>56</v>
      </c>
      <c r="D6" s="17" t="s">
        <v>57</v>
      </c>
      <c r="E6" s="17" t="s">
        <v>58</v>
      </c>
      <c r="F6" s="17" t="s">
        <v>86</v>
      </c>
      <c r="G6" s="17" t="s">
        <v>87</v>
      </c>
      <c r="H6" s="17" t="s">
        <v>88</v>
      </c>
      <c r="I6" s="17" t="s">
        <v>60</v>
      </c>
      <c r="J6" s="17" t="s">
        <v>61</v>
      </c>
      <c r="K6" s="17" t="s">
        <v>62</v>
      </c>
      <c r="L6" s="17" t="s">
        <v>63</v>
      </c>
      <c r="M6" s="17" t="s">
        <v>64</v>
      </c>
    </row>
    <row r="7" spans="2:14" x14ac:dyDescent="0.35">
      <c r="B7" s="15" t="s">
        <v>65</v>
      </c>
      <c r="C7" s="14">
        <v>0.22587000269045801</v>
      </c>
      <c r="D7" s="14">
        <v>0.26792908623933198</v>
      </c>
      <c r="E7" s="14">
        <v>0.29500142778225402</v>
      </c>
      <c r="F7" s="14">
        <v>0.129583600698537</v>
      </c>
      <c r="G7" s="14">
        <v>0.16462144528007</v>
      </c>
      <c r="H7" s="14">
        <v>0.123870297112088</v>
      </c>
      <c r="I7" s="14">
        <v>0.35577356826905598</v>
      </c>
      <c r="J7" s="14">
        <v>0.21565610339583799</v>
      </c>
      <c r="K7" s="14">
        <v>0.14348014944267901</v>
      </c>
      <c r="L7" s="14">
        <v>0.26785184039580001</v>
      </c>
      <c r="M7" s="14">
        <v>0.13058230098813101</v>
      </c>
    </row>
    <row r="8" spans="2:14" x14ac:dyDescent="0.35">
      <c r="B8" s="15" t="s">
        <v>66</v>
      </c>
      <c r="C8" s="14">
        <v>0.27693909097540897</v>
      </c>
      <c r="D8" s="14">
        <v>0.30488333509638699</v>
      </c>
      <c r="E8" s="14">
        <v>0.27513499488479398</v>
      </c>
      <c r="F8" s="14">
        <v>0.21734215373319399</v>
      </c>
      <c r="G8" s="14">
        <v>0.25084851859156998</v>
      </c>
      <c r="H8" s="14">
        <v>0.25365551965636202</v>
      </c>
      <c r="I8" s="14">
        <v>0.21589970657411001</v>
      </c>
      <c r="J8" s="14">
        <v>0.25002811167054001</v>
      </c>
      <c r="K8" s="14">
        <v>0.25383739142744799</v>
      </c>
      <c r="L8" s="14">
        <v>0.22663626601564599</v>
      </c>
      <c r="M8" s="14">
        <v>0.221269795110874</v>
      </c>
    </row>
    <row r="9" spans="2:14" x14ac:dyDescent="0.35">
      <c r="B9" s="15" t="s">
        <v>67</v>
      </c>
      <c r="C9" s="14">
        <v>0.23595958641141601</v>
      </c>
      <c r="D9" s="14">
        <v>0.23623128307459401</v>
      </c>
      <c r="E9" s="14">
        <v>0.19348907379088401</v>
      </c>
      <c r="F9" s="14">
        <v>0.283196119924081</v>
      </c>
      <c r="G9" s="14">
        <v>0.29280203588266501</v>
      </c>
      <c r="H9" s="14">
        <v>0.299477130251115</v>
      </c>
      <c r="I9" s="14">
        <v>0.16762720299657499</v>
      </c>
      <c r="J9" s="14">
        <v>0.24479620790437201</v>
      </c>
      <c r="K9" s="14">
        <v>0.26561358724527001</v>
      </c>
      <c r="L9" s="14">
        <v>0.22051729399875</v>
      </c>
      <c r="M9" s="14">
        <v>0.23035145213927799</v>
      </c>
    </row>
    <row r="10" spans="2:14" x14ac:dyDescent="0.35">
      <c r="B10" s="15" t="s">
        <v>68</v>
      </c>
      <c r="C10" s="14">
        <v>0.21458534623588499</v>
      </c>
      <c r="D10" s="14">
        <v>0.120144907850779</v>
      </c>
      <c r="E10" s="14">
        <v>7.7541090468402296E-2</v>
      </c>
      <c r="F10" s="14">
        <v>0.21374479723943501</v>
      </c>
      <c r="G10" s="14">
        <v>0.15025981194060301</v>
      </c>
      <c r="H10" s="14">
        <v>0.18047875926104201</v>
      </c>
      <c r="I10" s="14">
        <v>0.14877405793359799</v>
      </c>
      <c r="J10" s="14">
        <v>0.155139997030356</v>
      </c>
      <c r="K10" s="14">
        <v>0.16370786581444599</v>
      </c>
      <c r="L10" s="14">
        <v>0.10672613735967799</v>
      </c>
      <c r="M10" s="14">
        <v>0.25601262428068799</v>
      </c>
    </row>
    <row r="11" spans="2:14" ht="29" x14ac:dyDescent="0.35">
      <c r="B11" s="15" t="s">
        <v>69</v>
      </c>
      <c r="C11" s="14">
        <v>4.6645973686831703E-2</v>
      </c>
      <c r="D11" s="14">
        <v>7.0156532006668507E-2</v>
      </c>
      <c r="E11" s="14">
        <v>0.158178557341426</v>
      </c>
      <c r="F11" s="14">
        <v>0.15339182807910401</v>
      </c>
      <c r="G11" s="14">
        <v>0.13934530637961601</v>
      </c>
      <c r="H11" s="14">
        <v>0.14046954506534801</v>
      </c>
      <c r="I11" s="14">
        <v>0.111925464226661</v>
      </c>
      <c r="J11" s="14">
        <v>0.13383035199205701</v>
      </c>
      <c r="K11" s="14">
        <v>0.17111370500933201</v>
      </c>
      <c r="L11" s="14">
        <v>0.17665385192618799</v>
      </c>
      <c r="M11" s="14">
        <v>0.15974035590587701</v>
      </c>
    </row>
    <row r="12" spans="2:14" x14ac:dyDescent="0.35">
      <c r="B12" s="15" t="s">
        <v>70</v>
      </c>
      <c r="C12" s="14">
        <v>0</v>
      </c>
      <c r="D12" s="14">
        <v>6.5485573223942001E-4</v>
      </c>
      <c r="E12" s="14">
        <v>6.5485573223942001E-4</v>
      </c>
      <c r="F12" s="14">
        <v>2.7415003256491899E-3</v>
      </c>
      <c r="G12" s="14">
        <v>2.1228819254748201E-3</v>
      </c>
      <c r="H12" s="14">
        <v>2.0487486540441001E-3</v>
      </c>
      <c r="I12" s="14">
        <v>0</v>
      </c>
      <c r="J12" s="14">
        <v>5.4922800683649005E-4</v>
      </c>
      <c r="K12" s="14">
        <v>2.2473010608238101E-3</v>
      </c>
      <c r="L12" s="14">
        <v>1.6146103039384001E-3</v>
      </c>
      <c r="M12" s="14">
        <v>2.0434715751507801E-3</v>
      </c>
    </row>
    <row r="13" spans="2:14" x14ac:dyDescent="0.35">
      <c r="B13" s="16" t="s">
        <v>74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</row>
    <row r="14" spans="2:14" x14ac:dyDescent="0.35">
      <c r="B14" t="s">
        <v>72</v>
      </c>
    </row>
    <row r="15" spans="2:14" x14ac:dyDescent="0.35">
      <c r="B15" t="s">
        <v>73</v>
      </c>
    </row>
    <row r="19" spans="2:2" x14ac:dyDescent="0.35">
      <c r="B19" s="8" t="str">
        <f>HYPERLINK("#'Contents'!A1", "Return to Contents")</f>
        <v>Return to Contents</v>
      </c>
    </row>
  </sheetData>
  <mergeCells count="1">
    <mergeCell ref="D2:N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2:AN19"/>
  <sheetViews>
    <sheetView showGridLines="0" workbookViewId="0">
      <pane xSplit="2" topLeftCell="C1" activePane="topRight" state="frozen"/>
      <selection pane="topRight" activeCell="AM8" sqref="AM8:AN8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77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1216</v>
      </c>
      <c r="D7" s="10">
        <v>613</v>
      </c>
      <c r="E7" s="10">
        <v>598</v>
      </c>
      <c r="F7" s="10"/>
      <c r="G7" s="10" t="s">
        <v>75</v>
      </c>
      <c r="H7" s="10" t="s">
        <v>75</v>
      </c>
      <c r="I7" s="10">
        <v>1216</v>
      </c>
      <c r="J7" s="10"/>
      <c r="K7" s="10" t="s">
        <v>75</v>
      </c>
      <c r="L7" s="10">
        <v>924</v>
      </c>
      <c r="M7" s="10">
        <v>292</v>
      </c>
      <c r="N7" s="10"/>
      <c r="O7" s="10">
        <v>1020</v>
      </c>
      <c r="P7" s="10">
        <v>166</v>
      </c>
      <c r="Q7" s="10"/>
      <c r="R7" s="10">
        <v>177</v>
      </c>
      <c r="S7" s="10">
        <v>216</v>
      </c>
      <c r="T7" s="10">
        <v>97</v>
      </c>
      <c r="U7" s="10">
        <v>116</v>
      </c>
      <c r="V7" s="10">
        <v>104</v>
      </c>
      <c r="W7" s="10">
        <v>152</v>
      </c>
      <c r="X7" s="10">
        <v>76</v>
      </c>
      <c r="Y7" s="10">
        <v>70</v>
      </c>
      <c r="Z7" s="10">
        <v>208</v>
      </c>
      <c r="AA7" s="10"/>
      <c r="AB7" s="10">
        <v>152</v>
      </c>
      <c r="AC7" s="10">
        <v>147</v>
      </c>
      <c r="AD7" s="10">
        <v>152</v>
      </c>
      <c r="AE7" s="10">
        <v>106</v>
      </c>
      <c r="AF7" s="10"/>
      <c r="AG7" s="10">
        <v>95</v>
      </c>
      <c r="AH7" s="10">
        <v>46</v>
      </c>
      <c r="AI7" s="10"/>
      <c r="AJ7" s="10">
        <v>141</v>
      </c>
      <c r="AK7" s="10">
        <v>131</v>
      </c>
      <c r="AL7" s="10"/>
      <c r="AM7" s="10">
        <v>626</v>
      </c>
      <c r="AN7" s="10">
        <v>310</v>
      </c>
    </row>
    <row r="8" spans="2:40" ht="30" customHeight="1" x14ac:dyDescent="0.35">
      <c r="B8" s="11" t="s">
        <v>20</v>
      </c>
      <c r="C8" s="11">
        <v>1136</v>
      </c>
      <c r="D8" s="11">
        <v>540</v>
      </c>
      <c r="E8" s="11">
        <v>591</v>
      </c>
      <c r="F8" s="11"/>
      <c r="G8" s="11" t="s">
        <v>75</v>
      </c>
      <c r="H8" s="11" t="s">
        <v>75</v>
      </c>
      <c r="I8" s="11">
        <v>1136</v>
      </c>
      <c r="J8" s="11"/>
      <c r="K8" s="11" t="s">
        <v>75</v>
      </c>
      <c r="L8" s="11">
        <v>745</v>
      </c>
      <c r="M8" s="11">
        <v>391</v>
      </c>
      <c r="N8" s="11"/>
      <c r="O8" s="11">
        <v>946</v>
      </c>
      <c r="P8" s="11">
        <v>161</v>
      </c>
      <c r="Q8" s="11"/>
      <c r="R8" s="11">
        <v>183</v>
      </c>
      <c r="S8" s="11">
        <v>192</v>
      </c>
      <c r="T8" s="11">
        <v>104</v>
      </c>
      <c r="U8" s="11">
        <v>121</v>
      </c>
      <c r="V8" s="11">
        <v>99</v>
      </c>
      <c r="W8" s="11">
        <v>112</v>
      </c>
      <c r="X8" s="11">
        <v>107</v>
      </c>
      <c r="Y8" s="11">
        <v>62</v>
      </c>
      <c r="Z8" s="11">
        <v>157</v>
      </c>
      <c r="AA8" s="11"/>
      <c r="AB8" s="11">
        <v>117</v>
      </c>
      <c r="AC8" s="11">
        <v>117</v>
      </c>
      <c r="AD8" s="11">
        <v>211</v>
      </c>
      <c r="AE8" s="11">
        <v>141</v>
      </c>
      <c r="AF8" s="11"/>
      <c r="AG8" s="11">
        <v>117</v>
      </c>
      <c r="AH8" s="11">
        <v>63</v>
      </c>
      <c r="AI8" s="11"/>
      <c r="AJ8" s="11">
        <v>180</v>
      </c>
      <c r="AK8" s="11">
        <v>185</v>
      </c>
      <c r="AL8" s="11"/>
      <c r="AM8" s="11">
        <v>567</v>
      </c>
      <c r="AN8" s="11">
        <v>311</v>
      </c>
    </row>
    <row r="9" spans="2:40" x14ac:dyDescent="0.35">
      <c r="B9" s="15" t="s">
        <v>65</v>
      </c>
      <c r="C9" s="14">
        <v>0.22587000269045801</v>
      </c>
      <c r="D9" s="14">
        <v>0.26584651847526802</v>
      </c>
      <c r="E9" s="14">
        <v>0.18687051154492501</v>
      </c>
      <c r="F9" s="14"/>
      <c r="G9" s="14" t="s">
        <v>76</v>
      </c>
      <c r="H9" s="14" t="s">
        <v>76</v>
      </c>
      <c r="I9" s="14">
        <v>0.22587000269045801</v>
      </c>
      <c r="J9" s="14"/>
      <c r="K9" s="14" t="s">
        <v>76</v>
      </c>
      <c r="L9" s="14">
        <v>0.237990539699975</v>
      </c>
      <c r="M9" s="14">
        <v>0.20281994871993</v>
      </c>
      <c r="N9" s="14"/>
      <c r="O9" s="14">
        <v>0.19593698938993201</v>
      </c>
      <c r="P9" s="14">
        <v>0.40404216596098202</v>
      </c>
      <c r="Q9" s="14"/>
      <c r="R9" s="14">
        <v>0.31490544730817499</v>
      </c>
      <c r="S9" s="14">
        <v>0.180211823962279</v>
      </c>
      <c r="T9" s="14">
        <v>0.16762050134213999</v>
      </c>
      <c r="U9" s="14">
        <v>0.15357048376759699</v>
      </c>
      <c r="V9" s="14">
        <v>0.21589545293083001</v>
      </c>
      <c r="W9" s="14">
        <v>0.21673056110452399</v>
      </c>
      <c r="X9" s="14">
        <v>0.22395275143653401</v>
      </c>
      <c r="Y9" s="14">
        <v>0.30547875188643497</v>
      </c>
      <c r="Z9" s="14">
        <v>0.25459512591257799</v>
      </c>
      <c r="AA9" s="14"/>
      <c r="AB9" s="14">
        <v>0.193062294683226</v>
      </c>
      <c r="AC9" s="14">
        <v>0.40301742921632699</v>
      </c>
      <c r="AD9" s="14">
        <v>0.12395887112697999</v>
      </c>
      <c r="AE9" s="14">
        <v>0.30572665140862998</v>
      </c>
      <c r="AF9" s="14"/>
      <c r="AG9" s="14">
        <v>0.44721449154420201</v>
      </c>
      <c r="AH9" s="14">
        <v>0.116465835276511</v>
      </c>
      <c r="AI9" s="14"/>
      <c r="AJ9" s="14">
        <v>0.33161785725201598</v>
      </c>
      <c r="AK9" s="14">
        <v>6.3773954243866796E-2</v>
      </c>
      <c r="AL9" s="14"/>
      <c r="AM9" s="14">
        <v>0.43994805320490799</v>
      </c>
      <c r="AN9" s="14">
        <v>7.4908538749232801E-3</v>
      </c>
    </row>
    <row r="10" spans="2:40" x14ac:dyDescent="0.35">
      <c r="B10" s="15" t="s">
        <v>66</v>
      </c>
      <c r="C10" s="14">
        <v>0.27693909097540897</v>
      </c>
      <c r="D10" s="14">
        <v>0.28552801579086301</v>
      </c>
      <c r="E10" s="14">
        <v>0.27138595874086802</v>
      </c>
      <c r="F10" s="14"/>
      <c r="G10" s="14" t="s">
        <v>76</v>
      </c>
      <c r="H10" s="14" t="s">
        <v>76</v>
      </c>
      <c r="I10" s="14">
        <v>0.27693909097540897</v>
      </c>
      <c r="J10" s="14"/>
      <c r="K10" s="14" t="s">
        <v>76</v>
      </c>
      <c r="L10" s="14">
        <v>0.29171456344531699</v>
      </c>
      <c r="M10" s="14">
        <v>0.24884005232687101</v>
      </c>
      <c r="N10" s="14"/>
      <c r="O10" s="14">
        <v>0.28263813230809198</v>
      </c>
      <c r="P10" s="14">
        <v>0.26794402958646801</v>
      </c>
      <c r="Q10" s="14"/>
      <c r="R10" s="14">
        <v>0.23377792536619099</v>
      </c>
      <c r="S10" s="14">
        <v>0.28863927543419299</v>
      </c>
      <c r="T10" s="14">
        <v>0.247022983069836</v>
      </c>
      <c r="U10" s="14">
        <v>0.34171305836186799</v>
      </c>
      <c r="V10" s="14">
        <v>0.2700314563915</v>
      </c>
      <c r="W10" s="14">
        <v>0.26833684253934198</v>
      </c>
      <c r="X10" s="14">
        <v>0.33465217265567998</v>
      </c>
      <c r="Y10" s="14">
        <v>0.19327520232068199</v>
      </c>
      <c r="Z10" s="14">
        <v>0.287345674638119</v>
      </c>
      <c r="AA10" s="14"/>
      <c r="AB10" s="14">
        <v>0.185038254017138</v>
      </c>
      <c r="AC10" s="14">
        <v>0.35581382643187498</v>
      </c>
      <c r="AD10" s="14">
        <v>0.198158006710066</v>
      </c>
      <c r="AE10" s="14">
        <v>0.34426906688643</v>
      </c>
      <c r="AF10" s="14"/>
      <c r="AG10" s="14">
        <v>0.38048265766868899</v>
      </c>
      <c r="AH10" s="14">
        <v>0.109434716354671</v>
      </c>
      <c r="AI10" s="14"/>
      <c r="AJ10" s="14">
        <v>0.28575141944903099</v>
      </c>
      <c r="AK10" s="14">
        <v>0.22449944969295099</v>
      </c>
      <c r="AL10" s="14"/>
      <c r="AM10" s="14">
        <v>0.39838053775399901</v>
      </c>
      <c r="AN10" s="14">
        <v>8.2376514735739606E-2</v>
      </c>
    </row>
    <row r="11" spans="2:40" x14ac:dyDescent="0.35">
      <c r="B11" s="15" t="s">
        <v>67</v>
      </c>
      <c r="C11" s="14">
        <v>0.23595958641141601</v>
      </c>
      <c r="D11" s="14">
        <v>0.23348513307003199</v>
      </c>
      <c r="E11" s="14">
        <v>0.23872112138451401</v>
      </c>
      <c r="F11" s="14"/>
      <c r="G11" s="14" t="s">
        <v>76</v>
      </c>
      <c r="H11" s="14" t="s">
        <v>76</v>
      </c>
      <c r="I11" s="14">
        <v>0.23595958641141601</v>
      </c>
      <c r="J11" s="14"/>
      <c r="K11" s="14" t="s">
        <v>76</v>
      </c>
      <c r="L11" s="14">
        <v>0.26327717820408703</v>
      </c>
      <c r="M11" s="14">
        <v>0.184008755794626</v>
      </c>
      <c r="N11" s="14"/>
      <c r="O11" s="14">
        <v>0.245944106304372</v>
      </c>
      <c r="P11" s="14">
        <v>0.18536463842515</v>
      </c>
      <c r="Q11" s="14"/>
      <c r="R11" s="14">
        <v>0.24004163482383001</v>
      </c>
      <c r="S11" s="14">
        <v>0.23010113803941501</v>
      </c>
      <c r="T11" s="14">
        <v>0.26350914496974198</v>
      </c>
      <c r="U11" s="14">
        <v>0.233500672008634</v>
      </c>
      <c r="V11" s="14">
        <v>0.23011038758767499</v>
      </c>
      <c r="W11" s="14">
        <v>0.20676594891556499</v>
      </c>
      <c r="X11" s="14">
        <v>0.223211999977453</v>
      </c>
      <c r="Y11" s="14">
        <v>0.223400006001645</v>
      </c>
      <c r="Z11" s="14">
        <v>0.26029959639377598</v>
      </c>
      <c r="AA11" s="14"/>
      <c r="AB11" s="14">
        <v>0.34865673865848201</v>
      </c>
      <c r="AC11" s="14">
        <v>0.179129853266527</v>
      </c>
      <c r="AD11" s="14">
        <v>0.20841459920539701</v>
      </c>
      <c r="AE11" s="14">
        <v>0.161958321765267</v>
      </c>
      <c r="AF11" s="14"/>
      <c r="AG11" s="14">
        <v>0.101153450043993</v>
      </c>
      <c r="AH11" s="14">
        <v>0.25530547404231801</v>
      </c>
      <c r="AI11" s="14"/>
      <c r="AJ11" s="14">
        <v>0.15502957260974101</v>
      </c>
      <c r="AK11" s="14">
        <v>0.230348370539639</v>
      </c>
      <c r="AL11" s="14"/>
      <c r="AM11" s="14">
        <v>0.123497112776754</v>
      </c>
      <c r="AN11" s="14">
        <v>0.23065318633020199</v>
      </c>
    </row>
    <row r="12" spans="2:40" x14ac:dyDescent="0.35">
      <c r="B12" s="15" t="s">
        <v>68</v>
      </c>
      <c r="C12" s="14">
        <v>0.21458534623588499</v>
      </c>
      <c r="D12" s="14">
        <v>0.185117806024795</v>
      </c>
      <c r="E12" s="14">
        <v>0.24209261144158301</v>
      </c>
      <c r="F12" s="14"/>
      <c r="G12" s="14" t="s">
        <v>76</v>
      </c>
      <c r="H12" s="14" t="s">
        <v>76</v>
      </c>
      <c r="I12" s="14">
        <v>0.21458534623588499</v>
      </c>
      <c r="J12" s="14"/>
      <c r="K12" s="14" t="s">
        <v>76</v>
      </c>
      <c r="L12" s="14">
        <v>0.20701771865061999</v>
      </c>
      <c r="M12" s="14">
        <v>0.22897697130433201</v>
      </c>
      <c r="N12" s="14"/>
      <c r="O12" s="14">
        <v>0.22841819834361099</v>
      </c>
      <c r="P12" s="14">
        <v>9.0155642276249601E-2</v>
      </c>
      <c r="Q12" s="14"/>
      <c r="R12" s="14">
        <v>0.173944236234329</v>
      </c>
      <c r="S12" s="14">
        <v>0.24940093262447399</v>
      </c>
      <c r="T12" s="14">
        <v>0.22874398938030299</v>
      </c>
      <c r="U12" s="14">
        <v>0.19292447926244299</v>
      </c>
      <c r="V12" s="14">
        <v>0.22076982346055099</v>
      </c>
      <c r="W12" s="14">
        <v>0.28184189414727201</v>
      </c>
      <c r="X12" s="14">
        <v>0.20759168290743299</v>
      </c>
      <c r="Y12" s="14">
        <v>0.24856442816062299</v>
      </c>
      <c r="Z12" s="14">
        <v>0.16584944453529599</v>
      </c>
      <c r="AA12" s="14"/>
      <c r="AB12" s="14">
        <v>0.27324271264115402</v>
      </c>
      <c r="AC12" s="14">
        <v>6.2038891085271698E-2</v>
      </c>
      <c r="AD12" s="14">
        <v>0.29895036881553999</v>
      </c>
      <c r="AE12" s="14">
        <v>6.7445065609589697E-2</v>
      </c>
      <c r="AF12" s="14"/>
      <c r="AG12" s="14">
        <v>7.1149400743116598E-2</v>
      </c>
      <c r="AH12" s="14">
        <v>0.50081249990258203</v>
      </c>
      <c r="AI12" s="14"/>
      <c r="AJ12" s="14">
        <v>0.221316626523726</v>
      </c>
      <c r="AK12" s="14">
        <v>0.22216873641940599</v>
      </c>
      <c r="AL12" s="14"/>
      <c r="AM12" s="14">
        <v>1.92187466738157E-2</v>
      </c>
      <c r="AN12" s="14">
        <v>0.59824420744962004</v>
      </c>
    </row>
    <row r="13" spans="2:40" ht="29" x14ac:dyDescent="0.35">
      <c r="B13" s="15" t="s">
        <v>69</v>
      </c>
      <c r="C13" s="14">
        <v>4.6645973686831703E-2</v>
      </c>
      <c r="D13" s="14">
        <v>3.00225266390419E-2</v>
      </c>
      <c r="E13" s="14">
        <v>6.09297968881094E-2</v>
      </c>
      <c r="F13" s="14"/>
      <c r="G13" s="14" t="s">
        <v>76</v>
      </c>
      <c r="H13" s="14" t="s">
        <v>76</v>
      </c>
      <c r="I13" s="14">
        <v>4.6645973686831703E-2</v>
      </c>
      <c r="J13" s="14"/>
      <c r="K13" s="14" t="s">
        <v>76</v>
      </c>
      <c r="L13" s="14">
        <v>0</v>
      </c>
      <c r="M13" s="14">
        <v>0.13535427185424001</v>
      </c>
      <c r="N13" s="14"/>
      <c r="O13" s="14">
        <v>4.7062573653994001E-2</v>
      </c>
      <c r="P13" s="14">
        <v>5.2493523751150899E-2</v>
      </c>
      <c r="Q13" s="14"/>
      <c r="R13" s="14">
        <v>3.7330756267474202E-2</v>
      </c>
      <c r="S13" s="14">
        <v>5.16468299396384E-2</v>
      </c>
      <c r="T13" s="14">
        <v>9.3103381237978997E-2</v>
      </c>
      <c r="U13" s="14">
        <v>7.8291306599458099E-2</v>
      </c>
      <c r="V13" s="14">
        <v>6.3192879629445295E-2</v>
      </c>
      <c r="W13" s="14">
        <v>2.6324753293296099E-2</v>
      </c>
      <c r="X13" s="14">
        <v>1.05913930229004E-2</v>
      </c>
      <c r="Y13" s="14">
        <v>2.9281611630615701E-2</v>
      </c>
      <c r="Z13" s="14">
        <v>3.19101585202307E-2</v>
      </c>
      <c r="AA13" s="14"/>
      <c r="AB13" s="14">
        <v>0</v>
      </c>
      <c r="AC13" s="14">
        <v>0</v>
      </c>
      <c r="AD13" s="14">
        <v>0.17051815414201699</v>
      </c>
      <c r="AE13" s="14">
        <v>0.120600894330083</v>
      </c>
      <c r="AF13" s="14"/>
      <c r="AG13" s="14">
        <v>0</v>
      </c>
      <c r="AH13" s="14">
        <v>1.7981474423918599E-2</v>
      </c>
      <c r="AI13" s="14"/>
      <c r="AJ13" s="14">
        <v>6.2845241654850099E-3</v>
      </c>
      <c r="AK13" s="14">
        <v>0.25920948910413699</v>
      </c>
      <c r="AL13" s="14"/>
      <c r="AM13" s="14">
        <v>1.8955549590523101E-2</v>
      </c>
      <c r="AN13" s="14">
        <v>8.1235237609515398E-2</v>
      </c>
    </row>
    <row r="14" spans="2:40" x14ac:dyDescent="0.35">
      <c r="B14" s="15" t="s">
        <v>70</v>
      </c>
      <c r="C14" s="20">
        <v>0</v>
      </c>
      <c r="D14" s="20">
        <v>0</v>
      </c>
      <c r="E14" s="20">
        <v>0</v>
      </c>
      <c r="F14" s="20"/>
      <c r="G14" s="20" t="s">
        <v>76</v>
      </c>
      <c r="H14" s="20" t="s">
        <v>76</v>
      </c>
      <c r="I14" s="20">
        <v>0</v>
      </c>
      <c r="J14" s="20"/>
      <c r="K14" s="20" t="s">
        <v>76</v>
      </c>
      <c r="L14" s="20">
        <v>0</v>
      </c>
      <c r="M14" s="20">
        <v>0</v>
      </c>
      <c r="N14" s="20"/>
      <c r="O14" s="20">
        <v>0</v>
      </c>
      <c r="P14" s="20">
        <v>0</v>
      </c>
      <c r="Q14" s="20"/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/>
      <c r="AB14" s="20">
        <v>0</v>
      </c>
      <c r="AC14" s="20">
        <v>0</v>
      </c>
      <c r="AD14" s="20">
        <v>0</v>
      </c>
      <c r="AE14" s="20">
        <v>0</v>
      </c>
      <c r="AF14" s="20"/>
      <c r="AG14" s="20">
        <v>0</v>
      </c>
      <c r="AH14" s="20">
        <v>0</v>
      </c>
      <c r="AI14" s="20"/>
      <c r="AJ14" s="20">
        <v>0</v>
      </c>
      <c r="AK14" s="20">
        <v>0</v>
      </c>
      <c r="AL14" s="20"/>
      <c r="AM14" s="20">
        <v>0</v>
      </c>
      <c r="AN14" s="20">
        <v>0</v>
      </c>
    </row>
    <row r="15" spans="2:40" x14ac:dyDescent="0.35">
      <c r="B15" s="16" t="s">
        <v>74</v>
      </c>
    </row>
    <row r="16" spans="2:40" x14ac:dyDescent="0.35">
      <c r="B16" t="s">
        <v>72</v>
      </c>
    </row>
    <row r="17" spans="2:2" x14ac:dyDescent="0.35">
      <c r="B17" t="s">
        <v>73</v>
      </c>
    </row>
    <row r="19" spans="2:2" x14ac:dyDescent="0.35">
      <c r="B19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2:AN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78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1216</v>
      </c>
      <c r="D7" s="10">
        <v>613</v>
      </c>
      <c r="E7" s="10">
        <v>598</v>
      </c>
      <c r="F7" s="10"/>
      <c r="G7" s="10" t="s">
        <v>75</v>
      </c>
      <c r="H7" s="10" t="s">
        <v>75</v>
      </c>
      <c r="I7" s="10">
        <v>1216</v>
      </c>
      <c r="J7" s="10"/>
      <c r="K7" s="10" t="s">
        <v>75</v>
      </c>
      <c r="L7" s="10">
        <v>924</v>
      </c>
      <c r="M7" s="10">
        <v>292</v>
      </c>
      <c r="N7" s="10"/>
      <c r="O7" s="10">
        <v>1020</v>
      </c>
      <c r="P7" s="10">
        <v>166</v>
      </c>
      <c r="Q7" s="10"/>
      <c r="R7" s="10">
        <v>177</v>
      </c>
      <c r="S7" s="10">
        <v>216</v>
      </c>
      <c r="T7" s="10">
        <v>97</v>
      </c>
      <c r="U7" s="10">
        <v>116</v>
      </c>
      <c r="V7" s="10">
        <v>104</v>
      </c>
      <c r="W7" s="10">
        <v>152</v>
      </c>
      <c r="X7" s="10">
        <v>76</v>
      </c>
      <c r="Y7" s="10">
        <v>70</v>
      </c>
      <c r="Z7" s="10">
        <v>208</v>
      </c>
      <c r="AA7" s="10"/>
      <c r="AB7" s="10">
        <v>152</v>
      </c>
      <c r="AC7" s="10">
        <v>147</v>
      </c>
      <c r="AD7" s="10">
        <v>152</v>
      </c>
      <c r="AE7" s="10">
        <v>106</v>
      </c>
      <c r="AF7" s="10"/>
      <c r="AG7" s="10">
        <v>95</v>
      </c>
      <c r="AH7" s="10">
        <v>46</v>
      </c>
      <c r="AI7" s="10"/>
      <c r="AJ7" s="10">
        <v>141</v>
      </c>
      <c r="AK7" s="10">
        <v>131</v>
      </c>
      <c r="AL7" s="10"/>
      <c r="AM7" s="10">
        <v>626</v>
      </c>
      <c r="AN7" s="10">
        <v>310</v>
      </c>
    </row>
    <row r="8" spans="2:40" ht="30" customHeight="1" x14ac:dyDescent="0.35">
      <c r="B8" s="11" t="s">
        <v>20</v>
      </c>
      <c r="C8" s="11">
        <v>1136</v>
      </c>
      <c r="D8" s="11">
        <v>540</v>
      </c>
      <c r="E8" s="11">
        <v>591</v>
      </c>
      <c r="F8" s="11"/>
      <c r="G8" s="11" t="s">
        <v>75</v>
      </c>
      <c r="H8" s="11" t="s">
        <v>75</v>
      </c>
      <c r="I8" s="11">
        <v>1136</v>
      </c>
      <c r="J8" s="11"/>
      <c r="K8" s="11" t="s">
        <v>75</v>
      </c>
      <c r="L8" s="11">
        <v>745</v>
      </c>
      <c r="M8" s="11">
        <v>391</v>
      </c>
      <c r="N8" s="11"/>
      <c r="O8" s="11">
        <v>946</v>
      </c>
      <c r="P8" s="11">
        <v>161</v>
      </c>
      <c r="Q8" s="11"/>
      <c r="R8" s="11">
        <v>183</v>
      </c>
      <c r="S8" s="11">
        <v>192</v>
      </c>
      <c r="T8" s="11">
        <v>104</v>
      </c>
      <c r="U8" s="11">
        <v>121</v>
      </c>
      <c r="V8" s="11">
        <v>99</v>
      </c>
      <c r="W8" s="11">
        <v>112</v>
      </c>
      <c r="X8" s="11">
        <v>107</v>
      </c>
      <c r="Y8" s="11">
        <v>62</v>
      </c>
      <c r="Z8" s="11">
        <v>157</v>
      </c>
      <c r="AA8" s="11"/>
      <c r="AB8" s="11">
        <v>117</v>
      </c>
      <c r="AC8" s="11">
        <v>117</v>
      </c>
      <c r="AD8" s="11">
        <v>211</v>
      </c>
      <c r="AE8" s="11">
        <v>141</v>
      </c>
      <c r="AF8" s="11"/>
      <c r="AG8" s="11">
        <v>117</v>
      </c>
      <c r="AH8" s="11">
        <v>63</v>
      </c>
      <c r="AI8" s="11"/>
      <c r="AJ8" s="11">
        <v>180</v>
      </c>
      <c r="AK8" s="11">
        <v>185</v>
      </c>
      <c r="AL8" s="11"/>
      <c r="AM8" s="11">
        <v>567</v>
      </c>
      <c r="AN8" s="11">
        <v>311</v>
      </c>
    </row>
    <row r="9" spans="2:40" x14ac:dyDescent="0.35">
      <c r="B9" s="15" t="s">
        <v>65</v>
      </c>
      <c r="C9" s="14">
        <v>0.26792908623933198</v>
      </c>
      <c r="D9" s="14">
        <v>0.22584731782974601</v>
      </c>
      <c r="E9" s="14">
        <v>0.304505548501184</v>
      </c>
      <c r="F9" s="14"/>
      <c r="G9" s="14" t="s">
        <v>76</v>
      </c>
      <c r="H9" s="14" t="s">
        <v>76</v>
      </c>
      <c r="I9" s="14">
        <v>0.26792908623933198</v>
      </c>
      <c r="J9" s="14"/>
      <c r="K9" s="14" t="s">
        <v>76</v>
      </c>
      <c r="L9" s="14">
        <v>0.264946593516171</v>
      </c>
      <c r="M9" s="14">
        <v>0.273600998150627</v>
      </c>
      <c r="N9" s="14"/>
      <c r="O9" s="14">
        <v>0.23363024000010299</v>
      </c>
      <c r="P9" s="14">
        <v>0.47914773990704301</v>
      </c>
      <c r="Q9" s="14"/>
      <c r="R9" s="14">
        <v>0.36851384259144399</v>
      </c>
      <c r="S9" s="14">
        <v>0.22851461732307701</v>
      </c>
      <c r="T9" s="14">
        <v>0.31779136323752399</v>
      </c>
      <c r="U9" s="14">
        <v>0.249039808288047</v>
      </c>
      <c r="V9" s="14">
        <v>0.18038497357444599</v>
      </c>
      <c r="W9" s="14">
        <v>0.28074053530475701</v>
      </c>
      <c r="X9" s="14">
        <v>0.25019074726260498</v>
      </c>
      <c r="Y9" s="14">
        <v>0.34157921986283302</v>
      </c>
      <c r="Z9" s="14">
        <v>0.209184372436473</v>
      </c>
      <c r="AA9" s="14"/>
      <c r="AB9" s="14">
        <v>0.27983632230970901</v>
      </c>
      <c r="AC9" s="14">
        <v>0.35503047130356502</v>
      </c>
      <c r="AD9" s="14">
        <v>0.251378060853649</v>
      </c>
      <c r="AE9" s="14">
        <v>0.28710596610606598</v>
      </c>
      <c r="AF9" s="14"/>
      <c r="AG9" s="14">
        <v>0.293135144272133</v>
      </c>
      <c r="AH9" s="14">
        <v>0.23143354058023899</v>
      </c>
      <c r="AI9" s="14"/>
      <c r="AJ9" s="14">
        <v>0.27157043771308198</v>
      </c>
      <c r="AK9" s="14">
        <v>0.28574431169883302</v>
      </c>
      <c r="AL9" s="14"/>
      <c r="AM9" s="14">
        <v>0.32387110651331202</v>
      </c>
      <c r="AN9" s="14">
        <v>0.21777908787749101</v>
      </c>
    </row>
    <row r="10" spans="2:40" x14ac:dyDescent="0.35">
      <c r="B10" s="15" t="s">
        <v>66</v>
      </c>
      <c r="C10" s="14">
        <v>0.30488333509638699</v>
      </c>
      <c r="D10" s="14">
        <v>0.29601321459017799</v>
      </c>
      <c r="E10" s="14">
        <v>0.31260412049959202</v>
      </c>
      <c r="F10" s="14"/>
      <c r="G10" s="14" t="s">
        <v>76</v>
      </c>
      <c r="H10" s="14" t="s">
        <v>76</v>
      </c>
      <c r="I10" s="14">
        <v>0.30488333509638699</v>
      </c>
      <c r="J10" s="14"/>
      <c r="K10" s="14" t="s">
        <v>76</v>
      </c>
      <c r="L10" s="14">
        <v>0.33727931692991903</v>
      </c>
      <c r="M10" s="14">
        <v>0.24327475050109701</v>
      </c>
      <c r="N10" s="14"/>
      <c r="O10" s="14">
        <v>0.30972708687636502</v>
      </c>
      <c r="P10" s="14">
        <v>0.29210918341464498</v>
      </c>
      <c r="Q10" s="14"/>
      <c r="R10" s="14">
        <v>0.32339121409083998</v>
      </c>
      <c r="S10" s="14">
        <v>0.28065459208381599</v>
      </c>
      <c r="T10" s="14">
        <v>0.234602182810139</v>
      </c>
      <c r="U10" s="14">
        <v>0.282400012968679</v>
      </c>
      <c r="V10" s="14">
        <v>0.22589575949603399</v>
      </c>
      <c r="W10" s="14">
        <v>0.27737307348316598</v>
      </c>
      <c r="X10" s="14">
        <v>0.35708551103778202</v>
      </c>
      <c r="Y10" s="14">
        <v>0.308188776708537</v>
      </c>
      <c r="Z10" s="14">
        <v>0.409293734390972</v>
      </c>
      <c r="AA10" s="14"/>
      <c r="AB10" s="14">
        <v>0.29334265820702998</v>
      </c>
      <c r="AC10" s="14">
        <v>0.34470250714386602</v>
      </c>
      <c r="AD10" s="14">
        <v>0.26427889393922399</v>
      </c>
      <c r="AE10" s="14">
        <v>0.24149237224454001</v>
      </c>
      <c r="AF10" s="14"/>
      <c r="AG10" s="14">
        <v>0.26135873426338901</v>
      </c>
      <c r="AH10" s="14">
        <v>0.25688899109656199</v>
      </c>
      <c r="AI10" s="14"/>
      <c r="AJ10" s="14">
        <v>0.25979655931136902</v>
      </c>
      <c r="AK10" s="14">
        <v>0.22173389684296299</v>
      </c>
      <c r="AL10" s="14"/>
      <c r="AM10" s="14">
        <v>0.33555650183323399</v>
      </c>
      <c r="AN10" s="14">
        <v>0.25519500923592903</v>
      </c>
    </row>
    <row r="11" spans="2:40" x14ac:dyDescent="0.35">
      <c r="B11" s="15" t="s">
        <v>67</v>
      </c>
      <c r="C11" s="14">
        <v>0.23623128307459401</v>
      </c>
      <c r="D11" s="14">
        <v>0.26491686060972702</v>
      </c>
      <c r="E11" s="14">
        <v>0.210715816687011</v>
      </c>
      <c r="F11" s="14"/>
      <c r="G11" s="14" t="s">
        <v>76</v>
      </c>
      <c r="H11" s="14" t="s">
        <v>76</v>
      </c>
      <c r="I11" s="14">
        <v>0.23623128307459401</v>
      </c>
      <c r="J11" s="14"/>
      <c r="K11" s="14" t="s">
        <v>76</v>
      </c>
      <c r="L11" s="14">
        <v>0.269084241980794</v>
      </c>
      <c r="M11" s="14">
        <v>0.173753649015568</v>
      </c>
      <c r="N11" s="14"/>
      <c r="O11" s="14">
        <v>0.251243371506153</v>
      </c>
      <c r="P11" s="14">
        <v>0.133870086130985</v>
      </c>
      <c r="Q11" s="14"/>
      <c r="R11" s="14">
        <v>0.20553788868933801</v>
      </c>
      <c r="S11" s="14">
        <v>0.30417877523015802</v>
      </c>
      <c r="T11" s="14">
        <v>0.19396673037756901</v>
      </c>
      <c r="U11" s="14">
        <v>0.24008773109230699</v>
      </c>
      <c r="V11" s="14">
        <v>0.28926936440053302</v>
      </c>
      <c r="W11" s="14">
        <v>0.219691437016101</v>
      </c>
      <c r="X11" s="14">
        <v>0.197568398732581</v>
      </c>
      <c r="Y11" s="14">
        <v>0.19388511503945199</v>
      </c>
      <c r="Z11" s="14">
        <v>0.23543755903793501</v>
      </c>
      <c r="AA11" s="14"/>
      <c r="AB11" s="14">
        <v>0.30638112855312899</v>
      </c>
      <c r="AC11" s="14">
        <v>0.21129224194211799</v>
      </c>
      <c r="AD11" s="14">
        <v>0.20015707830364801</v>
      </c>
      <c r="AE11" s="14">
        <v>9.9708109121589297E-2</v>
      </c>
      <c r="AF11" s="14"/>
      <c r="AG11" s="14">
        <v>0.132258627567374</v>
      </c>
      <c r="AH11" s="14">
        <v>0.26978922889713403</v>
      </c>
      <c r="AI11" s="14"/>
      <c r="AJ11" s="14">
        <v>0.18032556396947799</v>
      </c>
      <c r="AK11" s="14">
        <v>0.15971699668476599</v>
      </c>
      <c r="AL11" s="14"/>
      <c r="AM11" s="14">
        <v>0.20101140672988899</v>
      </c>
      <c r="AN11" s="14">
        <v>0.26170280374376398</v>
      </c>
    </row>
    <row r="12" spans="2:40" x14ac:dyDescent="0.35">
      <c r="B12" s="15" t="s">
        <v>68</v>
      </c>
      <c r="C12" s="14">
        <v>0.120144907850779</v>
      </c>
      <c r="D12" s="14">
        <v>0.15123864431276099</v>
      </c>
      <c r="E12" s="14">
        <v>9.2697844122018203E-2</v>
      </c>
      <c r="F12" s="14"/>
      <c r="G12" s="14" t="s">
        <v>76</v>
      </c>
      <c r="H12" s="14" t="s">
        <v>76</v>
      </c>
      <c r="I12" s="14">
        <v>0.120144907850779</v>
      </c>
      <c r="J12" s="14"/>
      <c r="K12" s="14" t="s">
        <v>76</v>
      </c>
      <c r="L12" s="14">
        <v>0.127690645439404</v>
      </c>
      <c r="M12" s="14">
        <v>0.10579491176325399</v>
      </c>
      <c r="N12" s="14"/>
      <c r="O12" s="14">
        <v>0.12872514477059099</v>
      </c>
      <c r="P12" s="14">
        <v>4.5881329507022797E-2</v>
      </c>
      <c r="Q12" s="14"/>
      <c r="R12" s="14">
        <v>6.3150517140059606E-2</v>
      </c>
      <c r="S12" s="14">
        <v>0.119158488820886</v>
      </c>
      <c r="T12" s="14">
        <v>0.134621540411312</v>
      </c>
      <c r="U12" s="14">
        <v>0.12563301536951199</v>
      </c>
      <c r="V12" s="14">
        <v>0.119428733967926</v>
      </c>
      <c r="W12" s="14">
        <v>0.16427680141145101</v>
      </c>
      <c r="X12" s="14">
        <v>0.146933054950867</v>
      </c>
      <c r="Y12" s="14">
        <v>0.15634688838917701</v>
      </c>
      <c r="Z12" s="14">
        <v>0.11023753649844401</v>
      </c>
      <c r="AA12" s="14"/>
      <c r="AB12" s="14">
        <v>0.12043989093013099</v>
      </c>
      <c r="AC12" s="14">
        <v>8.8974779610450194E-2</v>
      </c>
      <c r="AD12" s="14">
        <v>7.5425540849702405E-2</v>
      </c>
      <c r="AE12" s="14">
        <v>0.13204420148708801</v>
      </c>
      <c r="AF12" s="14"/>
      <c r="AG12" s="14">
        <v>0.101719550713064</v>
      </c>
      <c r="AH12" s="14">
        <v>0.14294412701762299</v>
      </c>
      <c r="AI12" s="14"/>
      <c r="AJ12" s="14">
        <v>0.116127537504918</v>
      </c>
      <c r="AK12" s="14">
        <v>9.8995868345366E-2</v>
      </c>
      <c r="AL12" s="14"/>
      <c r="AM12" s="14">
        <v>8.9803421607664094E-2</v>
      </c>
      <c r="AN12" s="14">
        <v>0.16608047311114499</v>
      </c>
    </row>
    <row r="13" spans="2:40" ht="29" x14ac:dyDescent="0.35">
      <c r="B13" s="15" t="s">
        <v>69</v>
      </c>
      <c r="C13" s="14">
        <v>7.0156532006668507E-2</v>
      </c>
      <c r="D13" s="14">
        <v>6.1983962657588501E-2</v>
      </c>
      <c r="E13" s="14">
        <v>7.8217253281604296E-2</v>
      </c>
      <c r="F13" s="14"/>
      <c r="G13" s="14" t="s">
        <v>76</v>
      </c>
      <c r="H13" s="14" t="s">
        <v>76</v>
      </c>
      <c r="I13" s="14">
        <v>7.0156532006668507E-2</v>
      </c>
      <c r="J13" s="14"/>
      <c r="K13" s="14" t="s">
        <v>76</v>
      </c>
      <c r="L13" s="14">
        <v>0</v>
      </c>
      <c r="M13" s="14">
        <v>0.20357569056945299</v>
      </c>
      <c r="N13" s="14"/>
      <c r="O13" s="14">
        <v>7.5887885259283999E-2</v>
      </c>
      <c r="P13" s="14">
        <v>4.8991661040305098E-2</v>
      </c>
      <c r="Q13" s="14"/>
      <c r="R13" s="14">
        <v>3.9406537488318398E-2</v>
      </c>
      <c r="S13" s="14">
        <v>6.3618981335214597E-2</v>
      </c>
      <c r="T13" s="14">
        <v>0.119018183163456</v>
      </c>
      <c r="U13" s="14">
        <v>0.10283943228145601</v>
      </c>
      <c r="V13" s="14">
        <v>0.18502116856106199</v>
      </c>
      <c r="W13" s="14">
        <v>5.7918152784525299E-2</v>
      </c>
      <c r="X13" s="14">
        <v>4.8222288016165203E-2</v>
      </c>
      <c r="Y13" s="14">
        <v>0</v>
      </c>
      <c r="Z13" s="14">
        <v>3.5846797636175598E-2</v>
      </c>
      <c r="AA13" s="14"/>
      <c r="AB13" s="14">
        <v>0</v>
      </c>
      <c r="AC13" s="14">
        <v>0</v>
      </c>
      <c r="AD13" s="14">
        <v>0.20876042605377601</v>
      </c>
      <c r="AE13" s="14">
        <v>0.239649351040717</v>
      </c>
      <c r="AF13" s="14"/>
      <c r="AG13" s="14">
        <v>0.21152794318404</v>
      </c>
      <c r="AH13" s="14">
        <v>9.8944112408442697E-2</v>
      </c>
      <c r="AI13" s="14"/>
      <c r="AJ13" s="14">
        <v>0.172179901501153</v>
      </c>
      <c r="AK13" s="14">
        <v>0.23380892642807299</v>
      </c>
      <c r="AL13" s="14"/>
      <c r="AM13" s="14">
        <v>4.9757563315901497E-2</v>
      </c>
      <c r="AN13" s="14">
        <v>9.9242626031669903E-2</v>
      </c>
    </row>
    <row r="14" spans="2:40" x14ac:dyDescent="0.35">
      <c r="B14" s="15" t="s">
        <v>70</v>
      </c>
      <c r="C14" s="20">
        <v>6.5485573223942001E-4</v>
      </c>
      <c r="D14" s="20">
        <v>0</v>
      </c>
      <c r="E14" s="20">
        <v>1.2594169085908501E-3</v>
      </c>
      <c r="F14" s="20"/>
      <c r="G14" s="20" t="s">
        <v>76</v>
      </c>
      <c r="H14" s="20" t="s">
        <v>76</v>
      </c>
      <c r="I14" s="20">
        <v>6.5485573223942001E-4</v>
      </c>
      <c r="J14" s="20"/>
      <c r="K14" s="20" t="s">
        <v>76</v>
      </c>
      <c r="L14" s="20">
        <v>9.9920213371208094E-4</v>
      </c>
      <c r="M14" s="20">
        <v>0</v>
      </c>
      <c r="N14" s="20"/>
      <c r="O14" s="20">
        <v>7.8627158750353005E-4</v>
      </c>
      <c r="P14" s="20">
        <v>0</v>
      </c>
      <c r="Q14" s="20"/>
      <c r="R14" s="20">
        <v>0</v>
      </c>
      <c r="S14" s="20">
        <v>3.8745452068486598E-3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/>
      <c r="AB14" s="20">
        <v>0</v>
      </c>
      <c r="AC14" s="20">
        <v>0</v>
      </c>
      <c r="AD14" s="20">
        <v>0</v>
      </c>
      <c r="AE14" s="20">
        <v>0</v>
      </c>
      <c r="AF14" s="20"/>
      <c r="AG14" s="20">
        <v>0</v>
      </c>
      <c r="AH14" s="20">
        <v>0</v>
      </c>
      <c r="AI14" s="20"/>
      <c r="AJ14" s="20">
        <v>0</v>
      </c>
      <c r="AK14" s="20">
        <v>0</v>
      </c>
      <c r="AL14" s="20"/>
      <c r="AM14" s="20">
        <v>0</v>
      </c>
      <c r="AN14" s="20">
        <v>0</v>
      </c>
    </row>
    <row r="15" spans="2:40" x14ac:dyDescent="0.35">
      <c r="B15" s="16" t="s">
        <v>74</v>
      </c>
    </row>
    <row r="16" spans="2:40" x14ac:dyDescent="0.35">
      <c r="B16" t="s">
        <v>72</v>
      </c>
    </row>
    <row r="17" spans="2:2" x14ac:dyDescent="0.35">
      <c r="B17" t="s">
        <v>73</v>
      </c>
    </row>
    <row r="19" spans="2:2" x14ac:dyDescent="0.35">
      <c r="B19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2:AN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79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1216</v>
      </c>
      <c r="D7" s="10">
        <v>613</v>
      </c>
      <c r="E7" s="10">
        <v>598</v>
      </c>
      <c r="F7" s="10"/>
      <c r="G7" s="10" t="s">
        <v>75</v>
      </c>
      <c r="H7" s="10" t="s">
        <v>75</v>
      </c>
      <c r="I7" s="10">
        <v>1216</v>
      </c>
      <c r="J7" s="10"/>
      <c r="K7" s="10" t="s">
        <v>75</v>
      </c>
      <c r="L7" s="10">
        <v>924</v>
      </c>
      <c r="M7" s="10">
        <v>292</v>
      </c>
      <c r="N7" s="10"/>
      <c r="O7" s="10">
        <v>1020</v>
      </c>
      <c r="P7" s="10">
        <v>166</v>
      </c>
      <c r="Q7" s="10"/>
      <c r="R7" s="10">
        <v>177</v>
      </c>
      <c r="S7" s="10">
        <v>216</v>
      </c>
      <c r="T7" s="10">
        <v>97</v>
      </c>
      <c r="U7" s="10">
        <v>116</v>
      </c>
      <c r="V7" s="10">
        <v>104</v>
      </c>
      <c r="W7" s="10">
        <v>152</v>
      </c>
      <c r="X7" s="10">
        <v>76</v>
      </c>
      <c r="Y7" s="10">
        <v>70</v>
      </c>
      <c r="Z7" s="10">
        <v>208</v>
      </c>
      <c r="AA7" s="10"/>
      <c r="AB7" s="10">
        <v>152</v>
      </c>
      <c r="AC7" s="10">
        <v>147</v>
      </c>
      <c r="AD7" s="10">
        <v>152</v>
      </c>
      <c r="AE7" s="10">
        <v>106</v>
      </c>
      <c r="AF7" s="10"/>
      <c r="AG7" s="10">
        <v>95</v>
      </c>
      <c r="AH7" s="10">
        <v>46</v>
      </c>
      <c r="AI7" s="10"/>
      <c r="AJ7" s="10">
        <v>141</v>
      </c>
      <c r="AK7" s="10">
        <v>131</v>
      </c>
      <c r="AL7" s="10"/>
      <c r="AM7" s="10">
        <v>626</v>
      </c>
      <c r="AN7" s="10">
        <v>310</v>
      </c>
    </row>
    <row r="8" spans="2:40" ht="30" customHeight="1" x14ac:dyDescent="0.35">
      <c r="B8" s="11" t="s">
        <v>20</v>
      </c>
      <c r="C8" s="11">
        <v>1136</v>
      </c>
      <c r="D8" s="11">
        <v>540</v>
      </c>
      <c r="E8" s="11">
        <v>591</v>
      </c>
      <c r="F8" s="11"/>
      <c r="G8" s="11" t="s">
        <v>75</v>
      </c>
      <c r="H8" s="11" t="s">
        <v>75</v>
      </c>
      <c r="I8" s="11">
        <v>1136</v>
      </c>
      <c r="J8" s="11"/>
      <c r="K8" s="11" t="s">
        <v>75</v>
      </c>
      <c r="L8" s="11">
        <v>745</v>
      </c>
      <c r="M8" s="11">
        <v>391</v>
      </c>
      <c r="N8" s="11"/>
      <c r="O8" s="11">
        <v>946</v>
      </c>
      <c r="P8" s="11">
        <v>161</v>
      </c>
      <c r="Q8" s="11"/>
      <c r="R8" s="11">
        <v>183</v>
      </c>
      <c r="S8" s="11">
        <v>192</v>
      </c>
      <c r="T8" s="11">
        <v>104</v>
      </c>
      <c r="U8" s="11">
        <v>121</v>
      </c>
      <c r="V8" s="11">
        <v>99</v>
      </c>
      <c r="W8" s="11">
        <v>112</v>
      </c>
      <c r="X8" s="11">
        <v>107</v>
      </c>
      <c r="Y8" s="11">
        <v>62</v>
      </c>
      <c r="Z8" s="11">
        <v>157</v>
      </c>
      <c r="AA8" s="11"/>
      <c r="AB8" s="11">
        <v>117</v>
      </c>
      <c r="AC8" s="11">
        <v>117</v>
      </c>
      <c r="AD8" s="11">
        <v>211</v>
      </c>
      <c r="AE8" s="11">
        <v>141</v>
      </c>
      <c r="AF8" s="11"/>
      <c r="AG8" s="11">
        <v>117</v>
      </c>
      <c r="AH8" s="11">
        <v>63</v>
      </c>
      <c r="AI8" s="11"/>
      <c r="AJ8" s="11">
        <v>180</v>
      </c>
      <c r="AK8" s="11">
        <v>185</v>
      </c>
      <c r="AL8" s="11"/>
      <c r="AM8" s="11">
        <v>567</v>
      </c>
      <c r="AN8" s="11">
        <v>311</v>
      </c>
    </row>
    <row r="9" spans="2:40" x14ac:dyDescent="0.35">
      <c r="B9" s="15" t="s">
        <v>65</v>
      </c>
      <c r="C9" s="14">
        <v>0.29500142778225402</v>
      </c>
      <c r="D9" s="14">
        <v>0.39655629864082198</v>
      </c>
      <c r="E9" s="14">
        <v>0.20024070955420201</v>
      </c>
      <c r="F9" s="14"/>
      <c r="G9" s="14" t="s">
        <v>76</v>
      </c>
      <c r="H9" s="14" t="s">
        <v>76</v>
      </c>
      <c r="I9" s="14">
        <v>0.29500142778225402</v>
      </c>
      <c r="J9" s="14"/>
      <c r="K9" s="14" t="s">
        <v>76</v>
      </c>
      <c r="L9" s="14">
        <v>0.33972641847025498</v>
      </c>
      <c r="M9" s="14">
        <v>0.20994633093461901</v>
      </c>
      <c r="N9" s="14"/>
      <c r="O9" s="14">
        <v>0.29760211402641801</v>
      </c>
      <c r="P9" s="14">
        <v>0.28180675880397399</v>
      </c>
      <c r="Q9" s="14"/>
      <c r="R9" s="14">
        <v>0.36229995047150299</v>
      </c>
      <c r="S9" s="14">
        <v>0.23303838555374701</v>
      </c>
      <c r="T9" s="14">
        <v>0.25878749340909801</v>
      </c>
      <c r="U9" s="14">
        <v>0.21255773160465</v>
      </c>
      <c r="V9" s="14">
        <v>0.30109472002127502</v>
      </c>
      <c r="W9" s="14">
        <v>0.255826499788186</v>
      </c>
      <c r="X9" s="14">
        <v>0.338928960858355</v>
      </c>
      <c r="Y9" s="14">
        <v>0.43452237485761003</v>
      </c>
      <c r="Z9" s="14">
        <v>0.31863105759358801</v>
      </c>
      <c r="AA9" s="14"/>
      <c r="AB9" s="14">
        <v>0.33052505533952398</v>
      </c>
      <c r="AC9" s="14">
        <v>0.34804174285135397</v>
      </c>
      <c r="AD9" s="14">
        <v>0.18296769566674401</v>
      </c>
      <c r="AE9" s="14">
        <v>0.23473532656103299</v>
      </c>
      <c r="AF9" s="14"/>
      <c r="AG9" s="14">
        <v>0.32953084940480598</v>
      </c>
      <c r="AH9" s="14">
        <v>0.23553319640501699</v>
      </c>
      <c r="AI9" s="14"/>
      <c r="AJ9" s="14">
        <v>0.29667867567036099</v>
      </c>
      <c r="AK9" s="14">
        <v>0.11267365520513201</v>
      </c>
      <c r="AL9" s="14"/>
      <c r="AM9" s="14">
        <v>0.41025163985161001</v>
      </c>
      <c r="AN9" s="14">
        <v>0.16998401577198699</v>
      </c>
    </row>
    <row r="10" spans="2:40" x14ac:dyDescent="0.35">
      <c r="B10" s="15" t="s">
        <v>66</v>
      </c>
      <c r="C10" s="14">
        <v>0.27513499488479398</v>
      </c>
      <c r="D10" s="14">
        <v>0.31445080207321402</v>
      </c>
      <c r="E10" s="14">
        <v>0.24145557474479301</v>
      </c>
      <c r="F10" s="14"/>
      <c r="G10" s="14" t="s">
        <v>76</v>
      </c>
      <c r="H10" s="14" t="s">
        <v>76</v>
      </c>
      <c r="I10" s="14">
        <v>0.27513499488479398</v>
      </c>
      <c r="J10" s="14"/>
      <c r="K10" s="14" t="s">
        <v>76</v>
      </c>
      <c r="L10" s="14">
        <v>0.28859402247299798</v>
      </c>
      <c r="M10" s="14">
        <v>0.24953948603437301</v>
      </c>
      <c r="N10" s="14"/>
      <c r="O10" s="14">
        <v>0.26412493178915802</v>
      </c>
      <c r="P10" s="14">
        <v>0.33776326838653797</v>
      </c>
      <c r="Q10" s="14"/>
      <c r="R10" s="14">
        <v>0.20562772842930199</v>
      </c>
      <c r="S10" s="14">
        <v>0.25963843227508199</v>
      </c>
      <c r="T10" s="14">
        <v>0.31291757890253702</v>
      </c>
      <c r="U10" s="14">
        <v>0.26779021080461601</v>
      </c>
      <c r="V10" s="14">
        <v>0.18965436721836901</v>
      </c>
      <c r="W10" s="14">
        <v>0.35085390710117498</v>
      </c>
      <c r="X10" s="14">
        <v>0.34615627618041001</v>
      </c>
      <c r="Y10" s="14">
        <v>0.21164923976099101</v>
      </c>
      <c r="Z10" s="14">
        <v>0.33223815123676198</v>
      </c>
      <c r="AA10" s="14"/>
      <c r="AB10" s="14">
        <v>0.224660737109528</v>
      </c>
      <c r="AC10" s="14">
        <v>0.22966053338714601</v>
      </c>
      <c r="AD10" s="14">
        <v>0.266019736884061</v>
      </c>
      <c r="AE10" s="14">
        <v>0.238310245784153</v>
      </c>
      <c r="AF10" s="14"/>
      <c r="AG10" s="14">
        <v>0.24794779674996001</v>
      </c>
      <c r="AH10" s="14">
        <v>0.235254143536652</v>
      </c>
      <c r="AI10" s="14"/>
      <c r="AJ10" s="14">
        <v>0.243511365760675</v>
      </c>
      <c r="AK10" s="14">
        <v>0.242896907390694</v>
      </c>
      <c r="AL10" s="14"/>
      <c r="AM10" s="14">
        <v>0.30166189234101298</v>
      </c>
      <c r="AN10" s="14">
        <v>0.22032889846665299</v>
      </c>
    </row>
    <row r="11" spans="2:40" x14ac:dyDescent="0.35">
      <c r="B11" s="15" t="s">
        <v>67</v>
      </c>
      <c r="C11" s="14">
        <v>0.19348907379088401</v>
      </c>
      <c r="D11" s="14">
        <v>0.138861451024404</v>
      </c>
      <c r="E11" s="14">
        <v>0.24361083366906799</v>
      </c>
      <c r="F11" s="14"/>
      <c r="G11" s="14" t="s">
        <v>76</v>
      </c>
      <c r="H11" s="14" t="s">
        <v>76</v>
      </c>
      <c r="I11" s="14">
        <v>0.19348907379088401</v>
      </c>
      <c r="J11" s="14"/>
      <c r="K11" s="14" t="s">
        <v>76</v>
      </c>
      <c r="L11" s="14">
        <v>0.215393563633729</v>
      </c>
      <c r="M11" s="14">
        <v>0.15183253062963301</v>
      </c>
      <c r="N11" s="14"/>
      <c r="O11" s="14">
        <v>0.20741576729739</v>
      </c>
      <c r="P11" s="14">
        <v>0.11999238257890001</v>
      </c>
      <c r="Q11" s="14"/>
      <c r="R11" s="14">
        <v>0.21474871031332099</v>
      </c>
      <c r="S11" s="14">
        <v>0.240274421703186</v>
      </c>
      <c r="T11" s="14">
        <v>0.17228924767474599</v>
      </c>
      <c r="U11" s="14">
        <v>0.196824644653498</v>
      </c>
      <c r="V11" s="14">
        <v>0.17614870437611099</v>
      </c>
      <c r="W11" s="14">
        <v>0.17631103905200901</v>
      </c>
      <c r="X11" s="14">
        <v>0.14824564956308101</v>
      </c>
      <c r="Y11" s="14">
        <v>0.23700372401335501</v>
      </c>
      <c r="Z11" s="14">
        <v>0.15961218945984601</v>
      </c>
      <c r="AA11" s="14"/>
      <c r="AB11" s="14">
        <v>0.19096822114911399</v>
      </c>
      <c r="AC11" s="14">
        <v>0.18972233530806401</v>
      </c>
      <c r="AD11" s="14">
        <v>0.15494484380707399</v>
      </c>
      <c r="AE11" s="14">
        <v>0.12840626112732201</v>
      </c>
      <c r="AF11" s="14"/>
      <c r="AG11" s="14">
        <v>6.5290079246621904E-2</v>
      </c>
      <c r="AH11" s="14">
        <v>0.167020270198633</v>
      </c>
      <c r="AI11" s="14"/>
      <c r="AJ11" s="14">
        <v>0.10084477450269599</v>
      </c>
      <c r="AK11" s="14">
        <v>0.214494832933808</v>
      </c>
      <c r="AL11" s="14"/>
      <c r="AM11" s="14">
        <v>0.144273118569544</v>
      </c>
      <c r="AN11" s="14">
        <v>0.23784688375151999</v>
      </c>
    </row>
    <row r="12" spans="2:40" x14ac:dyDescent="0.35">
      <c r="B12" s="15" t="s">
        <v>68</v>
      </c>
      <c r="C12" s="14">
        <v>7.7541090468402296E-2</v>
      </c>
      <c r="D12" s="14">
        <v>4.4119986877780903E-2</v>
      </c>
      <c r="E12" s="14">
        <v>0.108762532888972</v>
      </c>
      <c r="F12" s="14"/>
      <c r="G12" s="14" t="s">
        <v>76</v>
      </c>
      <c r="H12" s="14" t="s">
        <v>76</v>
      </c>
      <c r="I12" s="14">
        <v>7.7541090468402296E-2</v>
      </c>
      <c r="J12" s="14"/>
      <c r="K12" s="14" t="s">
        <v>76</v>
      </c>
      <c r="L12" s="14">
        <v>7.7785579900801302E-2</v>
      </c>
      <c r="M12" s="14">
        <v>7.7076136266489195E-2</v>
      </c>
      <c r="N12" s="14"/>
      <c r="O12" s="14">
        <v>7.2373967013350499E-2</v>
      </c>
      <c r="P12" s="14">
        <v>8.8620713138826093E-2</v>
      </c>
      <c r="Q12" s="14"/>
      <c r="R12" s="14">
        <v>5.0090331554886E-2</v>
      </c>
      <c r="S12" s="14">
        <v>9.3670196665840796E-2</v>
      </c>
      <c r="T12" s="14">
        <v>7.9076535531709097E-2</v>
      </c>
      <c r="U12" s="14">
        <v>0.13154831825719299</v>
      </c>
      <c r="V12" s="14">
        <v>6.7839698024283496E-2</v>
      </c>
      <c r="W12" s="14">
        <v>7.5747061552092695E-2</v>
      </c>
      <c r="X12" s="14">
        <v>6.9782261498787898E-2</v>
      </c>
      <c r="Y12" s="14">
        <v>6.3444089988649199E-2</v>
      </c>
      <c r="Z12" s="14">
        <v>6.5524605531408001E-2</v>
      </c>
      <c r="AA12" s="14"/>
      <c r="AB12" s="14">
        <v>9.2540355225997406E-2</v>
      </c>
      <c r="AC12" s="14">
        <v>7.9551930526615494E-2</v>
      </c>
      <c r="AD12" s="14">
        <v>6.1023969636059099E-2</v>
      </c>
      <c r="AE12" s="14">
        <v>5.6740844445701398E-2</v>
      </c>
      <c r="AF12" s="14"/>
      <c r="AG12" s="14">
        <v>8.0727692452823893E-2</v>
      </c>
      <c r="AH12" s="14">
        <v>0.135395024356805</v>
      </c>
      <c r="AI12" s="14"/>
      <c r="AJ12" s="14">
        <v>9.9833921470182302E-2</v>
      </c>
      <c r="AK12" s="14">
        <v>5.6084729546494197E-2</v>
      </c>
      <c r="AL12" s="14"/>
      <c r="AM12" s="14">
        <v>5.5632978453174303E-2</v>
      </c>
      <c r="AN12" s="14">
        <v>0.131330297302792</v>
      </c>
    </row>
    <row r="13" spans="2:40" ht="29" x14ac:dyDescent="0.35">
      <c r="B13" s="15" t="s">
        <v>69</v>
      </c>
      <c r="C13" s="14">
        <v>0.158178557341426</v>
      </c>
      <c r="D13" s="14">
        <v>0.106011461383779</v>
      </c>
      <c r="E13" s="14">
        <v>0.20467093223437399</v>
      </c>
      <c r="F13" s="14"/>
      <c r="G13" s="14" t="s">
        <v>76</v>
      </c>
      <c r="H13" s="14" t="s">
        <v>76</v>
      </c>
      <c r="I13" s="14">
        <v>0.158178557341426</v>
      </c>
      <c r="J13" s="14"/>
      <c r="K13" s="14" t="s">
        <v>76</v>
      </c>
      <c r="L13" s="14">
        <v>7.7501213388503895E-2</v>
      </c>
      <c r="M13" s="14">
        <v>0.31160551613488702</v>
      </c>
      <c r="N13" s="14"/>
      <c r="O13" s="14">
        <v>0.157696948286179</v>
      </c>
      <c r="P13" s="14">
        <v>0.17181687709176299</v>
      </c>
      <c r="Q13" s="14"/>
      <c r="R13" s="14">
        <v>0.16723327923098799</v>
      </c>
      <c r="S13" s="14">
        <v>0.16950401859529601</v>
      </c>
      <c r="T13" s="14">
        <v>0.17692914448190999</v>
      </c>
      <c r="U13" s="14">
        <v>0.191279094680043</v>
      </c>
      <c r="V13" s="14">
        <v>0.26526251035996201</v>
      </c>
      <c r="W13" s="14">
        <v>0.141261492506537</v>
      </c>
      <c r="X13" s="14">
        <v>9.6886851899366896E-2</v>
      </c>
      <c r="Y13" s="14">
        <v>5.3380571379394497E-2</v>
      </c>
      <c r="Z13" s="14">
        <v>0.123993996178396</v>
      </c>
      <c r="AA13" s="14"/>
      <c r="AB13" s="14">
        <v>0.16130563117583699</v>
      </c>
      <c r="AC13" s="14">
        <v>0.15302345792682001</v>
      </c>
      <c r="AD13" s="14">
        <v>0.33504375400606201</v>
      </c>
      <c r="AE13" s="14">
        <v>0.34180732208178899</v>
      </c>
      <c r="AF13" s="14"/>
      <c r="AG13" s="14">
        <v>0.27650358214578802</v>
      </c>
      <c r="AH13" s="14">
        <v>0.22679736550289301</v>
      </c>
      <c r="AI13" s="14"/>
      <c r="AJ13" s="14">
        <v>0.25913126259608599</v>
      </c>
      <c r="AK13" s="14">
        <v>0.37384987492387101</v>
      </c>
      <c r="AL13" s="14"/>
      <c r="AM13" s="14">
        <v>8.8180370784659096E-2</v>
      </c>
      <c r="AN13" s="14">
        <v>0.240509904707048</v>
      </c>
    </row>
    <row r="14" spans="2:40" x14ac:dyDescent="0.35">
      <c r="B14" s="15" t="s">
        <v>70</v>
      </c>
      <c r="C14" s="20">
        <v>6.5485573223942001E-4</v>
      </c>
      <c r="D14" s="20">
        <v>0</v>
      </c>
      <c r="E14" s="20">
        <v>1.2594169085908501E-3</v>
      </c>
      <c r="F14" s="20"/>
      <c r="G14" s="20" t="s">
        <v>76</v>
      </c>
      <c r="H14" s="20" t="s">
        <v>76</v>
      </c>
      <c r="I14" s="20">
        <v>6.5485573223942001E-4</v>
      </c>
      <c r="J14" s="20"/>
      <c r="K14" s="20" t="s">
        <v>76</v>
      </c>
      <c r="L14" s="20">
        <v>9.9920213371208094E-4</v>
      </c>
      <c r="M14" s="20">
        <v>0</v>
      </c>
      <c r="N14" s="20"/>
      <c r="O14" s="20">
        <v>7.8627158750353005E-4</v>
      </c>
      <c r="P14" s="20">
        <v>0</v>
      </c>
      <c r="Q14" s="20"/>
      <c r="R14" s="20">
        <v>0</v>
      </c>
      <c r="S14" s="20">
        <v>3.8745452068486598E-3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/>
      <c r="AB14" s="20">
        <v>0</v>
      </c>
      <c r="AC14" s="20">
        <v>0</v>
      </c>
      <c r="AD14" s="20">
        <v>0</v>
      </c>
      <c r="AE14" s="20">
        <v>0</v>
      </c>
      <c r="AF14" s="20"/>
      <c r="AG14" s="20">
        <v>0</v>
      </c>
      <c r="AH14" s="20">
        <v>0</v>
      </c>
      <c r="AI14" s="20"/>
      <c r="AJ14" s="20">
        <v>0</v>
      </c>
      <c r="AK14" s="20">
        <v>0</v>
      </c>
      <c r="AL14" s="20"/>
      <c r="AM14" s="20">
        <v>0</v>
      </c>
      <c r="AN14" s="20">
        <v>0</v>
      </c>
    </row>
    <row r="15" spans="2:40" x14ac:dyDescent="0.35">
      <c r="B15" s="16" t="s">
        <v>74</v>
      </c>
    </row>
    <row r="16" spans="2:40" x14ac:dyDescent="0.35">
      <c r="B16" t="s">
        <v>72</v>
      </c>
    </row>
    <row r="17" spans="2:2" x14ac:dyDescent="0.35">
      <c r="B17" t="s">
        <v>73</v>
      </c>
    </row>
    <row r="19" spans="2:2" x14ac:dyDescent="0.35">
      <c r="B19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2:AN19"/>
  <sheetViews>
    <sheetView showGridLines="0" workbookViewId="0">
      <pane xSplit="2" topLeftCell="C1" activePane="topRight" state="frozen"/>
      <selection pane="topRight" activeCell="B19" sqref="B19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90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1216</v>
      </c>
      <c r="D7" s="10">
        <v>613</v>
      </c>
      <c r="E7" s="10">
        <v>598</v>
      </c>
      <c r="F7" s="10"/>
      <c r="G7" s="10" t="s">
        <v>75</v>
      </c>
      <c r="H7" s="10" t="s">
        <v>75</v>
      </c>
      <c r="I7" s="10">
        <v>1216</v>
      </c>
      <c r="J7" s="10"/>
      <c r="K7" s="10" t="s">
        <v>75</v>
      </c>
      <c r="L7" s="10">
        <v>924</v>
      </c>
      <c r="M7" s="10">
        <v>292</v>
      </c>
      <c r="N7" s="10"/>
      <c r="O7" s="10">
        <v>1020</v>
      </c>
      <c r="P7" s="10">
        <v>166</v>
      </c>
      <c r="Q7" s="10"/>
      <c r="R7" s="10">
        <v>177</v>
      </c>
      <c r="S7" s="10">
        <v>216</v>
      </c>
      <c r="T7" s="10">
        <v>97</v>
      </c>
      <c r="U7" s="10">
        <v>116</v>
      </c>
      <c r="V7" s="10">
        <v>104</v>
      </c>
      <c r="W7" s="10">
        <v>152</v>
      </c>
      <c r="X7" s="10">
        <v>76</v>
      </c>
      <c r="Y7" s="10">
        <v>70</v>
      </c>
      <c r="Z7" s="10">
        <v>208</v>
      </c>
      <c r="AA7" s="10"/>
      <c r="AB7" s="10">
        <v>152</v>
      </c>
      <c r="AC7" s="10">
        <v>147</v>
      </c>
      <c r="AD7" s="10">
        <v>152</v>
      </c>
      <c r="AE7" s="10">
        <v>106</v>
      </c>
      <c r="AF7" s="10"/>
      <c r="AG7" s="10">
        <v>95</v>
      </c>
      <c r="AH7" s="10">
        <v>46</v>
      </c>
      <c r="AI7" s="10"/>
      <c r="AJ7" s="10">
        <v>141</v>
      </c>
      <c r="AK7" s="10">
        <v>131</v>
      </c>
      <c r="AL7" s="10"/>
      <c r="AM7" s="10">
        <v>626</v>
      </c>
      <c r="AN7" s="10">
        <v>310</v>
      </c>
    </row>
    <row r="8" spans="2:40" ht="30" customHeight="1" x14ac:dyDescent="0.35">
      <c r="B8" s="11" t="s">
        <v>20</v>
      </c>
      <c r="C8" s="11">
        <v>1136</v>
      </c>
      <c r="D8" s="11">
        <v>540</v>
      </c>
      <c r="E8" s="11">
        <v>591</v>
      </c>
      <c r="F8" s="11"/>
      <c r="G8" s="11" t="s">
        <v>75</v>
      </c>
      <c r="H8" s="11" t="s">
        <v>75</v>
      </c>
      <c r="I8" s="11">
        <v>1136</v>
      </c>
      <c r="J8" s="11"/>
      <c r="K8" s="11" t="s">
        <v>75</v>
      </c>
      <c r="L8" s="11">
        <v>745</v>
      </c>
      <c r="M8" s="11">
        <v>391</v>
      </c>
      <c r="N8" s="11"/>
      <c r="O8" s="11">
        <v>946</v>
      </c>
      <c r="P8" s="11">
        <v>161</v>
      </c>
      <c r="Q8" s="11"/>
      <c r="R8" s="11">
        <v>183</v>
      </c>
      <c r="S8" s="11">
        <v>192</v>
      </c>
      <c r="T8" s="11">
        <v>104</v>
      </c>
      <c r="U8" s="11">
        <v>121</v>
      </c>
      <c r="V8" s="11">
        <v>99</v>
      </c>
      <c r="W8" s="11">
        <v>112</v>
      </c>
      <c r="X8" s="11">
        <v>107</v>
      </c>
      <c r="Y8" s="11">
        <v>62</v>
      </c>
      <c r="Z8" s="11">
        <v>157</v>
      </c>
      <c r="AA8" s="11"/>
      <c r="AB8" s="11">
        <v>117</v>
      </c>
      <c r="AC8" s="11">
        <v>117</v>
      </c>
      <c r="AD8" s="11">
        <v>211</v>
      </c>
      <c r="AE8" s="11">
        <v>141</v>
      </c>
      <c r="AF8" s="11"/>
      <c r="AG8" s="11">
        <v>117</v>
      </c>
      <c r="AH8" s="11">
        <v>63</v>
      </c>
      <c r="AI8" s="11"/>
      <c r="AJ8" s="11">
        <v>180</v>
      </c>
      <c r="AK8" s="11">
        <v>185</v>
      </c>
      <c r="AL8" s="11"/>
      <c r="AM8" s="11">
        <v>567</v>
      </c>
      <c r="AN8" s="11">
        <v>311</v>
      </c>
    </row>
    <row r="9" spans="2:40" x14ac:dyDescent="0.35">
      <c r="B9" s="15" t="s">
        <v>65</v>
      </c>
      <c r="C9" s="14">
        <v>0.129583600698537</v>
      </c>
      <c r="D9" s="14">
        <v>0.16050751491201501</v>
      </c>
      <c r="E9" s="14">
        <v>9.9438964862503504E-2</v>
      </c>
      <c r="F9" s="14"/>
      <c r="G9" s="14" t="s">
        <v>76</v>
      </c>
      <c r="H9" s="14" t="s">
        <v>76</v>
      </c>
      <c r="I9" s="14">
        <v>0.129583600698537</v>
      </c>
      <c r="J9" s="14"/>
      <c r="K9" s="14" t="s">
        <v>76</v>
      </c>
      <c r="L9" s="14">
        <v>0.14593504827944401</v>
      </c>
      <c r="M9" s="14">
        <v>9.8487474434474906E-2</v>
      </c>
      <c r="N9" s="14"/>
      <c r="O9" s="14">
        <v>0.109056821479766</v>
      </c>
      <c r="P9" s="14">
        <v>0.26322360084760199</v>
      </c>
      <c r="Q9" s="14"/>
      <c r="R9" s="14">
        <v>0.22838817965539701</v>
      </c>
      <c r="S9" s="14">
        <v>0.118360825997539</v>
      </c>
      <c r="T9" s="14">
        <v>0.114306403741761</v>
      </c>
      <c r="U9" s="14">
        <v>6.6911561705496406E-2</v>
      </c>
      <c r="V9" s="14">
        <v>8.2809233637184607E-2</v>
      </c>
      <c r="W9" s="14">
        <v>9.9363005727405806E-2</v>
      </c>
      <c r="X9" s="14">
        <v>0.119395746998707</v>
      </c>
      <c r="Y9" s="14">
        <v>0.166898623778614</v>
      </c>
      <c r="Z9" s="14">
        <v>0.12960699467157699</v>
      </c>
      <c r="AA9" s="14"/>
      <c r="AB9" s="14">
        <v>0.17109049234538401</v>
      </c>
      <c r="AC9" s="14">
        <v>0.21796015067982</v>
      </c>
      <c r="AD9" s="14">
        <v>9.15089114520624E-2</v>
      </c>
      <c r="AE9" s="14">
        <v>0.11098890975145</v>
      </c>
      <c r="AF9" s="14"/>
      <c r="AG9" s="14">
        <v>0.19802808529237301</v>
      </c>
      <c r="AH9" s="14">
        <v>1.12804483848032E-2</v>
      </c>
      <c r="AI9" s="14"/>
      <c r="AJ9" s="14">
        <v>0.13275979809164601</v>
      </c>
      <c r="AK9" s="14">
        <v>6.4000058248710606E-2</v>
      </c>
      <c r="AL9" s="14"/>
      <c r="AM9" s="14">
        <v>0.21976913577384199</v>
      </c>
      <c r="AN9" s="14">
        <v>3.8326439406743198E-2</v>
      </c>
    </row>
    <row r="10" spans="2:40" x14ac:dyDescent="0.35">
      <c r="B10" s="15" t="s">
        <v>66</v>
      </c>
      <c r="C10" s="14">
        <v>0.21734215373319399</v>
      </c>
      <c r="D10" s="14">
        <v>0.24731976106664599</v>
      </c>
      <c r="E10" s="14">
        <v>0.19035093807204101</v>
      </c>
      <c r="F10" s="14"/>
      <c r="G10" s="14" t="s">
        <v>76</v>
      </c>
      <c r="H10" s="14" t="s">
        <v>76</v>
      </c>
      <c r="I10" s="14">
        <v>0.21734215373319399</v>
      </c>
      <c r="J10" s="14"/>
      <c r="K10" s="14" t="s">
        <v>76</v>
      </c>
      <c r="L10" s="14">
        <v>0.24246597102065601</v>
      </c>
      <c r="M10" s="14">
        <v>0.169563301693305</v>
      </c>
      <c r="N10" s="14"/>
      <c r="O10" s="14">
        <v>0.208943776218143</v>
      </c>
      <c r="P10" s="14">
        <v>0.26511425231048402</v>
      </c>
      <c r="Q10" s="14"/>
      <c r="R10" s="14">
        <v>0.24276602605606801</v>
      </c>
      <c r="S10" s="14">
        <v>0.194261890684259</v>
      </c>
      <c r="T10" s="14">
        <v>0.212363525075143</v>
      </c>
      <c r="U10" s="14">
        <v>0.18462903250750501</v>
      </c>
      <c r="V10" s="14">
        <v>0.19672490421580299</v>
      </c>
      <c r="W10" s="14">
        <v>0.218451085920219</v>
      </c>
      <c r="X10" s="14">
        <v>0.18889456976609301</v>
      </c>
      <c r="Y10" s="14">
        <v>0.18651330836715099</v>
      </c>
      <c r="Z10" s="14">
        <v>0.288218953249056</v>
      </c>
      <c r="AA10" s="14"/>
      <c r="AB10" s="14">
        <v>0.214410200465044</v>
      </c>
      <c r="AC10" s="14">
        <v>0.319473151756414</v>
      </c>
      <c r="AD10" s="14">
        <v>0.12456607037886</v>
      </c>
      <c r="AE10" s="14">
        <v>0.24108816265548699</v>
      </c>
      <c r="AF10" s="14"/>
      <c r="AG10" s="14">
        <v>0.27388753364725199</v>
      </c>
      <c r="AH10" s="14">
        <v>0.12697859928438099</v>
      </c>
      <c r="AI10" s="14"/>
      <c r="AJ10" s="14">
        <v>0.22254287044760801</v>
      </c>
      <c r="AK10" s="14">
        <v>0.11164388290386699</v>
      </c>
      <c r="AL10" s="14"/>
      <c r="AM10" s="14">
        <v>0.29449520981176203</v>
      </c>
      <c r="AN10" s="14">
        <v>0.110455258285773</v>
      </c>
    </row>
    <row r="11" spans="2:40" x14ac:dyDescent="0.35">
      <c r="B11" s="15" t="s">
        <v>67</v>
      </c>
      <c r="C11" s="14">
        <v>0.283196119924081</v>
      </c>
      <c r="D11" s="14">
        <v>0.28539745067890598</v>
      </c>
      <c r="E11" s="14">
        <v>0.282301281874207</v>
      </c>
      <c r="F11" s="14"/>
      <c r="G11" s="14" t="s">
        <v>76</v>
      </c>
      <c r="H11" s="14" t="s">
        <v>76</v>
      </c>
      <c r="I11" s="14">
        <v>0.283196119924081</v>
      </c>
      <c r="J11" s="14"/>
      <c r="K11" s="14" t="s">
        <v>76</v>
      </c>
      <c r="L11" s="14">
        <v>0.316045830158309</v>
      </c>
      <c r="M11" s="14">
        <v>0.22072466397946</v>
      </c>
      <c r="N11" s="14"/>
      <c r="O11" s="14">
        <v>0.29437729062849499</v>
      </c>
      <c r="P11" s="14">
        <v>0.222041555570963</v>
      </c>
      <c r="Q11" s="14"/>
      <c r="R11" s="14">
        <v>0.235145332093882</v>
      </c>
      <c r="S11" s="14">
        <v>0.28804007551016497</v>
      </c>
      <c r="T11" s="14">
        <v>0.27870656154185602</v>
      </c>
      <c r="U11" s="14">
        <v>0.26919369924416497</v>
      </c>
      <c r="V11" s="14">
        <v>0.25587021832444801</v>
      </c>
      <c r="W11" s="14">
        <v>0.28220732855004499</v>
      </c>
      <c r="X11" s="14">
        <v>0.400922551801351</v>
      </c>
      <c r="Y11" s="14">
        <v>0.280177200267125</v>
      </c>
      <c r="Z11" s="14">
        <v>0.28594654916908502</v>
      </c>
      <c r="AA11" s="14"/>
      <c r="AB11" s="14">
        <v>0.28814002234700398</v>
      </c>
      <c r="AC11" s="14">
        <v>0.258597523748687</v>
      </c>
      <c r="AD11" s="14">
        <v>0.208039947701634</v>
      </c>
      <c r="AE11" s="14">
        <v>0.22329692604424201</v>
      </c>
      <c r="AF11" s="14"/>
      <c r="AG11" s="14">
        <v>0.21195105005461401</v>
      </c>
      <c r="AH11" s="14">
        <v>0.30695832859580102</v>
      </c>
      <c r="AI11" s="14"/>
      <c r="AJ11" s="14">
        <v>0.24515608785144999</v>
      </c>
      <c r="AK11" s="14">
        <v>0.20594310823509099</v>
      </c>
      <c r="AL11" s="14"/>
      <c r="AM11" s="14">
        <v>0.27542616401498399</v>
      </c>
      <c r="AN11" s="14">
        <v>0.21766451007013701</v>
      </c>
    </row>
    <row r="12" spans="2:40" x14ac:dyDescent="0.35">
      <c r="B12" s="15" t="s">
        <v>68</v>
      </c>
      <c r="C12" s="14">
        <v>0.21374479723943501</v>
      </c>
      <c r="D12" s="14">
        <v>0.182008634503146</v>
      </c>
      <c r="E12" s="14">
        <v>0.24455820495803099</v>
      </c>
      <c r="F12" s="14"/>
      <c r="G12" s="14" t="s">
        <v>76</v>
      </c>
      <c r="H12" s="14" t="s">
        <v>76</v>
      </c>
      <c r="I12" s="14">
        <v>0.21374479723943501</v>
      </c>
      <c r="J12" s="14"/>
      <c r="K12" s="14" t="s">
        <v>76</v>
      </c>
      <c r="L12" s="14">
        <v>0.219218142942285</v>
      </c>
      <c r="M12" s="14">
        <v>0.20333594210776801</v>
      </c>
      <c r="N12" s="14"/>
      <c r="O12" s="14">
        <v>0.226044071119719</v>
      </c>
      <c r="P12" s="14">
        <v>0.120211784833387</v>
      </c>
      <c r="Q12" s="14"/>
      <c r="R12" s="14">
        <v>0.19011637745951199</v>
      </c>
      <c r="S12" s="14">
        <v>0.22306280678000101</v>
      </c>
      <c r="T12" s="14">
        <v>0.192986961185108</v>
      </c>
      <c r="U12" s="14">
        <v>0.307674791973854</v>
      </c>
      <c r="V12" s="14">
        <v>0.16149101073428801</v>
      </c>
      <c r="W12" s="14">
        <v>0.22599160162710499</v>
      </c>
      <c r="X12" s="14">
        <v>0.17274452058526199</v>
      </c>
      <c r="Y12" s="14">
        <v>0.317574139788523</v>
      </c>
      <c r="Z12" s="14">
        <v>0.182176929678626</v>
      </c>
      <c r="AA12" s="14"/>
      <c r="AB12" s="14">
        <v>0.28206446951222902</v>
      </c>
      <c r="AC12" s="14">
        <v>0.16994107464070499</v>
      </c>
      <c r="AD12" s="14">
        <v>0.22998121752789599</v>
      </c>
      <c r="AE12" s="14">
        <v>0.14678578121938801</v>
      </c>
      <c r="AF12" s="14"/>
      <c r="AG12" s="14">
        <v>0.100538315233895</v>
      </c>
      <c r="AH12" s="14">
        <v>0.268362654318618</v>
      </c>
      <c r="AI12" s="14"/>
      <c r="AJ12" s="14">
        <v>0.15919291105121899</v>
      </c>
      <c r="AK12" s="14">
        <v>0.25996724379153702</v>
      </c>
      <c r="AL12" s="14"/>
      <c r="AM12" s="14">
        <v>0.11827899656891901</v>
      </c>
      <c r="AN12" s="14">
        <v>0.36507420404205998</v>
      </c>
    </row>
    <row r="13" spans="2:40" ht="29" x14ac:dyDescent="0.35">
      <c r="B13" s="15" t="s">
        <v>69</v>
      </c>
      <c r="C13" s="14">
        <v>0.15339182807910401</v>
      </c>
      <c r="D13" s="14">
        <v>0.120754457233737</v>
      </c>
      <c r="E13" s="14">
        <v>0.181748810631427</v>
      </c>
      <c r="F13" s="14"/>
      <c r="G13" s="14" t="s">
        <v>76</v>
      </c>
      <c r="H13" s="14" t="s">
        <v>76</v>
      </c>
      <c r="I13" s="14">
        <v>0.15339182807910401</v>
      </c>
      <c r="J13" s="14"/>
      <c r="K13" s="14" t="s">
        <v>76</v>
      </c>
      <c r="L13" s="14">
        <v>7.2151929036957593E-2</v>
      </c>
      <c r="M13" s="14">
        <v>0.30788861778499199</v>
      </c>
      <c r="N13" s="14"/>
      <c r="O13" s="14">
        <v>0.15828637842576501</v>
      </c>
      <c r="P13" s="14">
        <v>0.129408806437564</v>
      </c>
      <c r="Q13" s="14"/>
      <c r="R13" s="14">
        <v>0.103584084735141</v>
      </c>
      <c r="S13" s="14">
        <v>0.16844550381606199</v>
      </c>
      <c r="T13" s="14">
        <v>0.192514685019854</v>
      </c>
      <c r="U13" s="14">
        <v>0.17159091456897901</v>
      </c>
      <c r="V13" s="14">
        <v>0.30310463308827601</v>
      </c>
      <c r="W13" s="14">
        <v>0.16806386906431101</v>
      </c>
      <c r="X13" s="14">
        <v>0.118042610848588</v>
      </c>
      <c r="Y13" s="14">
        <v>4.8836727798587401E-2</v>
      </c>
      <c r="Z13" s="14">
        <v>0.114050573231655</v>
      </c>
      <c r="AA13" s="14"/>
      <c r="AB13" s="14">
        <v>4.4294815330338903E-2</v>
      </c>
      <c r="AC13" s="14">
        <v>3.4028099174374403E-2</v>
      </c>
      <c r="AD13" s="14">
        <v>0.34590385293954701</v>
      </c>
      <c r="AE13" s="14">
        <v>0.27784022032943401</v>
      </c>
      <c r="AF13" s="14"/>
      <c r="AG13" s="14">
        <v>0.21559501577186599</v>
      </c>
      <c r="AH13" s="14">
        <v>0.28641996941639603</v>
      </c>
      <c r="AI13" s="14"/>
      <c r="AJ13" s="14">
        <v>0.240348332558077</v>
      </c>
      <c r="AK13" s="14">
        <v>0.35844570682079402</v>
      </c>
      <c r="AL13" s="14"/>
      <c r="AM13" s="14">
        <v>8.9188326629754705E-2</v>
      </c>
      <c r="AN13" s="14">
        <v>0.26591689558371501</v>
      </c>
    </row>
    <row r="14" spans="2:40" x14ac:dyDescent="0.35">
      <c r="B14" s="15" t="s">
        <v>70</v>
      </c>
      <c r="C14" s="20">
        <v>2.7415003256491899E-3</v>
      </c>
      <c r="D14" s="20">
        <v>4.0121816055490797E-3</v>
      </c>
      <c r="E14" s="20">
        <v>1.60179960178978E-3</v>
      </c>
      <c r="F14" s="20"/>
      <c r="G14" s="20" t="s">
        <v>76</v>
      </c>
      <c r="H14" s="20" t="s">
        <v>76</v>
      </c>
      <c r="I14" s="20">
        <v>2.7415003256491899E-3</v>
      </c>
      <c r="J14" s="20"/>
      <c r="K14" s="20" t="s">
        <v>76</v>
      </c>
      <c r="L14" s="20">
        <v>4.1830785623474202E-3</v>
      </c>
      <c r="M14" s="20">
        <v>0</v>
      </c>
      <c r="N14" s="20"/>
      <c r="O14" s="20">
        <v>3.2916621281121302E-3</v>
      </c>
      <c r="P14" s="20">
        <v>0</v>
      </c>
      <c r="Q14" s="20"/>
      <c r="R14" s="20">
        <v>0</v>
      </c>
      <c r="S14" s="20">
        <v>7.8288972119739501E-3</v>
      </c>
      <c r="T14" s="20">
        <v>9.1218634362777197E-3</v>
      </c>
      <c r="U14" s="20">
        <v>0</v>
      </c>
      <c r="V14" s="20">
        <v>0</v>
      </c>
      <c r="W14" s="20">
        <v>5.9231091109142701E-3</v>
      </c>
      <c r="X14" s="20">
        <v>0</v>
      </c>
      <c r="Y14" s="20">
        <v>0</v>
      </c>
      <c r="Z14" s="20">
        <v>0</v>
      </c>
      <c r="AA14" s="20"/>
      <c r="AB14" s="20">
        <v>0</v>
      </c>
      <c r="AC14" s="20">
        <v>0</v>
      </c>
      <c r="AD14" s="20">
        <v>0</v>
      </c>
      <c r="AE14" s="20">
        <v>0</v>
      </c>
      <c r="AF14" s="20"/>
      <c r="AG14" s="20">
        <v>0</v>
      </c>
      <c r="AH14" s="20">
        <v>0</v>
      </c>
      <c r="AI14" s="20"/>
      <c r="AJ14" s="20">
        <v>0</v>
      </c>
      <c r="AK14" s="20">
        <v>0</v>
      </c>
      <c r="AL14" s="20"/>
      <c r="AM14" s="20">
        <v>2.84216720073819E-3</v>
      </c>
      <c r="AN14" s="20">
        <v>2.56269261157207E-3</v>
      </c>
    </row>
    <row r="15" spans="2:40" x14ac:dyDescent="0.35">
      <c r="B15" s="16" t="s">
        <v>74</v>
      </c>
    </row>
    <row r="16" spans="2:40" x14ac:dyDescent="0.35">
      <c r="B16" t="s">
        <v>72</v>
      </c>
    </row>
    <row r="17" spans="2:2" x14ac:dyDescent="0.35">
      <c r="B17" t="s">
        <v>73</v>
      </c>
    </row>
    <row r="19" spans="2:2" x14ac:dyDescent="0.35">
      <c r="B19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2:AN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91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1216</v>
      </c>
      <c r="D7" s="10">
        <v>613</v>
      </c>
      <c r="E7" s="10">
        <v>598</v>
      </c>
      <c r="F7" s="10"/>
      <c r="G7" s="10" t="s">
        <v>75</v>
      </c>
      <c r="H7" s="10" t="s">
        <v>75</v>
      </c>
      <c r="I7" s="10">
        <v>1216</v>
      </c>
      <c r="J7" s="10"/>
      <c r="K7" s="10" t="s">
        <v>75</v>
      </c>
      <c r="L7" s="10">
        <v>924</v>
      </c>
      <c r="M7" s="10">
        <v>292</v>
      </c>
      <c r="N7" s="10"/>
      <c r="O7" s="10">
        <v>1020</v>
      </c>
      <c r="P7" s="10">
        <v>166</v>
      </c>
      <c r="Q7" s="10"/>
      <c r="R7" s="10">
        <v>177</v>
      </c>
      <c r="S7" s="10">
        <v>216</v>
      </c>
      <c r="T7" s="10">
        <v>97</v>
      </c>
      <c r="U7" s="10">
        <v>116</v>
      </c>
      <c r="V7" s="10">
        <v>104</v>
      </c>
      <c r="W7" s="10">
        <v>152</v>
      </c>
      <c r="X7" s="10">
        <v>76</v>
      </c>
      <c r="Y7" s="10">
        <v>70</v>
      </c>
      <c r="Z7" s="10">
        <v>208</v>
      </c>
      <c r="AA7" s="10"/>
      <c r="AB7" s="10">
        <v>152</v>
      </c>
      <c r="AC7" s="10">
        <v>147</v>
      </c>
      <c r="AD7" s="10">
        <v>152</v>
      </c>
      <c r="AE7" s="10">
        <v>106</v>
      </c>
      <c r="AF7" s="10"/>
      <c r="AG7" s="10">
        <v>95</v>
      </c>
      <c r="AH7" s="10">
        <v>46</v>
      </c>
      <c r="AI7" s="10"/>
      <c r="AJ7" s="10">
        <v>141</v>
      </c>
      <c r="AK7" s="10">
        <v>131</v>
      </c>
      <c r="AL7" s="10"/>
      <c r="AM7" s="10">
        <v>626</v>
      </c>
      <c r="AN7" s="10">
        <v>310</v>
      </c>
    </row>
    <row r="8" spans="2:40" ht="30" customHeight="1" x14ac:dyDescent="0.35">
      <c r="B8" s="11" t="s">
        <v>20</v>
      </c>
      <c r="C8" s="11">
        <v>1136</v>
      </c>
      <c r="D8" s="11">
        <v>540</v>
      </c>
      <c r="E8" s="11">
        <v>591</v>
      </c>
      <c r="F8" s="11"/>
      <c r="G8" s="11" t="s">
        <v>75</v>
      </c>
      <c r="H8" s="11" t="s">
        <v>75</v>
      </c>
      <c r="I8" s="11">
        <v>1136</v>
      </c>
      <c r="J8" s="11"/>
      <c r="K8" s="11" t="s">
        <v>75</v>
      </c>
      <c r="L8" s="11">
        <v>745</v>
      </c>
      <c r="M8" s="11">
        <v>391</v>
      </c>
      <c r="N8" s="11"/>
      <c r="O8" s="11">
        <v>946</v>
      </c>
      <c r="P8" s="11">
        <v>161</v>
      </c>
      <c r="Q8" s="11"/>
      <c r="R8" s="11">
        <v>183</v>
      </c>
      <c r="S8" s="11">
        <v>192</v>
      </c>
      <c r="T8" s="11">
        <v>104</v>
      </c>
      <c r="U8" s="11">
        <v>121</v>
      </c>
      <c r="V8" s="11">
        <v>99</v>
      </c>
      <c r="W8" s="11">
        <v>112</v>
      </c>
      <c r="X8" s="11">
        <v>107</v>
      </c>
      <c r="Y8" s="11">
        <v>62</v>
      </c>
      <c r="Z8" s="11">
        <v>157</v>
      </c>
      <c r="AA8" s="11"/>
      <c r="AB8" s="11">
        <v>117</v>
      </c>
      <c r="AC8" s="11">
        <v>117</v>
      </c>
      <c r="AD8" s="11">
        <v>211</v>
      </c>
      <c r="AE8" s="11">
        <v>141</v>
      </c>
      <c r="AF8" s="11"/>
      <c r="AG8" s="11">
        <v>117</v>
      </c>
      <c r="AH8" s="11">
        <v>63</v>
      </c>
      <c r="AI8" s="11"/>
      <c r="AJ8" s="11">
        <v>180</v>
      </c>
      <c r="AK8" s="11">
        <v>185</v>
      </c>
      <c r="AL8" s="11"/>
      <c r="AM8" s="11">
        <v>567</v>
      </c>
      <c r="AN8" s="11">
        <v>311</v>
      </c>
    </row>
    <row r="9" spans="2:40" x14ac:dyDescent="0.35">
      <c r="B9" s="15" t="s">
        <v>65</v>
      </c>
      <c r="C9" s="14">
        <v>0.16462144528007</v>
      </c>
      <c r="D9" s="14">
        <v>0.158040744439507</v>
      </c>
      <c r="E9" s="14">
        <v>0.167706309058782</v>
      </c>
      <c r="F9" s="14"/>
      <c r="G9" s="14" t="s">
        <v>76</v>
      </c>
      <c r="H9" s="14" t="s">
        <v>76</v>
      </c>
      <c r="I9" s="14">
        <v>0.16462144528007</v>
      </c>
      <c r="J9" s="14"/>
      <c r="K9" s="14" t="s">
        <v>76</v>
      </c>
      <c r="L9" s="14">
        <v>0.155861925032101</v>
      </c>
      <c r="M9" s="14">
        <v>0.181279734785981</v>
      </c>
      <c r="N9" s="14"/>
      <c r="O9" s="14">
        <v>0.14701578790800701</v>
      </c>
      <c r="P9" s="14">
        <v>0.28789776214364698</v>
      </c>
      <c r="Q9" s="14"/>
      <c r="R9" s="14">
        <v>0.249877838179832</v>
      </c>
      <c r="S9" s="14">
        <v>0.16606299678173</v>
      </c>
      <c r="T9" s="14">
        <v>0.121277458290994</v>
      </c>
      <c r="U9" s="14">
        <v>0.124846383175635</v>
      </c>
      <c r="V9" s="14">
        <v>0.176943872798379</v>
      </c>
      <c r="W9" s="14">
        <v>0.135998830388985</v>
      </c>
      <c r="X9" s="14">
        <v>0.13704016408390801</v>
      </c>
      <c r="Y9" s="14">
        <v>0.16913708339358099</v>
      </c>
      <c r="Z9" s="14">
        <v>0.152434622795622</v>
      </c>
      <c r="AA9" s="14"/>
      <c r="AB9" s="14">
        <v>0.165288114097248</v>
      </c>
      <c r="AC9" s="14">
        <v>0.281385105790039</v>
      </c>
      <c r="AD9" s="14">
        <v>0.13921979363880399</v>
      </c>
      <c r="AE9" s="14">
        <v>0.246589037581978</v>
      </c>
      <c r="AF9" s="14"/>
      <c r="AG9" s="14">
        <v>0.27102861587843602</v>
      </c>
      <c r="AH9" s="14">
        <v>0.117085075532114</v>
      </c>
      <c r="AI9" s="14"/>
      <c r="AJ9" s="14">
        <v>0.21722535833577999</v>
      </c>
      <c r="AK9" s="14">
        <v>0.16270391522045499</v>
      </c>
      <c r="AL9" s="14"/>
      <c r="AM9" s="14">
        <v>0.226171241402779</v>
      </c>
      <c r="AN9" s="14">
        <v>8.6537409699975101E-2</v>
      </c>
    </row>
    <row r="10" spans="2:40" x14ac:dyDescent="0.35">
      <c r="B10" s="15" t="s">
        <v>66</v>
      </c>
      <c r="C10" s="14">
        <v>0.25084851859156998</v>
      </c>
      <c r="D10" s="14">
        <v>0.25690296298027898</v>
      </c>
      <c r="E10" s="14">
        <v>0.24615936677222799</v>
      </c>
      <c r="F10" s="14"/>
      <c r="G10" s="14" t="s">
        <v>76</v>
      </c>
      <c r="H10" s="14" t="s">
        <v>76</v>
      </c>
      <c r="I10" s="14">
        <v>0.25084851859156998</v>
      </c>
      <c r="J10" s="14"/>
      <c r="K10" s="14" t="s">
        <v>76</v>
      </c>
      <c r="L10" s="14">
        <v>0.281575715594235</v>
      </c>
      <c r="M10" s="14">
        <v>0.19241352113903501</v>
      </c>
      <c r="N10" s="14"/>
      <c r="O10" s="14">
        <v>0.24887858821637099</v>
      </c>
      <c r="P10" s="14">
        <v>0.26575111117929801</v>
      </c>
      <c r="Q10" s="14"/>
      <c r="R10" s="14">
        <v>0.272806321231091</v>
      </c>
      <c r="S10" s="14">
        <v>0.232692139301064</v>
      </c>
      <c r="T10" s="14">
        <v>0.195340312921019</v>
      </c>
      <c r="U10" s="14">
        <v>0.28092866379201897</v>
      </c>
      <c r="V10" s="14">
        <v>0.16239629973747</v>
      </c>
      <c r="W10" s="14">
        <v>0.263902493428463</v>
      </c>
      <c r="X10" s="14">
        <v>0.31454488602202102</v>
      </c>
      <c r="Y10" s="14">
        <v>0.18659031309368701</v>
      </c>
      <c r="Z10" s="14">
        <v>0.289517957911964</v>
      </c>
      <c r="AA10" s="14"/>
      <c r="AB10" s="14">
        <v>0.25145660928027802</v>
      </c>
      <c r="AC10" s="14">
        <v>0.30675148418616099</v>
      </c>
      <c r="AD10" s="14">
        <v>0.20469283521001699</v>
      </c>
      <c r="AE10" s="14">
        <v>0.18759348745553101</v>
      </c>
      <c r="AF10" s="14"/>
      <c r="AG10" s="14">
        <v>0.191248519524849</v>
      </c>
      <c r="AH10" s="14">
        <v>0.104852440283892</v>
      </c>
      <c r="AI10" s="14"/>
      <c r="AJ10" s="14">
        <v>0.16105309533478801</v>
      </c>
      <c r="AK10" s="14">
        <v>0.19512908640999299</v>
      </c>
      <c r="AL10" s="14"/>
      <c r="AM10" s="14">
        <v>0.31210057085176401</v>
      </c>
      <c r="AN10" s="14">
        <v>0.159107431387185</v>
      </c>
    </row>
    <row r="11" spans="2:40" x14ac:dyDescent="0.35">
      <c r="B11" s="15" t="s">
        <v>67</v>
      </c>
      <c r="C11" s="14">
        <v>0.29280203588266501</v>
      </c>
      <c r="D11" s="14">
        <v>0.31921716927363403</v>
      </c>
      <c r="E11" s="14">
        <v>0.27107215090324899</v>
      </c>
      <c r="F11" s="14"/>
      <c r="G11" s="14" t="s">
        <v>76</v>
      </c>
      <c r="H11" s="14" t="s">
        <v>76</v>
      </c>
      <c r="I11" s="14">
        <v>0.29280203588266501</v>
      </c>
      <c r="J11" s="14"/>
      <c r="K11" s="14" t="s">
        <v>76</v>
      </c>
      <c r="L11" s="14">
        <v>0.33327525856226198</v>
      </c>
      <c r="M11" s="14">
        <v>0.21583267665432199</v>
      </c>
      <c r="N11" s="14"/>
      <c r="O11" s="14">
        <v>0.30703940667227297</v>
      </c>
      <c r="P11" s="14">
        <v>0.21471150256197899</v>
      </c>
      <c r="Q11" s="14"/>
      <c r="R11" s="14">
        <v>0.21575909173187699</v>
      </c>
      <c r="S11" s="14">
        <v>0.28347031718931798</v>
      </c>
      <c r="T11" s="14">
        <v>0.382199596919165</v>
      </c>
      <c r="U11" s="14">
        <v>0.30959444685054899</v>
      </c>
      <c r="V11" s="14">
        <v>0.32718281171336999</v>
      </c>
      <c r="W11" s="14">
        <v>0.33410196076371401</v>
      </c>
      <c r="X11" s="14">
        <v>0.28143399280153297</v>
      </c>
      <c r="Y11" s="14">
        <v>0.24569362456451199</v>
      </c>
      <c r="Z11" s="14">
        <v>0.29726501369428798</v>
      </c>
      <c r="AA11" s="14"/>
      <c r="AB11" s="14">
        <v>0.343913020145864</v>
      </c>
      <c r="AC11" s="14">
        <v>0.31530319056241002</v>
      </c>
      <c r="AD11" s="14">
        <v>0.26519134661145499</v>
      </c>
      <c r="AE11" s="14">
        <v>0.13861628463995099</v>
      </c>
      <c r="AF11" s="14"/>
      <c r="AG11" s="14">
        <v>0.14819732770310201</v>
      </c>
      <c r="AH11" s="14">
        <v>0.313159606615243</v>
      </c>
      <c r="AI11" s="14"/>
      <c r="AJ11" s="14">
        <v>0.20585163367246201</v>
      </c>
      <c r="AK11" s="14">
        <v>0.238242324684275</v>
      </c>
      <c r="AL11" s="14"/>
      <c r="AM11" s="14">
        <v>0.244697068590013</v>
      </c>
      <c r="AN11" s="14">
        <v>0.31782287979560497</v>
      </c>
    </row>
    <row r="12" spans="2:40" x14ac:dyDescent="0.35">
      <c r="B12" s="15" t="s">
        <v>68</v>
      </c>
      <c r="C12" s="14">
        <v>0.15025981194060301</v>
      </c>
      <c r="D12" s="14">
        <v>0.13123756943120199</v>
      </c>
      <c r="E12" s="14">
        <v>0.16744732835472301</v>
      </c>
      <c r="F12" s="14"/>
      <c r="G12" s="14" t="s">
        <v>76</v>
      </c>
      <c r="H12" s="14" t="s">
        <v>76</v>
      </c>
      <c r="I12" s="14">
        <v>0.15025981194060301</v>
      </c>
      <c r="J12" s="14"/>
      <c r="K12" s="14" t="s">
        <v>76</v>
      </c>
      <c r="L12" s="14">
        <v>0.16739854927122899</v>
      </c>
      <c r="M12" s="14">
        <v>0.117666468910714</v>
      </c>
      <c r="N12" s="14"/>
      <c r="O12" s="14">
        <v>0.15562038628576699</v>
      </c>
      <c r="P12" s="14">
        <v>7.5685582573478599E-2</v>
      </c>
      <c r="Q12" s="14"/>
      <c r="R12" s="14">
        <v>0.138391521571781</v>
      </c>
      <c r="S12" s="14">
        <v>0.16598894341079001</v>
      </c>
      <c r="T12" s="14">
        <v>9.1969562908334399E-2</v>
      </c>
      <c r="U12" s="14">
        <v>0.161778907859218</v>
      </c>
      <c r="V12" s="14">
        <v>0.102874155182964</v>
      </c>
      <c r="W12" s="14">
        <v>0.13619065927583701</v>
      </c>
      <c r="X12" s="14">
        <v>0.18795687820899201</v>
      </c>
      <c r="Y12" s="14">
        <v>0.29190516698631802</v>
      </c>
      <c r="Z12" s="14">
        <v>0.13248742189833801</v>
      </c>
      <c r="AA12" s="14"/>
      <c r="AB12" s="14">
        <v>0.20879938103592</v>
      </c>
      <c r="AC12" s="14">
        <v>7.4444149271832502E-2</v>
      </c>
      <c r="AD12" s="14">
        <v>9.6125662833659004E-2</v>
      </c>
      <c r="AE12" s="14">
        <v>0.12823723735263601</v>
      </c>
      <c r="AF12" s="14"/>
      <c r="AG12" s="14">
        <v>5.2952982726981797E-2</v>
      </c>
      <c r="AH12" s="14">
        <v>0.17028699899771099</v>
      </c>
      <c r="AI12" s="14"/>
      <c r="AJ12" s="14">
        <v>9.3961213937763396E-2</v>
      </c>
      <c r="AK12" s="14">
        <v>0.13521333775798999</v>
      </c>
      <c r="AL12" s="14"/>
      <c r="AM12" s="14">
        <v>0.109047299700678</v>
      </c>
      <c r="AN12" s="14">
        <v>0.21372978712794899</v>
      </c>
    </row>
    <row r="13" spans="2:40" ht="29" x14ac:dyDescent="0.35">
      <c r="B13" s="15" t="s">
        <v>69</v>
      </c>
      <c r="C13" s="14">
        <v>0.13934530637961601</v>
      </c>
      <c r="D13" s="14">
        <v>0.133370925289199</v>
      </c>
      <c r="E13" s="14">
        <v>0.14465799573695701</v>
      </c>
      <c r="F13" s="14"/>
      <c r="G13" s="14" t="s">
        <v>76</v>
      </c>
      <c r="H13" s="14" t="s">
        <v>76</v>
      </c>
      <c r="I13" s="14">
        <v>0.13934530637961601</v>
      </c>
      <c r="J13" s="14"/>
      <c r="K13" s="14" t="s">
        <v>76</v>
      </c>
      <c r="L13" s="14">
        <v>5.8649382903288701E-2</v>
      </c>
      <c r="M13" s="14">
        <v>0.29280759850994897</v>
      </c>
      <c r="N13" s="14"/>
      <c r="O13" s="14">
        <v>0.13996939846119599</v>
      </c>
      <c r="P13" s="14">
        <v>0.155954041541598</v>
      </c>
      <c r="Q13" s="14"/>
      <c r="R13" s="14">
        <v>0.117615737351644</v>
      </c>
      <c r="S13" s="14">
        <v>0.15178560331709801</v>
      </c>
      <c r="T13" s="14">
        <v>0.209213068960487</v>
      </c>
      <c r="U13" s="14">
        <v>0.122851598322579</v>
      </c>
      <c r="V13" s="14">
        <v>0.23060286056781801</v>
      </c>
      <c r="W13" s="14">
        <v>0.12388294703208701</v>
      </c>
      <c r="X13" s="14">
        <v>7.9024078883546303E-2</v>
      </c>
      <c r="Y13" s="14">
        <v>0.106673811961903</v>
      </c>
      <c r="Z13" s="14">
        <v>0.12362715930318199</v>
      </c>
      <c r="AA13" s="14"/>
      <c r="AB13" s="14">
        <v>3.05428754406902E-2</v>
      </c>
      <c r="AC13" s="14">
        <v>2.21160701895576E-2</v>
      </c>
      <c r="AD13" s="14">
        <v>0.29477036170606602</v>
      </c>
      <c r="AE13" s="14">
        <v>0.29896395296990302</v>
      </c>
      <c r="AF13" s="14"/>
      <c r="AG13" s="14">
        <v>0.33657255416663201</v>
      </c>
      <c r="AH13" s="14">
        <v>0.29461587857103999</v>
      </c>
      <c r="AI13" s="14"/>
      <c r="AJ13" s="14">
        <v>0.32190869871920702</v>
      </c>
      <c r="AK13" s="14">
        <v>0.26871133592728702</v>
      </c>
      <c r="AL13" s="14"/>
      <c r="AM13" s="14">
        <v>0.105519664267401</v>
      </c>
      <c r="AN13" s="14">
        <v>0.219543236255755</v>
      </c>
    </row>
    <row r="14" spans="2:40" x14ac:dyDescent="0.35">
      <c r="B14" s="15" t="s">
        <v>70</v>
      </c>
      <c r="C14" s="20">
        <v>2.1228819254748201E-3</v>
      </c>
      <c r="D14" s="20">
        <v>1.2306285861786899E-3</v>
      </c>
      <c r="E14" s="20">
        <v>2.9568491740616298E-3</v>
      </c>
      <c r="F14" s="20"/>
      <c r="G14" s="20" t="s">
        <v>76</v>
      </c>
      <c r="H14" s="20" t="s">
        <v>76</v>
      </c>
      <c r="I14" s="20">
        <v>2.1228819254748201E-3</v>
      </c>
      <c r="J14" s="20"/>
      <c r="K14" s="20" t="s">
        <v>76</v>
      </c>
      <c r="L14" s="20">
        <v>3.2391686368834199E-3</v>
      </c>
      <c r="M14" s="20">
        <v>0</v>
      </c>
      <c r="N14" s="20"/>
      <c r="O14" s="20">
        <v>1.4764324563844599E-3</v>
      </c>
      <c r="P14" s="20">
        <v>0</v>
      </c>
      <c r="Q14" s="20"/>
      <c r="R14" s="20">
        <v>5.5494899337761904E-3</v>
      </c>
      <c r="S14" s="20">
        <v>0</v>
      </c>
      <c r="T14" s="20">
        <v>0</v>
      </c>
      <c r="U14" s="20">
        <v>0</v>
      </c>
      <c r="V14" s="20">
        <v>0</v>
      </c>
      <c r="W14" s="20">
        <v>5.9231091109142701E-3</v>
      </c>
      <c r="X14" s="20">
        <v>0</v>
      </c>
      <c r="Y14" s="20">
        <v>0</v>
      </c>
      <c r="Z14" s="20">
        <v>4.6678243966069496E-3</v>
      </c>
      <c r="AA14" s="20"/>
      <c r="AB14" s="20">
        <v>0</v>
      </c>
      <c r="AC14" s="20">
        <v>0</v>
      </c>
      <c r="AD14" s="20">
        <v>0</v>
      </c>
      <c r="AE14" s="20">
        <v>0</v>
      </c>
      <c r="AF14" s="20"/>
      <c r="AG14" s="20">
        <v>0</v>
      </c>
      <c r="AH14" s="20">
        <v>0</v>
      </c>
      <c r="AI14" s="20"/>
      <c r="AJ14" s="20">
        <v>0</v>
      </c>
      <c r="AK14" s="20">
        <v>0</v>
      </c>
      <c r="AL14" s="20"/>
      <c r="AM14" s="20">
        <v>2.4641551873634099E-3</v>
      </c>
      <c r="AN14" s="20">
        <v>3.2592557335306598E-3</v>
      </c>
    </row>
    <row r="15" spans="2:40" x14ac:dyDescent="0.35">
      <c r="B15" s="16" t="s">
        <v>74</v>
      </c>
    </row>
    <row r="16" spans="2:40" x14ac:dyDescent="0.35">
      <c r="B16" t="s">
        <v>72</v>
      </c>
    </row>
    <row r="17" spans="2:2" x14ac:dyDescent="0.35">
      <c r="B17" t="s">
        <v>73</v>
      </c>
    </row>
    <row r="19" spans="2:2" x14ac:dyDescent="0.35">
      <c r="B19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2:AN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92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1216</v>
      </c>
      <c r="D7" s="10">
        <v>613</v>
      </c>
      <c r="E7" s="10">
        <v>598</v>
      </c>
      <c r="F7" s="10"/>
      <c r="G7" s="10" t="s">
        <v>75</v>
      </c>
      <c r="H7" s="10" t="s">
        <v>75</v>
      </c>
      <c r="I7" s="10">
        <v>1216</v>
      </c>
      <c r="J7" s="10"/>
      <c r="K7" s="10" t="s">
        <v>75</v>
      </c>
      <c r="L7" s="10">
        <v>924</v>
      </c>
      <c r="M7" s="10">
        <v>292</v>
      </c>
      <c r="N7" s="10"/>
      <c r="O7" s="10">
        <v>1020</v>
      </c>
      <c r="P7" s="10">
        <v>166</v>
      </c>
      <c r="Q7" s="10"/>
      <c r="R7" s="10">
        <v>177</v>
      </c>
      <c r="S7" s="10">
        <v>216</v>
      </c>
      <c r="T7" s="10">
        <v>97</v>
      </c>
      <c r="U7" s="10">
        <v>116</v>
      </c>
      <c r="V7" s="10">
        <v>104</v>
      </c>
      <c r="W7" s="10">
        <v>152</v>
      </c>
      <c r="X7" s="10">
        <v>76</v>
      </c>
      <c r="Y7" s="10">
        <v>70</v>
      </c>
      <c r="Z7" s="10">
        <v>208</v>
      </c>
      <c r="AA7" s="10"/>
      <c r="AB7" s="10">
        <v>152</v>
      </c>
      <c r="AC7" s="10">
        <v>147</v>
      </c>
      <c r="AD7" s="10">
        <v>152</v>
      </c>
      <c r="AE7" s="10">
        <v>106</v>
      </c>
      <c r="AF7" s="10"/>
      <c r="AG7" s="10">
        <v>95</v>
      </c>
      <c r="AH7" s="10">
        <v>46</v>
      </c>
      <c r="AI7" s="10"/>
      <c r="AJ7" s="10">
        <v>141</v>
      </c>
      <c r="AK7" s="10">
        <v>131</v>
      </c>
      <c r="AL7" s="10"/>
      <c r="AM7" s="10">
        <v>626</v>
      </c>
      <c r="AN7" s="10">
        <v>310</v>
      </c>
    </row>
    <row r="8" spans="2:40" ht="30" customHeight="1" x14ac:dyDescent="0.35">
      <c r="B8" s="11" t="s">
        <v>20</v>
      </c>
      <c r="C8" s="11">
        <v>1136</v>
      </c>
      <c r="D8" s="11">
        <v>540</v>
      </c>
      <c r="E8" s="11">
        <v>591</v>
      </c>
      <c r="F8" s="11"/>
      <c r="G8" s="11" t="s">
        <v>75</v>
      </c>
      <c r="H8" s="11" t="s">
        <v>75</v>
      </c>
      <c r="I8" s="11">
        <v>1136</v>
      </c>
      <c r="J8" s="11"/>
      <c r="K8" s="11" t="s">
        <v>75</v>
      </c>
      <c r="L8" s="11">
        <v>745</v>
      </c>
      <c r="M8" s="11">
        <v>391</v>
      </c>
      <c r="N8" s="11"/>
      <c r="O8" s="11">
        <v>946</v>
      </c>
      <c r="P8" s="11">
        <v>161</v>
      </c>
      <c r="Q8" s="11"/>
      <c r="R8" s="11">
        <v>183</v>
      </c>
      <c r="S8" s="11">
        <v>192</v>
      </c>
      <c r="T8" s="11">
        <v>104</v>
      </c>
      <c r="U8" s="11">
        <v>121</v>
      </c>
      <c r="V8" s="11">
        <v>99</v>
      </c>
      <c r="W8" s="11">
        <v>112</v>
      </c>
      <c r="X8" s="11">
        <v>107</v>
      </c>
      <c r="Y8" s="11">
        <v>62</v>
      </c>
      <c r="Z8" s="11">
        <v>157</v>
      </c>
      <c r="AA8" s="11"/>
      <c r="AB8" s="11">
        <v>117</v>
      </c>
      <c r="AC8" s="11">
        <v>117</v>
      </c>
      <c r="AD8" s="11">
        <v>211</v>
      </c>
      <c r="AE8" s="11">
        <v>141</v>
      </c>
      <c r="AF8" s="11"/>
      <c r="AG8" s="11">
        <v>117</v>
      </c>
      <c r="AH8" s="11">
        <v>63</v>
      </c>
      <c r="AI8" s="11"/>
      <c r="AJ8" s="11">
        <v>180</v>
      </c>
      <c r="AK8" s="11">
        <v>185</v>
      </c>
      <c r="AL8" s="11"/>
      <c r="AM8" s="11">
        <v>567</v>
      </c>
      <c r="AN8" s="11">
        <v>311</v>
      </c>
    </row>
    <row r="9" spans="2:40" x14ac:dyDescent="0.35">
      <c r="B9" s="15" t="s">
        <v>65</v>
      </c>
      <c r="C9" s="14">
        <v>0.123870297112088</v>
      </c>
      <c r="D9" s="14">
        <v>0.14278479635359301</v>
      </c>
      <c r="E9" s="14">
        <v>0.103291097054416</v>
      </c>
      <c r="F9" s="14"/>
      <c r="G9" s="14" t="s">
        <v>76</v>
      </c>
      <c r="H9" s="14" t="s">
        <v>76</v>
      </c>
      <c r="I9" s="14">
        <v>0.123870297112088</v>
      </c>
      <c r="J9" s="14"/>
      <c r="K9" s="14" t="s">
        <v>76</v>
      </c>
      <c r="L9" s="14">
        <v>0.12770954234701601</v>
      </c>
      <c r="M9" s="14">
        <v>0.116569068643276</v>
      </c>
      <c r="N9" s="14"/>
      <c r="O9" s="14">
        <v>0.101101773027268</v>
      </c>
      <c r="P9" s="14">
        <v>0.26124120224025899</v>
      </c>
      <c r="Q9" s="14"/>
      <c r="R9" s="14">
        <v>0.194452893394084</v>
      </c>
      <c r="S9" s="14">
        <v>0.107293666133604</v>
      </c>
      <c r="T9" s="14">
        <v>6.3617976087804604E-2</v>
      </c>
      <c r="U9" s="14">
        <v>0.102752788401964</v>
      </c>
      <c r="V9" s="14">
        <v>8.1235707887991004E-2</v>
      </c>
      <c r="W9" s="14">
        <v>0.137656737889891</v>
      </c>
      <c r="X9" s="14">
        <v>9.23598076131011E-2</v>
      </c>
      <c r="Y9" s="14">
        <v>0.17711539842419299</v>
      </c>
      <c r="Z9" s="14">
        <v>0.135232636323006</v>
      </c>
      <c r="AA9" s="14"/>
      <c r="AB9" s="14">
        <v>0.12148966609857</v>
      </c>
      <c r="AC9" s="14">
        <v>0.21153301583167</v>
      </c>
      <c r="AD9" s="14">
        <v>8.4098873312498795E-2</v>
      </c>
      <c r="AE9" s="14">
        <v>0.17725945976577701</v>
      </c>
      <c r="AF9" s="14"/>
      <c r="AG9" s="14">
        <v>0.19813894527989101</v>
      </c>
      <c r="AH9" s="14">
        <v>6.7692520120737995E-2</v>
      </c>
      <c r="AI9" s="14"/>
      <c r="AJ9" s="14">
        <v>0.152547927998051</v>
      </c>
      <c r="AK9" s="14">
        <v>7.9821369488145305E-2</v>
      </c>
      <c r="AL9" s="14"/>
      <c r="AM9" s="14">
        <v>0.19795983347961699</v>
      </c>
      <c r="AN9" s="14">
        <v>3.7982016777707697E-2</v>
      </c>
    </row>
    <row r="10" spans="2:40" x14ac:dyDescent="0.35">
      <c r="B10" s="15" t="s">
        <v>66</v>
      </c>
      <c r="C10" s="14">
        <v>0.25365551965636202</v>
      </c>
      <c r="D10" s="14">
        <v>0.294820072676168</v>
      </c>
      <c r="E10" s="14">
        <v>0.21810597659560599</v>
      </c>
      <c r="F10" s="14"/>
      <c r="G10" s="14" t="s">
        <v>76</v>
      </c>
      <c r="H10" s="14" t="s">
        <v>76</v>
      </c>
      <c r="I10" s="14">
        <v>0.25365551965636202</v>
      </c>
      <c r="J10" s="14"/>
      <c r="K10" s="14" t="s">
        <v>76</v>
      </c>
      <c r="L10" s="14">
        <v>0.289581698518044</v>
      </c>
      <c r="M10" s="14">
        <v>0.18533343449904499</v>
      </c>
      <c r="N10" s="14"/>
      <c r="O10" s="14">
        <v>0.24970989220814199</v>
      </c>
      <c r="P10" s="14">
        <v>0.312566681141277</v>
      </c>
      <c r="Q10" s="14"/>
      <c r="R10" s="14">
        <v>0.27807357657022402</v>
      </c>
      <c r="S10" s="14">
        <v>0.25505772989368902</v>
      </c>
      <c r="T10" s="14">
        <v>0.230022529268262</v>
      </c>
      <c r="U10" s="14">
        <v>0.234223487649171</v>
      </c>
      <c r="V10" s="14">
        <v>0.209032950419025</v>
      </c>
      <c r="W10" s="14">
        <v>0.247007931543476</v>
      </c>
      <c r="X10" s="14">
        <v>0.24187591466584199</v>
      </c>
      <c r="Y10" s="14">
        <v>0.22049789066882999</v>
      </c>
      <c r="Z10" s="14">
        <v>0.30808351861991401</v>
      </c>
      <c r="AA10" s="14"/>
      <c r="AB10" s="14">
        <v>0.23327207818912599</v>
      </c>
      <c r="AC10" s="14">
        <v>0.34462884504236502</v>
      </c>
      <c r="AD10" s="14">
        <v>0.15041096910770399</v>
      </c>
      <c r="AE10" s="14">
        <v>0.20942320698748801</v>
      </c>
      <c r="AF10" s="14"/>
      <c r="AG10" s="14">
        <v>0.27087584553272198</v>
      </c>
      <c r="AH10" s="14">
        <v>9.9595042517062304E-2</v>
      </c>
      <c r="AI10" s="14"/>
      <c r="AJ10" s="14">
        <v>0.21101321579176199</v>
      </c>
      <c r="AK10" s="14">
        <v>0.14814272792242</v>
      </c>
      <c r="AL10" s="14"/>
      <c r="AM10" s="14">
        <v>0.34311441759451</v>
      </c>
      <c r="AN10" s="14">
        <v>0.12572239460832699</v>
      </c>
    </row>
    <row r="11" spans="2:40" x14ac:dyDescent="0.35">
      <c r="B11" s="15" t="s">
        <v>67</v>
      </c>
      <c r="C11" s="14">
        <v>0.299477130251115</v>
      </c>
      <c r="D11" s="14">
        <v>0.309756183750583</v>
      </c>
      <c r="E11" s="14">
        <v>0.29132767020114902</v>
      </c>
      <c r="F11" s="14"/>
      <c r="G11" s="14" t="s">
        <v>76</v>
      </c>
      <c r="H11" s="14" t="s">
        <v>76</v>
      </c>
      <c r="I11" s="14">
        <v>0.299477130251115</v>
      </c>
      <c r="J11" s="14"/>
      <c r="K11" s="14" t="s">
        <v>76</v>
      </c>
      <c r="L11" s="14">
        <v>0.336620441949049</v>
      </c>
      <c r="M11" s="14">
        <v>0.228840380525479</v>
      </c>
      <c r="N11" s="14"/>
      <c r="O11" s="14">
        <v>0.312124857176171</v>
      </c>
      <c r="P11" s="14">
        <v>0.195044359655167</v>
      </c>
      <c r="Q11" s="14"/>
      <c r="R11" s="14">
        <v>0.25978053250587402</v>
      </c>
      <c r="S11" s="14">
        <v>0.28572221064105402</v>
      </c>
      <c r="T11" s="14">
        <v>0.32021146250316701</v>
      </c>
      <c r="U11" s="14">
        <v>0.27756591052929303</v>
      </c>
      <c r="V11" s="14">
        <v>0.360106711117476</v>
      </c>
      <c r="W11" s="14">
        <v>0.30552209064118702</v>
      </c>
      <c r="X11" s="14">
        <v>0.35979494558043901</v>
      </c>
      <c r="Y11" s="14">
        <v>0.19687273710922601</v>
      </c>
      <c r="Z11" s="14">
        <v>0.32293468099895001</v>
      </c>
      <c r="AA11" s="14"/>
      <c r="AB11" s="14">
        <v>0.34138966366262602</v>
      </c>
      <c r="AC11" s="14">
        <v>0.275414654342656</v>
      </c>
      <c r="AD11" s="14">
        <v>0.277971488317654</v>
      </c>
      <c r="AE11" s="14">
        <v>0.17251218322481501</v>
      </c>
      <c r="AF11" s="14"/>
      <c r="AG11" s="14">
        <v>0.223277735092097</v>
      </c>
      <c r="AH11" s="14">
        <v>0.21333157039203501</v>
      </c>
      <c r="AI11" s="14"/>
      <c r="AJ11" s="14">
        <v>0.21980155116313699</v>
      </c>
      <c r="AK11" s="14">
        <v>0.24816706677043401</v>
      </c>
      <c r="AL11" s="14"/>
      <c r="AM11" s="14">
        <v>0.26973116547850801</v>
      </c>
      <c r="AN11" s="14">
        <v>0.28391211694277901</v>
      </c>
    </row>
    <row r="12" spans="2:40" x14ac:dyDescent="0.35">
      <c r="B12" s="15" t="s">
        <v>68</v>
      </c>
      <c r="C12" s="14">
        <v>0.18047875926104201</v>
      </c>
      <c r="D12" s="14">
        <v>0.12512872915173401</v>
      </c>
      <c r="E12" s="14">
        <v>0.23115316116184001</v>
      </c>
      <c r="F12" s="14"/>
      <c r="G12" s="14" t="s">
        <v>76</v>
      </c>
      <c r="H12" s="14" t="s">
        <v>76</v>
      </c>
      <c r="I12" s="14">
        <v>0.18047875926104201</v>
      </c>
      <c r="J12" s="14"/>
      <c r="K12" s="14" t="s">
        <v>76</v>
      </c>
      <c r="L12" s="14">
        <v>0.18282508375192499</v>
      </c>
      <c r="M12" s="14">
        <v>0.17601667098023599</v>
      </c>
      <c r="N12" s="14"/>
      <c r="O12" s="14">
        <v>0.194437314966623</v>
      </c>
      <c r="P12" s="14">
        <v>7.4721218143599596E-2</v>
      </c>
      <c r="Q12" s="14"/>
      <c r="R12" s="14">
        <v>0.13340657171289899</v>
      </c>
      <c r="S12" s="14">
        <v>0.21400402016623299</v>
      </c>
      <c r="T12" s="14">
        <v>0.178720657568472</v>
      </c>
      <c r="U12" s="14">
        <v>0.23898754114989401</v>
      </c>
      <c r="V12" s="14">
        <v>0.119922624378692</v>
      </c>
      <c r="W12" s="14">
        <v>0.19045142610802401</v>
      </c>
      <c r="X12" s="14">
        <v>0.18744594379967799</v>
      </c>
      <c r="Y12" s="14">
        <v>0.28876954132698102</v>
      </c>
      <c r="Z12" s="14">
        <v>0.13368535095169201</v>
      </c>
      <c r="AA12" s="14"/>
      <c r="AB12" s="14">
        <v>0.26912787835449797</v>
      </c>
      <c r="AC12" s="14">
        <v>0.13304974611248899</v>
      </c>
      <c r="AD12" s="14">
        <v>0.16616988542228101</v>
      </c>
      <c r="AE12" s="14">
        <v>0.15379769528270801</v>
      </c>
      <c r="AF12" s="14"/>
      <c r="AG12" s="14">
        <v>7.8940809745460402E-2</v>
      </c>
      <c r="AH12" s="14">
        <v>0.27768601257498798</v>
      </c>
      <c r="AI12" s="14"/>
      <c r="AJ12" s="14">
        <v>0.148402245471497</v>
      </c>
      <c r="AK12" s="14">
        <v>0.21366915381076201</v>
      </c>
      <c r="AL12" s="14"/>
      <c r="AM12" s="14">
        <v>9.4660337230478606E-2</v>
      </c>
      <c r="AN12" s="14">
        <v>0.32849766367048699</v>
      </c>
    </row>
    <row r="13" spans="2:40" ht="29" x14ac:dyDescent="0.35">
      <c r="B13" s="15" t="s">
        <v>69</v>
      </c>
      <c r="C13" s="14">
        <v>0.14046954506534801</v>
      </c>
      <c r="D13" s="14">
        <v>0.124619590136592</v>
      </c>
      <c r="E13" s="14">
        <v>0.15482651160053501</v>
      </c>
      <c r="F13" s="14"/>
      <c r="G13" s="14" t="s">
        <v>76</v>
      </c>
      <c r="H13" s="14" t="s">
        <v>76</v>
      </c>
      <c r="I13" s="14">
        <v>0.14046954506534801</v>
      </c>
      <c r="J13" s="14"/>
      <c r="K13" s="14" t="s">
        <v>76</v>
      </c>
      <c r="L13" s="14">
        <v>6.01371799755036E-2</v>
      </c>
      <c r="M13" s="14">
        <v>0.29324044535196397</v>
      </c>
      <c r="N13" s="14"/>
      <c r="O13" s="14">
        <v>0.14016627294334499</v>
      </c>
      <c r="P13" s="14">
        <v>0.15642653881969801</v>
      </c>
      <c r="Q13" s="14"/>
      <c r="R13" s="14">
        <v>0.13428642581691999</v>
      </c>
      <c r="S13" s="14">
        <v>0.13792237316542</v>
      </c>
      <c r="T13" s="14">
        <v>0.19877878401069801</v>
      </c>
      <c r="U13" s="14">
        <v>0.14647027226967901</v>
      </c>
      <c r="V13" s="14">
        <v>0.22970200619681599</v>
      </c>
      <c r="W13" s="14">
        <v>0.11343870470650801</v>
      </c>
      <c r="X13" s="14">
        <v>0.11852338834094001</v>
      </c>
      <c r="Y13" s="14">
        <v>0.104458147547641</v>
      </c>
      <c r="Z13" s="14">
        <v>0.100063813106438</v>
      </c>
      <c r="AA13" s="14"/>
      <c r="AB13" s="14">
        <v>3.4720713695180802E-2</v>
      </c>
      <c r="AC13" s="14">
        <v>3.5373738670819201E-2</v>
      </c>
      <c r="AD13" s="14">
        <v>0.32134878383986099</v>
      </c>
      <c r="AE13" s="14">
        <v>0.28700745473921302</v>
      </c>
      <c r="AF13" s="14"/>
      <c r="AG13" s="14">
        <v>0.22876666434982901</v>
      </c>
      <c r="AH13" s="14">
        <v>0.341694854395176</v>
      </c>
      <c r="AI13" s="14"/>
      <c r="AJ13" s="14">
        <v>0.26823505957555399</v>
      </c>
      <c r="AK13" s="14">
        <v>0.310199682008239</v>
      </c>
      <c r="AL13" s="14"/>
      <c r="AM13" s="14">
        <v>9.3361115060013197E-2</v>
      </c>
      <c r="AN13" s="14">
        <v>0.22142768995828699</v>
      </c>
    </row>
    <row r="14" spans="2:40" x14ac:dyDescent="0.35">
      <c r="B14" s="15" t="s">
        <v>70</v>
      </c>
      <c r="C14" s="20">
        <v>2.0487486540441001E-3</v>
      </c>
      <c r="D14" s="20">
        <v>2.8906279313300402E-3</v>
      </c>
      <c r="E14" s="20">
        <v>1.2955833864543901E-3</v>
      </c>
      <c r="F14" s="20"/>
      <c r="G14" s="20" t="s">
        <v>76</v>
      </c>
      <c r="H14" s="20" t="s">
        <v>76</v>
      </c>
      <c r="I14" s="20">
        <v>2.0487486540441001E-3</v>
      </c>
      <c r="J14" s="20"/>
      <c r="K14" s="20" t="s">
        <v>76</v>
      </c>
      <c r="L14" s="20">
        <v>3.1260534584618702E-3</v>
      </c>
      <c r="M14" s="20">
        <v>0</v>
      </c>
      <c r="N14" s="20"/>
      <c r="O14" s="20">
        <v>2.4598896784521502E-3</v>
      </c>
      <c r="P14" s="20">
        <v>0</v>
      </c>
      <c r="Q14" s="20"/>
      <c r="R14" s="20">
        <v>0</v>
      </c>
      <c r="S14" s="20">
        <v>0</v>
      </c>
      <c r="T14" s="20">
        <v>8.6485905615956704E-3</v>
      </c>
      <c r="U14" s="20">
        <v>0</v>
      </c>
      <c r="V14" s="20">
        <v>0</v>
      </c>
      <c r="W14" s="20">
        <v>5.9231091109142701E-3</v>
      </c>
      <c r="X14" s="20">
        <v>0</v>
      </c>
      <c r="Y14" s="20">
        <v>1.22862849231282E-2</v>
      </c>
      <c r="Z14" s="20">
        <v>0</v>
      </c>
      <c r="AA14" s="20"/>
      <c r="AB14" s="20">
        <v>0</v>
      </c>
      <c r="AC14" s="20">
        <v>0</v>
      </c>
      <c r="AD14" s="20">
        <v>0</v>
      </c>
      <c r="AE14" s="20">
        <v>0</v>
      </c>
      <c r="AF14" s="20"/>
      <c r="AG14" s="20">
        <v>0</v>
      </c>
      <c r="AH14" s="20">
        <v>0</v>
      </c>
      <c r="AI14" s="20"/>
      <c r="AJ14" s="20">
        <v>0</v>
      </c>
      <c r="AK14" s="20">
        <v>0</v>
      </c>
      <c r="AL14" s="20"/>
      <c r="AM14" s="20">
        <v>1.1731311568731501E-3</v>
      </c>
      <c r="AN14" s="20">
        <v>2.4581180424125999E-3</v>
      </c>
    </row>
    <row r="15" spans="2:40" x14ac:dyDescent="0.35">
      <c r="B15" s="16" t="s">
        <v>74</v>
      </c>
    </row>
    <row r="16" spans="2:40" x14ac:dyDescent="0.35">
      <c r="B16" t="s">
        <v>72</v>
      </c>
    </row>
    <row r="17" spans="2:2" x14ac:dyDescent="0.35">
      <c r="B17" t="s">
        <v>73</v>
      </c>
    </row>
    <row r="19" spans="2:2" x14ac:dyDescent="0.35">
      <c r="B19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2:AN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81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1216</v>
      </c>
      <c r="D7" s="10">
        <v>613</v>
      </c>
      <c r="E7" s="10">
        <v>598</v>
      </c>
      <c r="F7" s="10"/>
      <c r="G7" s="10" t="s">
        <v>75</v>
      </c>
      <c r="H7" s="10" t="s">
        <v>75</v>
      </c>
      <c r="I7" s="10">
        <v>1216</v>
      </c>
      <c r="J7" s="10"/>
      <c r="K7" s="10" t="s">
        <v>75</v>
      </c>
      <c r="L7" s="10">
        <v>924</v>
      </c>
      <c r="M7" s="10">
        <v>292</v>
      </c>
      <c r="N7" s="10"/>
      <c r="O7" s="10">
        <v>1020</v>
      </c>
      <c r="P7" s="10">
        <v>166</v>
      </c>
      <c r="Q7" s="10"/>
      <c r="R7" s="10">
        <v>177</v>
      </c>
      <c r="S7" s="10">
        <v>216</v>
      </c>
      <c r="T7" s="10">
        <v>97</v>
      </c>
      <c r="U7" s="10">
        <v>116</v>
      </c>
      <c r="V7" s="10">
        <v>104</v>
      </c>
      <c r="W7" s="10">
        <v>152</v>
      </c>
      <c r="X7" s="10">
        <v>76</v>
      </c>
      <c r="Y7" s="10">
        <v>70</v>
      </c>
      <c r="Z7" s="10">
        <v>208</v>
      </c>
      <c r="AA7" s="10"/>
      <c r="AB7" s="10">
        <v>152</v>
      </c>
      <c r="AC7" s="10">
        <v>147</v>
      </c>
      <c r="AD7" s="10">
        <v>152</v>
      </c>
      <c r="AE7" s="10">
        <v>106</v>
      </c>
      <c r="AF7" s="10"/>
      <c r="AG7" s="10">
        <v>95</v>
      </c>
      <c r="AH7" s="10">
        <v>46</v>
      </c>
      <c r="AI7" s="10"/>
      <c r="AJ7" s="10">
        <v>141</v>
      </c>
      <c r="AK7" s="10">
        <v>131</v>
      </c>
      <c r="AL7" s="10"/>
      <c r="AM7" s="10">
        <v>626</v>
      </c>
      <c r="AN7" s="10">
        <v>310</v>
      </c>
    </row>
    <row r="8" spans="2:40" ht="30" customHeight="1" x14ac:dyDescent="0.35">
      <c r="B8" s="11" t="s">
        <v>20</v>
      </c>
      <c r="C8" s="11">
        <v>1136</v>
      </c>
      <c r="D8" s="11">
        <v>540</v>
      </c>
      <c r="E8" s="11">
        <v>591</v>
      </c>
      <c r="F8" s="11"/>
      <c r="G8" s="11" t="s">
        <v>75</v>
      </c>
      <c r="H8" s="11" t="s">
        <v>75</v>
      </c>
      <c r="I8" s="11">
        <v>1136</v>
      </c>
      <c r="J8" s="11"/>
      <c r="K8" s="11" t="s">
        <v>75</v>
      </c>
      <c r="L8" s="11">
        <v>745</v>
      </c>
      <c r="M8" s="11">
        <v>391</v>
      </c>
      <c r="N8" s="11"/>
      <c r="O8" s="11">
        <v>946</v>
      </c>
      <c r="P8" s="11">
        <v>161</v>
      </c>
      <c r="Q8" s="11"/>
      <c r="R8" s="11">
        <v>183</v>
      </c>
      <c r="S8" s="11">
        <v>192</v>
      </c>
      <c r="T8" s="11">
        <v>104</v>
      </c>
      <c r="U8" s="11">
        <v>121</v>
      </c>
      <c r="V8" s="11">
        <v>99</v>
      </c>
      <c r="W8" s="11">
        <v>112</v>
      </c>
      <c r="X8" s="11">
        <v>107</v>
      </c>
      <c r="Y8" s="11">
        <v>62</v>
      </c>
      <c r="Z8" s="11">
        <v>157</v>
      </c>
      <c r="AA8" s="11"/>
      <c r="AB8" s="11">
        <v>117</v>
      </c>
      <c r="AC8" s="11">
        <v>117</v>
      </c>
      <c r="AD8" s="11">
        <v>211</v>
      </c>
      <c r="AE8" s="11">
        <v>141</v>
      </c>
      <c r="AF8" s="11"/>
      <c r="AG8" s="11">
        <v>117</v>
      </c>
      <c r="AH8" s="11">
        <v>63</v>
      </c>
      <c r="AI8" s="11"/>
      <c r="AJ8" s="11">
        <v>180</v>
      </c>
      <c r="AK8" s="11">
        <v>185</v>
      </c>
      <c r="AL8" s="11"/>
      <c r="AM8" s="11">
        <v>567</v>
      </c>
      <c r="AN8" s="11">
        <v>311</v>
      </c>
    </row>
    <row r="9" spans="2:40" x14ac:dyDescent="0.35">
      <c r="B9" s="15" t="s">
        <v>65</v>
      </c>
      <c r="C9" s="14">
        <v>0.35577356826905598</v>
      </c>
      <c r="D9" s="14">
        <v>0.46878088164570197</v>
      </c>
      <c r="E9" s="14">
        <v>0.253972517411089</v>
      </c>
      <c r="F9" s="14"/>
      <c r="G9" s="14" t="s">
        <v>76</v>
      </c>
      <c r="H9" s="14" t="s">
        <v>76</v>
      </c>
      <c r="I9" s="14">
        <v>0.35577356826905598</v>
      </c>
      <c r="J9" s="14"/>
      <c r="K9" s="14" t="s">
        <v>76</v>
      </c>
      <c r="L9" s="14">
        <v>0.41051794727277702</v>
      </c>
      <c r="M9" s="14">
        <v>0.25166424624577799</v>
      </c>
      <c r="N9" s="14"/>
      <c r="O9" s="14">
        <v>0.356419109349841</v>
      </c>
      <c r="P9" s="14">
        <v>0.382895798326573</v>
      </c>
      <c r="Q9" s="14"/>
      <c r="R9" s="14">
        <v>0.40299160228027198</v>
      </c>
      <c r="S9" s="14">
        <v>0.29985804694633</v>
      </c>
      <c r="T9" s="14">
        <v>0.38235624679562102</v>
      </c>
      <c r="U9" s="14">
        <v>0.35144677908932298</v>
      </c>
      <c r="V9" s="14">
        <v>0.27309084032508402</v>
      </c>
      <c r="W9" s="14">
        <v>0.35108182310188901</v>
      </c>
      <c r="X9" s="14">
        <v>0.30914660057266702</v>
      </c>
      <c r="Y9" s="14">
        <v>0.44561645459652399</v>
      </c>
      <c r="Z9" s="14">
        <v>0.40639265855552897</v>
      </c>
      <c r="AA9" s="14"/>
      <c r="AB9" s="14">
        <v>0.33107942043961103</v>
      </c>
      <c r="AC9" s="14">
        <v>0.46952225038815598</v>
      </c>
      <c r="AD9" s="14">
        <v>0.26412567554522898</v>
      </c>
      <c r="AE9" s="14">
        <v>0.22190278996993901</v>
      </c>
      <c r="AF9" s="14"/>
      <c r="AG9" s="14">
        <v>0.30835068703482899</v>
      </c>
      <c r="AH9" s="14">
        <v>0.27552343013549702</v>
      </c>
      <c r="AI9" s="14"/>
      <c r="AJ9" s="14">
        <v>0.29687756284007399</v>
      </c>
      <c r="AK9" s="14">
        <v>0.22953547174824401</v>
      </c>
      <c r="AL9" s="14"/>
      <c r="AM9" s="14">
        <v>0.43677219521993699</v>
      </c>
      <c r="AN9" s="14">
        <v>0.26603262713424403</v>
      </c>
    </row>
    <row r="10" spans="2:40" x14ac:dyDescent="0.35">
      <c r="B10" s="15" t="s">
        <v>66</v>
      </c>
      <c r="C10" s="14">
        <v>0.21589970657411001</v>
      </c>
      <c r="D10" s="14">
        <v>0.21577830979614801</v>
      </c>
      <c r="E10" s="14">
        <v>0.21780746990827099</v>
      </c>
      <c r="F10" s="14"/>
      <c r="G10" s="14" t="s">
        <v>76</v>
      </c>
      <c r="H10" s="14" t="s">
        <v>76</v>
      </c>
      <c r="I10" s="14">
        <v>0.21589970657411001</v>
      </c>
      <c r="J10" s="14"/>
      <c r="K10" s="14" t="s">
        <v>76</v>
      </c>
      <c r="L10" s="14">
        <v>0.249450511814407</v>
      </c>
      <c r="M10" s="14">
        <v>0.15209495345662599</v>
      </c>
      <c r="N10" s="14"/>
      <c r="O10" s="14">
        <v>0.206475693975854</v>
      </c>
      <c r="P10" s="14">
        <v>0.26140770384201101</v>
      </c>
      <c r="Q10" s="14"/>
      <c r="R10" s="14">
        <v>0.27075597246526201</v>
      </c>
      <c r="S10" s="14">
        <v>0.22198659058558601</v>
      </c>
      <c r="T10" s="14">
        <v>0.172935064563079</v>
      </c>
      <c r="U10" s="14">
        <v>0.163699494384831</v>
      </c>
      <c r="V10" s="14">
        <v>0.24110464884322899</v>
      </c>
      <c r="W10" s="14">
        <v>0.18383642808532999</v>
      </c>
      <c r="X10" s="14">
        <v>0.284893467603615</v>
      </c>
      <c r="Y10" s="14">
        <v>0.14216010596884501</v>
      </c>
      <c r="Z10" s="14">
        <v>0.202436644867767</v>
      </c>
      <c r="AA10" s="14"/>
      <c r="AB10" s="14">
        <v>0.28458921475221099</v>
      </c>
      <c r="AC10" s="14">
        <v>0.233727239017363</v>
      </c>
      <c r="AD10" s="14">
        <v>0.15260752688653001</v>
      </c>
      <c r="AE10" s="14">
        <v>0.15820015851319499</v>
      </c>
      <c r="AF10" s="14"/>
      <c r="AG10" s="14">
        <v>0.163364082129135</v>
      </c>
      <c r="AH10" s="14">
        <v>0.14588380778804999</v>
      </c>
      <c r="AI10" s="14"/>
      <c r="AJ10" s="14">
        <v>0.15725472736066701</v>
      </c>
      <c r="AK10" s="14">
        <v>0.129112839277957</v>
      </c>
      <c r="AL10" s="14"/>
      <c r="AM10" s="14">
        <v>0.21402461501970199</v>
      </c>
      <c r="AN10" s="14">
        <v>0.17967897823742399</v>
      </c>
    </row>
    <row r="11" spans="2:40" x14ac:dyDescent="0.35">
      <c r="B11" s="15" t="s">
        <v>67</v>
      </c>
      <c r="C11" s="14">
        <v>0.16762720299657499</v>
      </c>
      <c r="D11" s="14">
        <v>0.14415527317125401</v>
      </c>
      <c r="E11" s="14">
        <v>0.18925844869116501</v>
      </c>
      <c r="F11" s="14"/>
      <c r="G11" s="14" t="s">
        <v>76</v>
      </c>
      <c r="H11" s="14" t="s">
        <v>76</v>
      </c>
      <c r="I11" s="14">
        <v>0.16762720299657499</v>
      </c>
      <c r="J11" s="14"/>
      <c r="K11" s="14" t="s">
        <v>76</v>
      </c>
      <c r="L11" s="14">
        <v>0.173032058998488</v>
      </c>
      <c r="M11" s="14">
        <v>0.157348597151866</v>
      </c>
      <c r="N11" s="14"/>
      <c r="O11" s="14">
        <v>0.166861403345617</v>
      </c>
      <c r="P11" s="14">
        <v>0.154021591049881</v>
      </c>
      <c r="Q11" s="14"/>
      <c r="R11" s="14">
        <v>0.15661177535274501</v>
      </c>
      <c r="S11" s="14">
        <v>0.15575217402211999</v>
      </c>
      <c r="T11" s="14">
        <v>0.120733796203445</v>
      </c>
      <c r="U11" s="14">
        <v>0.207923437030654</v>
      </c>
      <c r="V11" s="14">
        <v>0.15477599378967999</v>
      </c>
      <c r="W11" s="14">
        <v>0.13836822067256299</v>
      </c>
      <c r="X11" s="14">
        <v>0.24253897014141201</v>
      </c>
      <c r="Y11" s="14">
        <v>0.15678096365289201</v>
      </c>
      <c r="Z11" s="14">
        <v>0.17736217815324101</v>
      </c>
      <c r="AA11" s="14"/>
      <c r="AB11" s="14">
        <v>0.17554823433852099</v>
      </c>
      <c r="AC11" s="14">
        <v>0.138155772357062</v>
      </c>
      <c r="AD11" s="14">
        <v>0.127543423982903</v>
      </c>
      <c r="AE11" s="14">
        <v>0.20420683132464601</v>
      </c>
      <c r="AF11" s="14"/>
      <c r="AG11" s="14">
        <v>0.17470992239601901</v>
      </c>
      <c r="AH11" s="14">
        <v>0.204329170759248</v>
      </c>
      <c r="AI11" s="14"/>
      <c r="AJ11" s="14">
        <v>0.18506184781180199</v>
      </c>
      <c r="AK11" s="14">
        <v>0.13308452974096999</v>
      </c>
      <c r="AL11" s="14"/>
      <c r="AM11" s="14">
        <v>0.16246398809836299</v>
      </c>
      <c r="AN11" s="14">
        <v>0.16012450945533399</v>
      </c>
    </row>
    <row r="12" spans="2:40" x14ac:dyDescent="0.35">
      <c r="B12" s="15" t="s">
        <v>68</v>
      </c>
      <c r="C12" s="14">
        <v>0.14877405793359799</v>
      </c>
      <c r="D12" s="14">
        <v>9.5421979384799599E-2</v>
      </c>
      <c r="E12" s="14">
        <v>0.19589117140679299</v>
      </c>
      <c r="F12" s="14"/>
      <c r="G12" s="14" t="s">
        <v>76</v>
      </c>
      <c r="H12" s="14" t="s">
        <v>76</v>
      </c>
      <c r="I12" s="14">
        <v>0.14877405793359799</v>
      </c>
      <c r="J12" s="14"/>
      <c r="K12" s="14" t="s">
        <v>76</v>
      </c>
      <c r="L12" s="14">
        <v>0.15029537613168101</v>
      </c>
      <c r="M12" s="14">
        <v>0.145880913302745</v>
      </c>
      <c r="N12" s="14"/>
      <c r="O12" s="14">
        <v>0.15477494654686</v>
      </c>
      <c r="P12" s="14">
        <v>0.10710790525153401</v>
      </c>
      <c r="Q12" s="14"/>
      <c r="R12" s="14">
        <v>6.4897681899968696E-2</v>
      </c>
      <c r="S12" s="14">
        <v>0.21844695541798001</v>
      </c>
      <c r="T12" s="14">
        <v>0.16608704067519001</v>
      </c>
      <c r="U12" s="14">
        <v>0.22728729318368501</v>
      </c>
      <c r="V12" s="14">
        <v>0.11799872861583401</v>
      </c>
      <c r="W12" s="14">
        <v>0.18728384077811699</v>
      </c>
      <c r="X12" s="14">
        <v>7.7636434030148499E-2</v>
      </c>
      <c r="Y12" s="14">
        <v>0.22616086415112399</v>
      </c>
      <c r="Z12" s="14">
        <v>9.8938923465208398E-2</v>
      </c>
      <c r="AA12" s="14"/>
      <c r="AB12" s="14">
        <v>0.174694118268515</v>
      </c>
      <c r="AC12" s="14">
        <v>0.13682690865003699</v>
      </c>
      <c r="AD12" s="14">
        <v>0.13713463607100901</v>
      </c>
      <c r="AE12" s="14">
        <v>0.138218954829915</v>
      </c>
      <c r="AF12" s="14"/>
      <c r="AG12" s="14">
        <v>0.106002843026634</v>
      </c>
      <c r="AH12" s="14">
        <v>0.11699838216922499</v>
      </c>
      <c r="AI12" s="14"/>
      <c r="AJ12" s="14">
        <v>0.109845783256398</v>
      </c>
      <c r="AK12" s="14">
        <v>0.18760600323253901</v>
      </c>
      <c r="AL12" s="14"/>
      <c r="AM12" s="14">
        <v>0.115564418725877</v>
      </c>
      <c r="AN12" s="14">
        <v>0.20239445937485601</v>
      </c>
    </row>
    <row r="13" spans="2:40" ht="29" x14ac:dyDescent="0.35">
      <c r="B13" s="15" t="s">
        <v>69</v>
      </c>
      <c r="C13" s="14">
        <v>0.111925464226661</v>
      </c>
      <c r="D13" s="14">
        <v>7.5863556002096405E-2</v>
      </c>
      <c r="E13" s="14">
        <v>0.143070392582683</v>
      </c>
      <c r="F13" s="14"/>
      <c r="G13" s="14" t="s">
        <v>76</v>
      </c>
      <c r="H13" s="14" t="s">
        <v>76</v>
      </c>
      <c r="I13" s="14">
        <v>0.111925464226661</v>
      </c>
      <c r="J13" s="14"/>
      <c r="K13" s="14" t="s">
        <v>76</v>
      </c>
      <c r="L13" s="14">
        <v>1.6704105782647201E-2</v>
      </c>
      <c r="M13" s="14">
        <v>0.29301128984298502</v>
      </c>
      <c r="N13" s="14"/>
      <c r="O13" s="14">
        <v>0.11546884678182801</v>
      </c>
      <c r="P13" s="14">
        <v>9.4567001530001804E-2</v>
      </c>
      <c r="Q13" s="14"/>
      <c r="R13" s="14">
        <v>0.10474296800175199</v>
      </c>
      <c r="S13" s="14">
        <v>0.103956233027985</v>
      </c>
      <c r="T13" s="14">
        <v>0.15788785176266401</v>
      </c>
      <c r="U13" s="14">
        <v>4.9642996311506898E-2</v>
      </c>
      <c r="V13" s="14">
        <v>0.21302978842617301</v>
      </c>
      <c r="W13" s="14">
        <v>0.13942968736210201</v>
      </c>
      <c r="X13" s="14">
        <v>8.5784527652157994E-2</v>
      </c>
      <c r="Y13" s="14">
        <v>2.9281611630615701E-2</v>
      </c>
      <c r="Z13" s="14">
        <v>0.11486959495825499</v>
      </c>
      <c r="AA13" s="14"/>
      <c r="AB13" s="14">
        <v>3.4089012201141702E-2</v>
      </c>
      <c r="AC13" s="14">
        <v>2.17678295873815E-2</v>
      </c>
      <c r="AD13" s="14">
        <v>0.31858873751432898</v>
      </c>
      <c r="AE13" s="14">
        <v>0.27747126536230599</v>
      </c>
      <c r="AF13" s="14"/>
      <c r="AG13" s="14">
        <v>0.24757246541338199</v>
      </c>
      <c r="AH13" s="14">
        <v>0.25726520914798001</v>
      </c>
      <c r="AI13" s="14"/>
      <c r="AJ13" s="14">
        <v>0.25096007873105902</v>
      </c>
      <c r="AK13" s="14">
        <v>0.32066115600028899</v>
      </c>
      <c r="AL13" s="14"/>
      <c r="AM13" s="14">
        <v>7.1174782936121506E-2</v>
      </c>
      <c r="AN13" s="14">
        <v>0.19176942579814199</v>
      </c>
    </row>
    <row r="14" spans="2:40" x14ac:dyDescent="0.35">
      <c r="B14" s="15" t="s">
        <v>70</v>
      </c>
      <c r="C14" s="20">
        <v>0</v>
      </c>
      <c r="D14" s="20">
        <v>0</v>
      </c>
      <c r="E14" s="20">
        <v>0</v>
      </c>
      <c r="F14" s="20"/>
      <c r="G14" s="20" t="s">
        <v>76</v>
      </c>
      <c r="H14" s="20" t="s">
        <v>76</v>
      </c>
      <c r="I14" s="20">
        <v>0</v>
      </c>
      <c r="J14" s="20"/>
      <c r="K14" s="20" t="s">
        <v>76</v>
      </c>
      <c r="L14" s="20">
        <v>0</v>
      </c>
      <c r="M14" s="20">
        <v>0</v>
      </c>
      <c r="N14" s="20"/>
      <c r="O14" s="20">
        <v>0</v>
      </c>
      <c r="P14" s="20">
        <v>0</v>
      </c>
      <c r="Q14" s="20"/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/>
      <c r="AB14" s="20">
        <v>0</v>
      </c>
      <c r="AC14" s="20">
        <v>0</v>
      </c>
      <c r="AD14" s="20">
        <v>0</v>
      </c>
      <c r="AE14" s="20">
        <v>0</v>
      </c>
      <c r="AF14" s="20"/>
      <c r="AG14" s="20">
        <v>0</v>
      </c>
      <c r="AH14" s="20">
        <v>0</v>
      </c>
      <c r="AI14" s="20"/>
      <c r="AJ14" s="20">
        <v>0</v>
      </c>
      <c r="AK14" s="20">
        <v>0</v>
      </c>
      <c r="AL14" s="20"/>
      <c r="AM14" s="20">
        <v>0</v>
      </c>
      <c r="AN14" s="20">
        <v>0</v>
      </c>
    </row>
    <row r="15" spans="2:40" x14ac:dyDescent="0.35">
      <c r="B15" s="16" t="s">
        <v>74</v>
      </c>
    </row>
    <row r="16" spans="2:40" x14ac:dyDescent="0.35">
      <c r="B16" t="s">
        <v>72</v>
      </c>
    </row>
    <row r="17" spans="2:2" x14ac:dyDescent="0.35">
      <c r="B17" t="s">
        <v>73</v>
      </c>
    </row>
    <row r="19" spans="2:2" x14ac:dyDescent="0.35">
      <c r="B19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2:AN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82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1216</v>
      </c>
      <c r="D7" s="10">
        <v>613</v>
      </c>
      <c r="E7" s="10">
        <v>598</v>
      </c>
      <c r="F7" s="10"/>
      <c r="G7" s="10" t="s">
        <v>75</v>
      </c>
      <c r="H7" s="10" t="s">
        <v>75</v>
      </c>
      <c r="I7" s="10">
        <v>1216</v>
      </c>
      <c r="J7" s="10"/>
      <c r="K7" s="10" t="s">
        <v>75</v>
      </c>
      <c r="L7" s="10">
        <v>924</v>
      </c>
      <c r="M7" s="10">
        <v>292</v>
      </c>
      <c r="N7" s="10"/>
      <c r="O7" s="10">
        <v>1020</v>
      </c>
      <c r="P7" s="10">
        <v>166</v>
      </c>
      <c r="Q7" s="10"/>
      <c r="R7" s="10">
        <v>177</v>
      </c>
      <c r="S7" s="10">
        <v>216</v>
      </c>
      <c r="T7" s="10">
        <v>97</v>
      </c>
      <c r="U7" s="10">
        <v>116</v>
      </c>
      <c r="V7" s="10">
        <v>104</v>
      </c>
      <c r="W7" s="10">
        <v>152</v>
      </c>
      <c r="X7" s="10">
        <v>76</v>
      </c>
      <c r="Y7" s="10">
        <v>70</v>
      </c>
      <c r="Z7" s="10">
        <v>208</v>
      </c>
      <c r="AA7" s="10"/>
      <c r="AB7" s="10">
        <v>152</v>
      </c>
      <c r="AC7" s="10">
        <v>147</v>
      </c>
      <c r="AD7" s="10">
        <v>152</v>
      </c>
      <c r="AE7" s="10">
        <v>106</v>
      </c>
      <c r="AF7" s="10"/>
      <c r="AG7" s="10">
        <v>95</v>
      </c>
      <c r="AH7" s="10">
        <v>46</v>
      </c>
      <c r="AI7" s="10"/>
      <c r="AJ7" s="10">
        <v>141</v>
      </c>
      <c r="AK7" s="10">
        <v>131</v>
      </c>
      <c r="AL7" s="10"/>
      <c r="AM7" s="10">
        <v>626</v>
      </c>
      <c r="AN7" s="10">
        <v>310</v>
      </c>
    </row>
    <row r="8" spans="2:40" ht="30" customHeight="1" x14ac:dyDescent="0.35">
      <c r="B8" s="11" t="s">
        <v>20</v>
      </c>
      <c r="C8" s="11">
        <v>1136</v>
      </c>
      <c r="D8" s="11">
        <v>540</v>
      </c>
      <c r="E8" s="11">
        <v>591</v>
      </c>
      <c r="F8" s="11"/>
      <c r="G8" s="11" t="s">
        <v>75</v>
      </c>
      <c r="H8" s="11" t="s">
        <v>75</v>
      </c>
      <c r="I8" s="11">
        <v>1136</v>
      </c>
      <c r="J8" s="11"/>
      <c r="K8" s="11" t="s">
        <v>75</v>
      </c>
      <c r="L8" s="11">
        <v>745</v>
      </c>
      <c r="M8" s="11">
        <v>391</v>
      </c>
      <c r="N8" s="11"/>
      <c r="O8" s="11">
        <v>946</v>
      </c>
      <c r="P8" s="11">
        <v>161</v>
      </c>
      <c r="Q8" s="11"/>
      <c r="R8" s="11">
        <v>183</v>
      </c>
      <c r="S8" s="11">
        <v>192</v>
      </c>
      <c r="T8" s="11">
        <v>104</v>
      </c>
      <c r="U8" s="11">
        <v>121</v>
      </c>
      <c r="V8" s="11">
        <v>99</v>
      </c>
      <c r="W8" s="11">
        <v>112</v>
      </c>
      <c r="X8" s="11">
        <v>107</v>
      </c>
      <c r="Y8" s="11">
        <v>62</v>
      </c>
      <c r="Z8" s="11">
        <v>157</v>
      </c>
      <c r="AA8" s="11"/>
      <c r="AB8" s="11">
        <v>117</v>
      </c>
      <c r="AC8" s="11">
        <v>117</v>
      </c>
      <c r="AD8" s="11">
        <v>211</v>
      </c>
      <c r="AE8" s="11">
        <v>141</v>
      </c>
      <c r="AF8" s="11"/>
      <c r="AG8" s="11">
        <v>117</v>
      </c>
      <c r="AH8" s="11">
        <v>63</v>
      </c>
      <c r="AI8" s="11"/>
      <c r="AJ8" s="11">
        <v>180</v>
      </c>
      <c r="AK8" s="11">
        <v>185</v>
      </c>
      <c r="AL8" s="11"/>
      <c r="AM8" s="11">
        <v>567</v>
      </c>
      <c r="AN8" s="11">
        <v>311</v>
      </c>
    </row>
    <row r="9" spans="2:40" x14ac:dyDescent="0.35">
      <c r="B9" s="15" t="s">
        <v>65</v>
      </c>
      <c r="C9" s="14">
        <v>0.21565610339583799</v>
      </c>
      <c r="D9" s="14">
        <v>0.235311273386483</v>
      </c>
      <c r="E9" s="14">
        <v>0.19809460241641999</v>
      </c>
      <c r="F9" s="14"/>
      <c r="G9" s="14" t="s">
        <v>76</v>
      </c>
      <c r="H9" s="14" t="s">
        <v>76</v>
      </c>
      <c r="I9" s="14">
        <v>0.21565610339583799</v>
      </c>
      <c r="J9" s="14"/>
      <c r="K9" s="14" t="s">
        <v>76</v>
      </c>
      <c r="L9" s="14">
        <v>0.22959504608789</v>
      </c>
      <c r="M9" s="14">
        <v>0.18914792301640099</v>
      </c>
      <c r="N9" s="14"/>
      <c r="O9" s="14">
        <v>0.19565159112316299</v>
      </c>
      <c r="P9" s="14">
        <v>0.34669345204420898</v>
      </c>
      <c r="Q9" s="14"/>
      <c r="R9" s="14">
        <v>0.27214532389301499</v>
      </c>
      <c r="S9" s="14">
        <v>0.20864445032568499</v>
      </c>
      <c r="T9" s="14">
        <v>0.199050932564003</v>
      </c>
      <c r="U9" s="14">
        <v>0.14962273460324699</v>
      </c>
      <c r="V9" s="14">
        <v>0.208205822274668</v>
      </c>
      <c r="W9" s="14">
        <v>0.21148127896681701</v>
      </c>
      <c r="X9" s="14">
        <v>0.171178151865225</v>
      </c>
      <c r="Y9" s="14">
        <v>0.24744082179450799</v>
      </c>
      <c r="Z9" s="14">
        <v>0.24548965484448601</v>
      </c>
      <c r="AA9" s="14"/>
      <c r="AB9" s="14">
        <v>0.23258333405732501</v>
      </c>
      <c r="AC9" s="14">
        <v>0.25477412715707298</v>
      </c>
      <c r="AD9" s="14">
        <v>0.19127967121681599</v>
      </c>
      <c r="AE9" s="14">
        <v>0.23310621776906101</v>
      </c>
      <c r="AF9" s="14"/>
      <c r="AG9" s="14">
        <v>0.24227402494841499</v>
      </c>
      <c r="AH9" s="14">
        <v>0.131985551440474</v>
      </c>
      <c r="AI9" s="14"/>
      <c r="AJ9" s="14">
        <v>0.20372821048432699</v>
      </c>
      <c r="AK9" s="14">
        <v>0.19752923835133801</v>
      </c>
      <c r="AL9" s="14"/>
      <c r="AM9" s="14">
        <v>0.23054230225406699</v>
      </c>
      <c r="AN9" s="14">
        <v>0.195251488383447</v>
      </c>
    </row>
    <row r="10" spans="2:40" x14ac:dyDescent="0.35">
      <c r="B10" s="15" t="s">
        <v>66</v>
      </c>
      <c r="C10" s="14">
        <v>0.25002811167054001</v>
      </c>
      <c r="D10" s="14">
        <v>0.23215433984331099</v>
      </c>
      <c r="E10" s="14">
        <v>0.26722347319928003</v>
      </c>
      <c r="F10" s="14"/>
      <c r="G10" s="14" t="s">
        <v>76</v>
      </c>
      <c r="H10" s="14" t="s">
        <v>76</v>
      </c>
      <c r="I10" s="14">
        <v>0.25002811167054001</v>
      </c>
      <c r="J10" s="14"/>
      <c r="K10" s="14" t="s">
        <v>76</v>
      </c>
      <c r="L10" s="14">
        <v>0.285414616053559</v>
      </c>
      <c r="M10" s="14">
        <v>0.18273234455918999</v>
      </c>
      <c r="N10" s="14"/>
      <c r="O10" s="14">
        <v>0.254909570539047</v>
      </c>
      <c r="P10" s="14">
        <v>0.23803882797867501</v>
      </c>
      <c r="Q10" s="14"/>
      <c r="R10" s="14">
        <v>0.26204937595106698</v>
      </c>
      <c r="S10" s="14">
        <v>0.23912881622174001</v>
      </c>
      <c r="T10" s="14">
        <v>0.18542725697972801</v>
      </c>
      <c r="U10" s="14">
        <v>0.30814936603126097</v>
      </c>
      <c r="V10" s="14">
        <v>0.179468398822347</v>
      </c>
      <c r="W10" s="14">
        <v>0.27088546125184199</v>
      </c>
      <c r="X10" s="14">
        <v>0.197953866454916</v>
      </c>
      <c r="Y10" s="14">
        <v>0.37202755499578399</v>
      </c>
      <c r="Z10" s="14">
        <v>0.263869963293208</v>
      </c>
      <c r="AA10" s="14"/>
      <c r="AB10" s="14">
        <v>0.28605822142503501</v>
      </c>
      <c r="AC10" s="14">
        <v>0.23032186015761499</v>
      </c>
      <c r="AD10" s="14">
        <v>0.19778218828792499</v>
      </c>
      <c r="AE10" s="14">
        <v>0.17575773254542401</v>
      </c>
      <c r="AF10" s="14"/>
      <c r="AG10" s="14">
        <v>0.15390813867929201</v>
      </c>
      <c r="AH10" s="14">
        <v>7.7744244453346198E-2</v>
      </c>
      <c r="AI10" s="14"/>
      <c r="AJ10" s="14">
        <v>0.12728886250004201</v>
      </c>
      <c r="AK10" s="14">
        <v>0.22880444852265</v>
      </c>
      <c r="AL10" s="14"/>
      <c r="AM10" s="14">
        <v>0.280187381783638</v>
      </c>
      <c r="AN10" s="14">
        <v>0.19727122053048499</v>
      </c>
    </row>
    <row r="11" spans="2:40" x14ac:dyDescent="0.35">
      <c r="B11" s="15" t="s">
        <v>67</v>
      </c>
      <c r="C11" s="14">
        <v>0.24479620790437201</v>
      </c>
      <c r="D11" s="14">
        <v>0.27498225570226897</v>
      </c>
      <c r="E11" s="14">
        <v>0.21481949919981799</v>
      </c>
      <c r="F11" s="14"/>
      <c r="G11" s="14" t="s">
        <v>76</v>
      </c>
      <c r="H11" s="14" t="s">
        <v>76</v>
      </c>
      <c r="I11" s="14">
        <v>0.24479620790437201</v>
      </c>
      <c r="J11" s="14"/>
      <c r="K11" s="14" t="s">
        <v>76</v>
      </c>
      <c r="L11" s="14">
        <v>0.26753110260443203</v>
      </c>
      <c r="M11" s="14">
        <v>0.20156045445226101</v>
      </c>
      <c r="N11" s="14"/>
      <c r="O11" s="14">
        <v>0.26301573581272603</v>
      </c>
      <c r="P11" s="14">
        <v>0.12582388865691199</v>
      </c>
      <c r="Q11" s="14"/>
      <c r="R11" s="14">
        <v>0.19398781525412701</v>
      </c>
      <c r="S11" s="14">
        <v>0.23968108468082799</v>
      </c>
      <c r="T11" s="14">
        <v>0.27548860286508497</v>
      </c>
      <c r="U11" s="14">
        <v>0.32068831042892598</v>
      </c>
      <c r="V11" s="14">
        <v>0.17009859330332999</v>
      </c>
      <c r="W11" s="14">
        <v>0.21382057017613701</v>
      </c>
      <c r="X11" s="14">
        <v>0.31460061403541101</v>
      </c>
      <c r="Y11" s="14">
        <v>0.26315738147928303</v>
      </c>
      <c r="Z11" s="14">
        <v>0.24598358727608099</v>
      </c>
      <c r="AA11" s="14"/>
      <c r="AB11" s="14">
        <v>0.23940635314045799</v>
      </c>
      <c r="AC11" s="14">
        <v>0.210506426345688</v>
      </c>
      <c r="AD11" s="14">
        <v>0.20990884935132101</v>
      </c>
      <c r="AE11" s="14">
        <v>0.15484758187136799</v>
      </c>
      <c r="AF11" s="14"/>
      <c r="AG11" s="14">
        <v>0.147244223089112</v>
      </c>
      <c r="AH11" s="14">
        <v>0.32810352721428399</v>
      </c>
      <c r="AI11" s="14"/>
      <c r="AJ11" s="14">
        <v>0.21045453835756101</v>
      </c>
      <c r="AK11" s="14">
        <v>0.190842896127735</v>
      </c>
      <c r="AL11" s="14"/>
      <c r="AM11" s="14">
        <v>0.22563550190528101</v>
      </c>
      <c r="AN11" s="14">
        <v>0.25952150307124</v>
      </c>
    </row>
    <row r="12" spans="2:40" x14ac:dyDescent="0.35">
      <c r="B12" s="15" t="s">
        <v>68</v>
      </c>
      <c r="C12" s="14">
        <v>0.155139997030356</v>
      </c>
      <c r="D12" s="14">
        <v>0.146161827247903</v>
      </c>
      <c r="E12" s="14">
        <v>0.16464496818517699</v>
      </c>
      <c r="F12" s="14"/>
      <c r="G12" s="14" t="s">
        <v>76</v>
      </c>
      <c r="H12" s="14" t="s">
        <v>76</v>
      </c>
      <c r="I12" s="14">
        <v>0.155139997030356</v>
      </c>
      <c r="J12" s="14"/>
      <c r="K12" s="14" t="s">
        <v>76</v>
      </c>
      <c r="L12" s="14">
        <v>0.15665768660997001</v>
      </c>
      <c r="M12" s="14">
        <v>0.1522537530716</v>
      </c>
      <c r="N12" s="14"/>
      <c r="O12" s="14">
        <v>0.146959602417952</v>
      </c>
      <c r="P12" s="14">
        <v>0.171943070208468</v>
      </c>
      <c r="Q12" s="14"/>
      <c r="R12" s="14">
        <v>0.149306338443605</v>
      </c>
      <c r="S12" s="14">
        <v>0.17126396247384201</v>
      </c>
      <c r="T12" s="14">
        <v>0.14378576441742699</v>
      </c>
      <c r="U12" s="14">
        <v>0.12608304989775801</v>
      </c>
      <c r="V12" s="14">
        <v>0.21263245193779601</v>
      </c>
      <c r="W12" s="14">
        <v>0.129924253712563</v>
      </c>
      <c r="X12" s="14">
        <v>0.176569096642408</v>
      </c>
      <c r="Y12" s="14">
        <v>9.3291122983790498E-2</v>
      </c>
      <c r="Z12" s="14">
        <v>0.16390389580186901</v>
      </c>
      <c r="AA12" s="14"/>
      <c r="AB12" s="14">
        <v>0.137846657268233</v>
      </c>
      <c r="AC12" s="14">
        <v>0.13302935674722199</v>
      </c>
      <c r="AD12" s="14">
        <v>0.10821683383077001</v>
      </c>
      <c r="AE12" s="14">
        <v>0.15965898353396599</v>
      </c>
      <c r="AF12" s="14"/>
      <c r="AG12" s="14">
        <v>0.15542816964818601</v>
      </c>
      <c r="AH12" s="14">
        <v>0.19903782288067001</v>
      </c>
      <c r="AI12" s="14"/>
      <c r="AJ12" s="14">
        <v>0.170669740674387</v>
      </c>
      <c r="AK12" s="14">
        <v>0.13182216197899799</v>
      </c>
      <c r="AL12" s="14"/>
      <c r="AM12" s="14">
        <v>0.15371977108899501</v>
      </c>
      <c r="AN12" s="14">
        <v>0.17061405756106801</v>
      </c>
    </row>
    <row r="13" spans="2:40" ht="29" x14ac:dyDescent="0.35">
      <c r="B13" s="15" t="s">
        <v>69</v>
      </c>
      <c r="C13" s="14">
        <v>0.13383035199205701</v>
      </c>
      <c r="D13" s="14">
        <v>0.111390303820034</v>
      </c>
      <c r="E13" s="14">
        <v>0.15416118306838</v>
      </c>
      <c r="F13" s="14"/>
      <c r="G13" s="14" t="s">
        <v>76</v>
      </c>
      <c r="H13" s="14" t="s">
        <v>76</v>
      </c>
      <c r="I13" s="14">
        <v>0.13383035199205701</v>
      </c>
      <c r="J13" s="14"/>
      <c r="K13" s="14" t="s">
        <v>76</v>
      </c>
      <c r="L13" s="14">
        <v>6.08015486441481E-2</v>
      </c>
      <c r="M13" s="14">
        <v>0.27271181056527999</v>
      </c>
      <c r="N13" s="14"/>
      <c r="O13" s="14">
        <v>0.138804053521282</v>
      </c>
      <c r="P13" s="14">
        <v>0.117500761111736</v>
      </c>
      <c r="Q13" s="14"/>
      <c r="R13" s="14">
        <v>0.12251114645818501</v>
      </c>
      <c r="S13" s="14">
        <v>0.141281686297905</v>
      </c>
      <c r="T13" s="14">
        <v>0.196247443173757</v>
      </c>
      <c r="U13" s="14">
        <v>9.5456539038808103E-2</v>
      </c>
      <c r="V13" s="14">
        <v>0.22959473366185801</v>
      </c>
      <c r="W13" s="14">
        <v>0.16833147603663401</v>
      </c>
      <c r="X13" s="14">
        <v>0.13969827100203899</v>
      </c>
      <c r="Y13" s="14">
        <v>2.4083118746634501E-2</v>
      </c>
      <c r="Z13" s="14">
        <v>8.0752898784356E-2</v>
      </c>
      <c r="AA13" s="14"/>
      <c r="AB13" s="14">
        <v>0.104105434108949</v>
      </c>
      <c r="AC13" s="14">
        <v>0.171368229592402</v>
      </c>
      <c r="AD13" s="14">
        <v>0.28986006843562301</v>
      </c>
      <c r="AE13" s="14">
        <v>0.27662948428018103</v>
      </c>
      <c r="AF13" s="14"/>
      <c r="AG13" s="14">
        <v>0.30114544363499501</v>
      </c>
      <c r="AH13" s="14">
        <v>0.26312885401122599</v>
      </c>
      <c r="AI13" s="14"/>
      <c r="AJ13" s="14">
        <v>0.28785864798368299</v>
      </c>
      <c r="AK13" s="14">
        <v>0.247626696704287</v>
      </c>
      <c r="AL13" s="14"/>
      <c r="AM13" s="14">
        <v>0.109915042968019</v>
      </c>
      <c r="AN13" s="14">
        <v>0.17734173045376</v>
      </c>
    </row>
    <row r="14" spans="2:40" x14ac:dyDescent="0.35">
      <c r="B14" s="15" t="s">
        <v>70</v>
      </c>
      <c r="C14" s="20">
        <v>5.4922800683649005E-4</v>
      </c>
      <c r="D14" s="20">
        <v>0</v>
      </c>
      <c r="E14" s="20">
        <v>1.05627393092535E-3</v>
      </c>
      <c r="F14" s="20"/>
      <c r="G14" s="20" t="s">
        <v>76</v>
      </c>
      <c r="H14" s="20" t="s">
        <v>76</v>
      </c>
      <c r="I14" s="20">
        <v>5.4922800683649005E-4</v>
      </c>
      <c r="J14" s="20"/>
      <c r="K14" s="20" t="s">
        <v>76</v>
      </c>
      <c r="L14" s="20">
        <v>0</v>
      </c>
      <c r="M14" s="20">
        <v>1.59371433526952E-3</v>
      </c>
      <c r="N14" s="20"/>
      <c r="O14" s="20">
        <v>6.5944658583036095E-4</v>
      </c>
      <c r="P14" s="20">
        <v>0</v>
      </c>
      <c r="Q14" s="20"/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5.5569598560061802E-3</v>
      </c>
      <c r="X14" s="20">
        <v>0</v>
      </c>
      <c r="Y14" s="20">
        <v>0</v>
      </c>
      <c r="Z14" s="20">
        <v>0</v>
      </c>
      <c r="AA14" s="20"/>
      <c r="AB14" s="20">
        <v>0</v>
      </c>
      <c r="AC14" s="20">
        <v>0</v>
      </c>
      <c r="AD14" s="20">
        <v>2.9523888775452598E-3</v>
      </c>
      <c r="AE14" s="20">
        <v>0</v>
      </c>
      <c r="AF14" s="20"/>
      <c r="AG14" s="20">
        <v>0</v>
      </c>
      <c r="AH14" s="20">
        <v>0</v>
      </c>
      <c r="AI14" s="20"/>
      <c r="AJ14" s="20">
        <v>0</v>
      </c>
      <c r="AK14" s="20">
        <v>3.37455831499202E-3</v>
      </c>
      <c r="AL14" s="20"/>
      <c r="AM14" s="20">
        <v>0</v>
      </c>
      <c r="AN14" s="20">
        <v>0</v>
      </c>
    </row>
    <row r="15" spans="2:40" x14ac:dyDescent="0.35">
      <c r="B15" s="16" t="s">
        <v>74</v>
      </c>
    </row>
    <row r="16" spans="2:40" x14ac:dyDescent="0.35">
      <c r="B16" t="s">
        <v>72</v>
      </c>
    </row>
    <row r="17" spans="2:2" x14ac:dyDescent="0.35">
      <c r="B17" t="s">
        <v>73</v>
      </c>
    </row>
    <row r="19" spans="2:2" x14ac:dyDescent="0.35">
      <c r="B19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2:AN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83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1216</v>
      </c>
      <c r="D7" s="10">
        <v>613</v>
      </c>
      <c r="E7" s="10">
        <v>598</v>
      </c>
      <c r="F7" s="10"/>
      <c r="G7" s="10" t="s">
        <v>75</v>
      </c>
      <c r="H7" s="10" t="s">
        <v>75</v>
      </c>
      <c r="I7" s="10">
        <v>1216</v>
      </c>
      <c r="J7" s="10"/>
      <c r="K7" s="10" t="s">
        <v>75</v>
      </c>
      <c r="L7" s="10">
        <v>924</v>
      </c>
      <c r="M7" s="10">
        <v>292</v>
      </c>
      <c r="N7" s="10"/>
      <c r="O7" s="10">
        <v>1020</v>
      </c>
      <c r="P7" s="10">
        <v>166</v>
      </c>
      <c r="Q7" s="10"/>
      <c r="R7" s="10">
        <v>177</v>
      </c>
      <c r="S7" s="10">
        <v>216</v>
      </c>
      <c r="T7" s="10">
        <v>97</v>
      </c>
      <c r="U7" s="10">
        <v>116</v>
      </c>
      <c r="V7" s="10">
        <v>104</v>
      </c>
      <c r="W7" s="10">
        <v>152</v>
      </c>
      <c r="X7" s="10">
        <v>76</v>
      </c>
      <c r="Y7" s="10">
        <v>70</v>
      </c>
      <c r="Z7" s="10">
        <v>208</v>
      </c>
      <c r="AA7" s="10"/>
      <c r="AB7" s="10">
        <v>152</v>
      </c>
      <c r="AC7" s="10">
        <v>147</v>
      </c>
      <c r="AD7" s="10">
        <v>152</v>
      </c>
      <c r="AE7" s="10">
        <v>106</v>
      </c>
      <c r="AF7" s="10"/>
      <c r="AG7" s="10">
        <v>95</v>
      </c>
      <c r="AH7" s="10">
        <v>46</v>
      </c>
      <c r="AI7" s="10"/>
      <c r="AJ7" s="10">
        <v>141</v>
      </c>
      <c r="AK7" s="10">
        <v>131</v>
      </c>
      <c r="AL7" s="10"/>
      <c r="AM7" s="10">
        <v>626</v>
      </c>
      <c r="AN7" s="10">
        <v>310</v>
      </c>
    </row>
    <row r="8" spans="2:40" ht="30" customHeight="1" x14ac:dyDescent="0.35">
      <c r="B8" s="11" t="s">
        <v>20</v>
      </c>
      <c r="C8" s="11">
        <v>1136</v>
      </c>
      <c r="D8" s="11">
        <v>540</v>
      </c>
      <c r="E8" s="11">
        <v>591</v>
      </c>
      <c r="F8" s="11"/>
      <c r="G8" s="11" t="s">
        <v>75</v>
      </c>
      <c r="H8" s="11" t="s">
        <v>75</v>
      </c>
      <c r="I8" s="11">
        <v>1136</v>
      </c>
      <c r="J8" s="11"/>
      <c r="K8" s="11" t="s">
        <v>75</v>
      </c>
      <c r="L8" s="11">
        <v>745</v>
      </c>
      <c r="M8" s="11">
        <v>391</v>
      </c>
      <c r="N8" s="11"/>
      <c r="O8" s="11">
        <v>946</v>
      </c>
      <c r="P8" s="11">
        <v>161</v>
      </c>
      <c r="Q8" s="11"/>
      <c r="R8" s="11">
        <v>183</v>
      </c>
      <c r="S8" s="11">
        <v>192</v>
      </c>
      <c r="T8" s="11">
        <v>104</v>
      </c>
      <c r="U8" s="11">
        <v>121</v>
      </c>
      <c r="V8" s="11">
        <v>99</v>
      </c>
      <c r="W8" s="11">
        <v>112</v>
      </c>
      <c r="X8" s="11">
        <v>107</v>
      </c>
      <c r="Y8" s="11">
        <v>62</v>
      </c>
      <c r="Z8" s="11">
        <v>157</v>
      </c>
      <c r="AA8" s="11"/>
      <c r="AB8" s="11">
        <v>117</v>
      </c>
      <c r="AC8" s="11">
        <v>117</v>
      </c>
      <c r="AD8" s="11">
        <v>211</v>
      </c>
      <c r="AE8" s="11">
        <v>141</v>
      </c>
      <c r="AF8" s="11"/>
      <c r="AG8" s="11">
        <v>117</v>
      </c>
      <c r="AH8" s="11">
        <v>63</v>
      </c>
      <c r="AI8" s="11"/>
      <c r="AJ8" s="11">
        <v>180</v>
      </c>
      <c r="AK8" s="11">
        <v>185</v>
      </c>
      <c r="AL8" s="11"/>
      <c r="AM8" s="11">
        <v>567</v>
      </c>
      <c r="AN8" s="11">
        <v>311</v>
      </c>
    </row>
    <row r="9" spans="2:40" x14ac:dyDescent="0.35">
      <c r="B9" s="15" t="s">
        <v>65</v>
      </c>
      <c r="C9" s="14">
        <v>0.14348014944267901</v>
      </c>
      <c r="D9" s="14">
        <v>0.17115699202613599</v>
      </c>
      <c r="E9" s="14">
        <v>0.117979173475175</v>
      </c>
      <c r="F9" s="14"/>
      <c r="G9" s="14" t="s">
        <v>76</v>
      </c>
      <c r="H9" s="14" t="s">
        <v>76</v>
      </c>
      <c r="I9" s="14">
        <v>0.14348014944267901</v>
      </c>
      <c r="J9" s="14"/>
      <c r="K9" s="14" t="s">
        <v>76</v>
      </c>
      <c r="L9" s="14">
        <v>0.15816131816850301</v>
      </c>
      <c r="M9" s="14">
        <v>0.115560451560073</v>
      </c>
      <c r="N9" s="14"/>
      <c r="O9" s="14">
        <v>0.13512690869545699</v>
      </c>
      <c r="P9" s="14">
        <v>0.203936449983809</v>
      </c>
      <c r="Q9" s="14"/>
      <c r="R9" s="14">
        <v>0.180477950917423</v>
      </c>
      <c r="S9" s="14">
        <v>0.15704710533536401</v>
      </c>
      <c r="T9" s="14">
        <v>0.16267220237513799</v>
      </c>
      <c r="U9" s="14">
        <v>0.14201486627899501</v>
      </c>
      <c r="V9" s="14">
        <v>0.17160350338382299</v>
      </c>
      <c r="W9" s="14">
        <v>0.10553459408961</v>
      </c>
      <c r="X9" s="14">
        <v>0.12400380973120501</v>
      </c>
      <c r="Y9" s="14">
        <v>0.13520129668170699</v>
      </c>
      <c r="Z9" s="14">
        <v>9.8180797944718096E-2</v>
      </c>
      <c r="AA9" s="14"/>
      <c r="AB9" s="14">
        <v>0.14313502932316399</v>
      </c>
      <c r="AC9" s="14">
        <v>0.25792899949026898</v>
      </c>
      <c r="AD9" s="14">
        <v>0.108766975252542</v>
      </c>
      <c r="AE9" s="14">
        <v>0.10994700263526599</v>
      </c>
      <c r="AF9" s="14"/>
      <c r="AG9" s="14">
        <v>0.120864268342189</v>
      </c>
      <c r="AH9" s="14">
        <v>0.111315249785864</v>
      </c>
      <c r="AI9" s="14"/>
      <c r="AJ9" s="14">
        <v>0.117526886965161</v>
      </c>
      <c r="AK9" s="14">
        <v>0.111781786646184</v>
      </c>
      <c r="AL9" s="14"/>
      <c r="AM9" s="14">
        <v>0.19571270650799699</v>
      </c>
      <c r="AN9" s="14">
        <v>6.9454801898738594E-2</v>
      </c>
    </row>
    <row r="10" spans="2:40" x14ac:dyDescent="0.35">
      <c r="B10" s="15" t="s">
        <v>66</v>
      </c>
      <c r="C10" s="14">
        <v>0.25383739142744799</v>
      </c>
      <c r="D10" s="14">
        <v>0.26825503284212798</v>
      </c>
      <c r="E10" s="14">
        <v>0.24129353908628901</v>
      </c>
      <c r="F10" s="14"/>
      <c r="G10" s="14" t="s">
        <v>76</v>
      </c>
      <c r="H10" s="14" t="s">
        <v>76</v>
      </c>
      <c r="I10" s="14">
        <v>0.25383739142744799</v>
      </c>
      <c r="J10" s="14"/>
      <c r="K10" s="14" t="s">
        <v>76</v>
      </c>
      <c r="L10" s="14">
        <v>0.28543499568372799</v>
      </c>
      <c r="M10" s="14">
        <v>0.193747109711813</v>
      </c>
      <c r="N10" s="14"/>
      <c r="O10" s="14">
        <v>0.25471147344321399</v>
      </c>
      <c r="P10" s="14">
        <v>0.26229655185051798</v>
      </c>
      <c r="Q10" s="14"/>
      <c r="R10" s="14">
        <v>0.310015944049637</v>
      </c>
      <c r="S10" s="14">
        <v>0.22699168640060499</v>
      </c>
      <c r="T10" s="14">
        <v>0.18175461804357301</v>
      </c>
      <c r="U10" s="14">
        <v>0.28072564433688801</v>
      </c>
      <c r="V10" s="14">
        <v>0.15041726508716</v>
      </c>
      <c r="W10" s="14">
        <v>0.23055331977110799</v>
      </c>
      <c r="X10" s="14">
        <v>0.27124411282862299</v>
      </c>
      <c r="Y10" s="14">
        <v>0.31740850296842499</v>
      </c>
      <c r="Z10" s="14">
        <v>0.29285333132302899</v>
      </c>
      <c r="AA10" s="14"/>
      <c r="AB10" s="14">
        <v>0.27910964754826201</v>
      </c>
      <c r="AC10" s="14">
        <v>0.23451687138699701</v>
      </c>
      <c r="AD10" s="14">
        <v>0.20317565208560701</v>
      </c>
      <c r="AE10" s="14">
        <v>0.191439978960873</v>
      </c>
      <c r="AF10" s="14"/>
      <c r="AG10" s="14">
        <v>0.18141841987129101</v>
      </c>
      <c r="AH10" s="14">
        <v>0.19084690064693499</v>
      </c>
      <c r="AI10" s="14"/>
      <c r="AJ10" s="14">
        <v>0.184713673301651</v>
      </c>
      <c r="AK10" s="14">
        <v>0.21979033361133901</v>
      </c>
      <c r="AL10" s="14"/>
      <c r="AM10" s="14">
        <v>0.29062323321000599</v>
      </c>
      <c r="AN10" s="14">
        <v>0.19159744045512</v>
      </c>
    </row>
    <row r="11" spans="2:40" x14ac:dyDescent="0.35">
      <c r="B11" s="15" t="s">
        <v>67</v>
      </c>
      <c r="C11" s="14">
        <v>0.26561358724527001</v>
      </c>
      <c r="D11" s="14">
        <v>0.28558144756391901</v>
      </c>
      <c r="E11" s="14">
        <v>0.24538677829022701</v>
      </c>
      <c r="F11" s="14"/>
      <c r="G11" s="14" t="s">
        <v>76</v>
      </c>
      <c r="H11" s="14" t="s">
        <v>76</v>
      </c>
      <c r="I11" s="14">
        <v>0.26561358724527001</v>
      </c>
      <c r="J11" s="14"/>
      <c r="K11" s="14" t="s">
        <v>76</v>
      </c>
      <c r="L11" s="14">
        <v>0.29478616786268103</v>
      </c>
      <c r="M11" s="14">
        <v>0.210135058763987</v>
      </c>
      <c r="N11" s="14"/>
      <c r="O11" s="14">
        <v>0.26568447556267</v>
      </c>
      <c r="P11" s="14">
        <v>0.27163061668108901</v>
      </c>
      <c r="Q11" s="14"/>
      <c r="R11" s="14">
        <v>0.242911787025509</v>
      </c>
      <c r="S11" s="14">
        <v>0.28917157437783803</v>
      </c>
      <c r="T11" s="14">
        <v>0.26161073813758001</v>
      </c>
      <c r="U11" s="14">
        <v>0.24348728074911599</v>
      </c>
      <c r="V11" s="14">
        <v>0.200188481394553</v>
      </c>
      <c r="W11" s="14">
        <v>0.31183921960206101</v>
      </c>
      <c r="X11" s="14">
        <v>0.287965327131742</v>
      </c>
      <c r="Y11" s="14">
        <v>0.27376796769058598</v>
      </c>
      <c r="Z11" s="14">
        <v>0.27251262278423599</v>
      </c>
      <c r="AA11" s="14"/>
      <c r="AB11" s="14">
        <v>0.24316866380572599</v>
      </c>
      <c r="AC11" s="14">
        <v>0.20363243732852601</v>
      </c>
      <c r="AD11" s="14">
        <v>0.178197563007923</v>
      </c>
      <c r="AE11" s="14">
        <v>0.233985387448158</v>
      </c>
      <c r="AF11" s="14"/>
      <c r="AG11" s="14">
        <v>0.26892442063540101</v>
      </c>
      <c r="AH11" s="14">
        <v>0.19602506081457199</v>
      </c>
      <c r="AI11" s="14"/>
      <c r="AJ11" s="14">
        <v>0.243446099022743</v>
      </c>
      <c r="AK11" s="14">
        <v>0.16364720926918899</v>
      </c>
      <c r="AL11" s="14"/>
      <c r="AM11" s="14">
        <v>0.26849186925346902</v>
      </c>
      <c r="AN11" s="14">
        <v>0.232025173012924</v>
      </c>
    </row>
    <row r="12" spans="2:40" x14ac:dyDescent="0.35">
      <c r="B12" s="15" t="s">
        <v>68</v>
      </c>
      <c r="C12" s="14">
        <v>0.16370786581444599</v>
      </c>
      <c r="D12" s="14">
        <v>0.13003208981383901</v>
      </c>
      <c r="E12" s="14">
        <v>0.19587937493496499</v>
      </c>
      <c r="F12" s="14"/>
      <c r="G12" s="14" t="s">
        <v>76</v>
      </c>
      <c r="H12" s="14" t="s">
        <v>76</v>
      </c>
      <c r="I12" s="14">
        <v>0.16370786581444599</v>
      </c>
      <c r="J12" s="14"/>
      <c r="K12" s="14" t="s">
        <v>76</v>
      </c>
      <c r="L12" s="14">
        <v>0.184084400838782</v>
      </c>
      <c r="M12" s="14">
        <v>0.124957088379872</v>
      </c>
      <c r="N12" s="14"/>
      <c r="O12" s="14">
        <v>0.17342297676634799</v>
      </c>
      <c r="P12" s="14">
        <v>6.0033742881717499E-2</v>
      </c>
      <c r="Q12" s="14"/>
      <c r="R12" s="14">
        <v>0.13398932367284999</v>
      </c>
      <c r="S12" s="14">
        <v>0.16140333410557101</v>
      </c>
      <c r="T12" s="14">
        <v>0.18107127296922099</v>
      </c>
      <c r="U12" s="14">
        <v>0.18151157692164799</v>
      </c>
      <c r="V12" s="14">
        <v>0.16327669501344599</v>
      </c>
      <c r="W12" s="14">
        <v>0.18512260690450999</v>
      </c>
      <c r="X12" s="14">
        <v>0.15417049701403801</v>
      </c>
      <c r="Y12" s="14">
        <v>0.16480478911104801</v>
      </c>
      <c r="Z12" s="14">
        <v>0.16700466412081599</v>
      </c>
      <c r="AA12" s="14"/>
      <c r="AB12" s="14">
        <v>0.158483226451993</v>
      </c>
      <c r="AC12" s="14">
        <v>0.111513348714467</v>
      </c>
      <c r="AD12" s="14">
        <v>0.13016915162777901</v>
      </c>
      <c r="AE12" s="14">
        <v>8.6348687060478005E-2</v>
      </c>
      <c r="AF12" s="14"/>
      <c r="AG12" s="14">
        <v>8.8337726673882094E-2</v>
      </c>
      <c r="AH12" s="14">
        <v>0.22498106659950301</v>
      </c>
      <c r="AI12" s="14"/>
      <c r="AJ12" s="14">
        <v>0.136094565271771</v>
      </c>
      <c r="AK12" s="14">
        <v>0.117074768269149</v>
      </c>
      <c r="AL12" s="14"/>
      <c r="AM12" s="14">
        <v>0.122243593513544</v>
      </c>
      <c r="AN12" s="14">
        <v>0.252032436903806</v>
      </c>
    </row>
    <row r="13" spans="2:40" ht="29" x14ac:dyDescent="0.35">
      <c r="B13" s="15" t="s">
        <v>69</v>
      </c>
      <c r="C13" s="14">
        <v>0.17111370500933201</v>
      </c>
      <c r="D13" s="14">
        <v>0.144974437753977</v>
      </c>
      <c r="E13" s="14">
        <v>0.195139130426316</v>
      </c>
      <c r="F13" s="14"/>
      <c r="G13" s="14" t="s">
        <v>76</v>
      </c>
      <c r="H13" s="14" t="s">
        <v>76</v>
      </c>
      <c r="I13" s="14">
        <v>0.17111370500933201</v>
      </c>
      <c r="J13" s="14"/>
      <c r="K13" s="14" t="s">
        <v>76</v>
      </c>
      <c r="L13" s="14">
        <v>7.4104105673912499E-2</v>
      </c>
      <c r="M13" s="14">
        <v>0.35560029158425499</v>
      </c>
      <c r="N13" s="14"/>
      <c r="O13" s="14">
        <v>0.16931392675380699</v>
      </c>
      <c r="P13" s="14">
        <v>0.20210263860286601</v>
      </c>
      <c r="Q13" s="14"/>
      <c r="R13" s="14">
        <v>0.12766868496697401</v>
      </c>
      <c r="S13" s="14">
        <v>0.16151175457377401</v>
      </c>
      <c r="T13" s="14">
        <v>0.212891168474488</v>
      </c>
      <c r="U13" s="14">
        <v>0.14474392168444999</v>
      </c>
      <c r="V13" s="14">
        <v>0.31451405512101799</v>
      </c>
      <c r="W13" s="14">
        <v>0.16695025963271101</v>
      </c>
      <c r="X13" s="14">
        <v>0.162616253294392</v>
      </c>
      <c r="Y13" s="14">
        <v>0.108817443548234</v>
      </c>
      <c r="Z13" s="14">
        <v>0.16944858382719999</v>
      </c>
      <c r="AA13" s="14"/>
      <c r="AB13" s="14">
        <v>0.176103432870855</v>
      </c>
      <c r="AC13" s="14">
        <v>0.184670630714065</v>
      </c>
      <c r="AD13" s="14">
        <v>0.37969065802614999</v>
      </c>
      <c r="AE13" s="14">
        <v>0.37827894389522498</v>
      </c>
      <c r="AF13" s="14"/>
      <c r="AG13" s="14">
        <v>0.340455164477237</v>
      </c>
      <c r="AH13" s="14">
        <v>0.27683172215312501</v>
      </c>
      <c r="AI13" s="14"/>
      <c r="AJ13" s="14">
        <v>0.318218775438674</v>
      </c>
      <c r="AK13" s="14">
        <v>0.38770590220413997</v>
      </c>
      <c r="AL13" s="14"/>
      <c r="AM13" s="14">
        <v>0.121336433110773</v>
      </c>
      <c r="AN13" s="14">
        <v>0.251978613817324</v>
      </c>
    </row>
    <row r="14" spans="2:40" x14ac:dyDescent="0.35">
      <c r="B14" s="15" t="s">
        <v>70</v>
      </c>
      <c r="C14" s="20">
        <v>2.2473010608238101E-3</v>
      </c>
      <c r="D14" s="20">
        <v>0</v>
      </c>
      <c r="E14" s="20">
        <v>4.3220037870278496E-3</v>
      </c>
      <c r="F14" s="20"/>
      <c r="G14" s="20" t="s">
        <v>76</v>
      </c>
      <c r="H14" s="20" t="s">
        <v>76</v>
      </c>
      <c r="I14" s="20">
        <v>2.2473010608238101E-3</v>
      </c>
      <c r="J14" s="20"/>
      <c r="K14" s="20" t="s">
        <v>76</v>
      </c>
      <c r="L14" s="20">
        <v>3.4290117723938598E-3</v>
      </c>
      <c r="M14" s="20">
        <v>0</v>
      </c>
      <c r="N14" s="20"/>
      <c r="O14" s="20">
        <v>1.74023877850335E-3</v>
      </c>
      <c r="P14" s="20">
        <v>0</v>
      </c>
      <c r="Q14" s="20"/>
      <c r="R14" s="20">
        <v>4.9363093676079604E-3</v>
      </c>
      <c r="S14" s="20">
        <v>3.8745452068486598E-3</v>
      </c>
      <c r="T14" s="20">
        <v>0</v>
      </c>
      <c r="U14" s="20">
        <v>7.5167100289032403E-3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/>
      <c r="AB14" s="20">
        <v>0</v>
      </c>
      <c r="AC14" s="20">
        <v>7.7377123656767197E-3</v>
      </c>
      <c r="AD14" s="20">
        <v>0</v>
      </c>
      <c r="AE14" s="20">
        <v>0</v>
      </c>
      <c r="AF14" s="20"/>
      <c r="AG14" s="20">
        <v>0</v>
      </c>
      <c r="AH14" s="20">
        <v>0</v>
      </c>
      <c r="AI14" s="20"/>
      <c r="AJ14" s="20">
        <v>0</v>
      </c>
      <c r="AK14" s="20">
        <v>0</v>
      </c>
      <c r="AL14" s="20"/>
      <c r="AM14" s="20">
        <v>1.5921644042106999E-3</v>
      </c>
      <c r="AN14" s="20">
        <v>2.9115339120887999E-3</v>
      </c>
    </row>
    <row r="15" spans="2:40" x14ac:dyDescent="0.35">
      <c r="B15" s="16" t="s">
        <v>74</v>
      </c>
    </row>
    <row r="16" spans="2:40" x14ac:dyDescent="0.35">
      <c r="B16" t="s">
        <v>72</v>
      </c>
    </row>
    <row r="17" spans="2:2" x14ac:dyDescent="0.35">
      <c r="B17" t="s">
        <v>73</v>
      </c>
    </row>
    <row r="19" spans="2:2" x14ac:dyDescent="0.35">
      <c r="B19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2:AN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84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1216</v>
      </c>
      <c r="D7" s="10">
        <v>613</v>
      </c>
      <c r="E7" s="10">
        <v>598</v>
      </c>
      <c r="F7" s="10"/>
      <c r="G7" s="10" t="s">
        <v>75</v>
      </c>
      <c r="H7" s="10" t="s">
        <v>75</v>
      </c>
      <c r="I7" s="10">
        <v>1216</v>
      </c>
      <c r="J7" s="10"/>
      <c r="K7" s="10" t="s">
        <v>75</v>
      </c>
      <c r="L7" s="10">
        <v>924</v>
      </c>
      <c r="M7" s="10">
        <v>292</v>
      </c>
      <c r="N7" s="10"/>
      <c r="O7" s="10">
        <v>1020</v>
      </c>
      <c r="P7" s="10">
        <v>166</v>
      </c>
      <c r="Q7" s="10"/>
      <c r="R7" s="10">
        <v>177</v>
      </c>
      <c r="S7" s="10">
        <v>216</v>
      </c>
      <c r="T7" s="10">
        <v>97</v>
      </c>
      <c r="U7" s="10">
        <v>116</v>
      </c>
      <c r="V7" s="10">
        <v>104</v>
      </c>
      <c r="W7" s="10">
        <v>152</v>
      </c>
      <c r="X7" s="10">
        <v>76</v>
      </c>
      <c r="Y7" s="10">
        <v>70</v>
      </c>
      <c r="Z7" s="10">
        <v>208</v>
      </c>
      <c r="AA7" s="10"/>
      <c r="AB7" s="10">
        <v>152</v>
      </c>
      <c r="AC7" s="10">
        <v>147</v>
      </c>
      <c r="AD7" s="10">
        <v>152</v>
      </c>
      <c r="AE7" s="10">
        <v>106</v>
      </c>
      <c r="AF7" s="10"/>
      <c r="AG7" s="10">
        <v>95</v>
      </c>
      <c r="AH7" s="10">
        <v>46</v>
      </c>
      <c r="AI7" s="10"/>
      <c r="AJ7" s="10">
        <v>141</v>
      </c>
      <c r="AK7" s="10">
        <v>131</v>
      </c>
      <c r="AL7" s="10"/>
      <c r="AM7" s="10">
        <v>626</v>
      </c>
      <c r="AN7" s="10">
        <v>310</v>
      </c>
    </row>
    <row r="8" spans="2:40" ht="30" customHeight="1" x14ac:dyDescent="0.35">
      <c r="B8" s="11" t="s">
        <v>20</v>
      </c>
      <c r="C8" s="11">
        <v>1136</v>
      </c>
      <c r="D8" s="11">
        <v>540</v>
      </c>
      <c r="E8" s="11">
        <v>591</v>
      </c>
      <c r="F8" s="11"/>
      <c r="G8" s="11" t="s">
        <v>75</v>
      </c>
      <c r="H8" s="11" t="s">
        <v>75</v>
      </c>
      <c r="I8" s="11">
        <v>1136</v>
      </c>
      <c r="J8" s="11"/>
      <c r="K8" s="11" t="s">
        <v>75</v>
      </c>
      <c r="L8" s="11">
        <v>745</v>
      </c>
      <c r="M8" s="11">
        <v>391</v>
      </c>
      <c r="N8" s="11"/>
      <c r="O8" s="11">
        <v>946</v>
      </c>
      <c r="P8" s="11">
        <v>161</v>
      </c>
      <c r="Q8" s="11"/>
      <c r="R8" s="11">
        <v>183</v>
      </c>
      <c r="S8" s="11">
        <v>192</v>
      </c>
      <c r="T8" s="11">
        <v>104</v>
      </c>
      <c r="U8" s="11">
        <v>121</v>
      </c>
      <c r="V8" s="11">
        <v>99</v>
      </c>
      <c r="W8" s="11">
        <v>112</v>
      </c>
      <c r="X8" s="11">
        <v>107</v>
      </c>
      <c r="Y8" s="11">
        <v>62</v>
      </c>
      <c r="Z8" s="11">
        <v>157</v>
      </c>
      <c r="AA8" s="11"/>
      <c r="AB8" s="11">
        <v>117</v>
      </c>
      <c r="AC8" s="11">
        <v>117</v>
      </c>
      <c r="AD8" s="11">
        <v>211</v>
      </c>
      <c r="AE8" s="11">
        <v>141</v>
      </c>
      <c r="AF8" s="11"/>
      <c r="AG8" s="11">
        <v>117</v>
      </c>
      <c r="AH8" s="11">
        <v>63</v>
      </c>
      <c r="AI8" s="11"/>
      <c r="AJ8" s="11">
        <v>180</v>
      </c>
      <c r="AK8" s="11">
        <v>185</v>
      </c>
      <c r="AL8" s="11"/>
      <c r="AM8" s="11">
        <v>567</v>
      </c>
      <c r="AN8" s="11">
        <v>311</v>
      </c>
    </row>
    <row r="9" spans="2:40" x14ac:dyDescent="0.35">
      <c r="B9" s="15" t="s">
        <v>65</v>
      </c>
      <c r="C9" s="14">
        <v>0.26785184039580001</v>
      </c>
      <c r="D9" s="14">
        <v>0.19210998813871699</v>
      </c>
      <c r="E9" s="14">
        <v>0.336763484234753</v>
      </c>
      <c r="F9" s="14"/>
      <c r="G9" s="14" t="s">
        <v>76</v>
      </c>
      <c r="H9" s="14" t="s">
        <v>76</v>
      </c>
      <c r="I9" s="14">
        <v>0.26785184039580001</v>
      </c>
      <c r="J9" s="14"/>
      <c r="K9" s="14" t="s">
        <v>76</v>
      </c>
      <c r="L9" s="14">
        <v>0.30761329396769999</v>
      </c>
      <c r="M9" s="14">
        <v>0.19223607765695999</v>
      </c>
      <c r="N9" s="14"/>
      <c r="O9" s="14">
        <v>0.266996646952533</v>
      </c>
      <c r="P9" s="14">
        <v>0.24342246604260201</v>
      </c>
      <c r="Q9" s="14"/>
      <c r="R9" s="14">
        <v>0.28291871377399402</v>
      </c>
      <c r="S9" s="14">
        <v>0.237174921384667</v>
      </c>
      <c r="T9" s="14">
        <v>0.29337336803366998</v>
      </c>
      <c r="U9" s="14">
        <v>0.19512334625348099</v>
      </c>
      <c r="V9" s="14">
        <v>0.27884322858918797</v>
      </c>
      <c r="W9" s="14">
        <v>0.32742752529126401</v>
      </c>
      <c r="X9" s="14">
        <v>0.25568052361044502</v>
      </c>
      <c r="Y9" s="14">
        <v>0.33812912677082002</v>
      </c>
      <c r="Z9" s="14">
        <v>0.25769324005609201</v>
      </c>
      <c r="AA9" s="14"/>
      <c r="AB9" s="14">
        <v>0.29829551496473999</v>
      </c>
      <c r="AC9" s="14">
        <v>0.193465377155837</v>
      </c>
      <c r="AD9" s="14">
        <v>0.19902966262046301</v>
      </c>
      <c r="AE9" s="14">
        <v>0.126258181604082</v>
      </c>
      <c r="AF9" s="14"/>
      <c r="AG9" s="14">
        <v>0.22760739199299701</v>
      </c>
      <c r="AH9" s="14">
        <v>0.188733760710941</v>
      </c>
      <c r="AI9" s="14"/>
      <c r="AJ9" s="14">
        <v>0.21402106033672</v>
      </c>
      <c r="AK9" s="14">
        <v>0.15672282332147799</v>
      </c>
      <c r="AL9" s="14"/>
      <c r="AM9" s="14">
        <v>0.25797558683197302</v>
      </c>
      <c r="AN9" s="14">
        <v>0.27560133747318899</v>
      </c>
    </row>
    <row r="10" spans="2:40" x14ac:dyDescent="0.35">
      <c r="B10" s="15" t="s">
        <v>66</v>
      </c>
      <c r="C10" s="14">
        <v>0.22663626601564599</v>
      </c>
      <c r="D10" s="14">
        <v>0.23551877784905101</v>
      </c>
      <c r="E10" s="14">
        <v>0.21746443563703699</v>
      </c>
      <c r="F10" s="14"/>
      <c r="G10" s="14" t="s">
        <v>76</v>
      </c>
      <c r="H10" s="14" t="s">
        <v>76</v>
      </c>
      <c r="I10" s="14">
        <v>0.22663626601564599</v>
      </c>
      <c r="J10" s="14"/>
      <c r="K10" s="14" t="s">
        <v>76</v>
      </c>
      <c r="L10" s="14">
        <v>0.26123265769541398</v>
      </c>
      <c r="M10" s="14">
        <v>0.160843084180709</v>
      </c>
      <c r="N10" s="14"/>
      <c r="O10" s="14">
        <v>0.22334133326886499</v>
      </c>
      <c r="P10" s="14">
        <v>0.26809623725191201</v>
      </c>
      <c r="Q10" s="14"/>
      <c r="R10" s="14">
        <v>0.234601854728586</v>
      </c>
      <c r="S10" s="14">
        <v>0.23193528163594099</v>
      </c>
      <c r="T10" s="14">
        <v>0.238125430000273</v>
      </c>
      <c r="U10" s="14">
        <v>0.230805572246496</v>
      </c>
      <c r="V10" s="14">
        <v>0.22135860365200699</v>
      </c>
      <c r="W10" s="14">
        <v>0.232929754790455</v>
      </c>
      <c r="X10" s="14">
        <v>0.17197829241814999</v>
      </c>
      <c r="Y10" s="14">
        <v>0.26757555878338601</v>
      </c>
      <c r="Z10" s="14">
        <v>0.219835961266313</v>
      </c>
      <c r="AA10" s="14"/>
      <c r="AB10" s="14">
        <v>0.225133450101445</v>
      </c>
      <c r="AC10" s="14">
        <v>0.24984461889237899</v>
      </c>
      <c r="AD10" s="14">
        <v>0.15180546519749399</v>
      </c>
      <c r="AE10" s="14">
        <v>0.184883878153939</v>
      </c>
      <c r="AF10" s="14"/>
      <c r="AG10" s="14">
        <v>0.14013015061679401</v>
      </c>
      <c r="AH10" s="14">
        <v>0.12825333812424899</v>
      </c>
      <c r="AI10" s="14"/>
      <c r="AJ10" s="14">
        <v>0.13597920540737099</v>
      </c>
      <c r="AK10" s="14">
        <v>0.184899083876647</v>
      </c>
      <c r="AL10" s="14"/>
      <c r="AM10" s="14">
        <v>0.25471975918237899</v>
      </c>
      <c r="AN10" s="14">
        <v>0.17392102821013899</v>
      </c>
    </row>
    <row r="11" spans="2:40" x14ac:dyDescent="0.35">
      <c r="B11" s="15" t="s">
        <v>67</v>
      </c>
      <c r="C11" s="14">
        <v>0.22051729399875</v>
      </c>
      <c r="D11" s="14">
        <v>0.23310200627310301</v>
      </c>
      <c r="E11" s="14">
        <v>0.20937305653802399</v>
      </c>
      <c r="F11" s="14"/>
      <c r="G11" s="14" t="s">
        <v>76</v>
      </c>
      <c r="H11" s="14" t="s">
        <v>76</v>
      </c>
      <c r="I11" s="14">
        <v>0.22051729399875</v>
      </c>
      <c r="J11" s="14"/>
      <c r="K11" s="14" t="s">
        <v>76</v>
      </c>
      <c r="L11" s="14">
        <v>0.226533400875051</v>
      </c>
      <c r="M11" s="14">
        <v>0.20907625074445099</v>
      </c>
      <c r="N11" s="14"/>
      <c r="O11" s="14">
        <v>0.21793288406944999</v>
      </c>
      <c r="P11" s="14">
        <v>0.230703221408183</v>
      </c>
      <c r="Q11" s="14"/>
      <c r="R11" s="14">
        <v>0.21979328280990901</v>
      </c>
      <c r="S11" s="14">
        <v>0.23478012868930501</v>
      </c>
      <c r="T11" s="14">
        <v>0.17105684870086499</v>
      </c>
      <c r="U11" s="14">
        <v>0.22613340067441701</v>
      </c>
      <c r="V11" s="14">
        <v>0.11784105208062499</v>
      </c>
      <c r="W11" s="14">
        <v>0.19000263842485199</v>
      </c>
      <c r="X11" s="14">
        <v>0.30583580089193702</v>
      </c>
      <c r="Y11" s="14">
        <v>0.22713594458398501</v>
      </c>
      <c r="Z11" s="14">
        <v>0.25801798252223301</v>
      </c>
      <c r="AA11" s="14"/>
      <c r="AB11" s="14">
        <v>0.18974107417685501</v>
      </c>
      <c r="AC11" s="14">
        <v>0.193129606441198</v>
      </c>
      <c r="AD11" s="14">
        <v>0.23153929838661799</v>
      </c>
      <c r="AE11" s="14">
        <v>0.193479266977472</v>
      </c>
      <c r="AF11" s="14"/>
      <c r="AG11" s="14">
        <v>0.16129302069196699</v>
      </c>
      <c r="AH11" s="14">
        <v>0.28264758950039498</v>
      </c>
      <c r="AI11" s="14"/>
      <c r="AJ11" s="14">
        <v>0.203706434758508</v>
      </c>
      <c r="AK11" s="14">
        <v>0.23408369379038599</v>
      </c>
      <c r="AL11" s="14"/>
      <c r="AM11" s="14">
        <v>0.224128020590983</v>
      </c>
      <c r="AN11" s="14">
        <v>0.21965876569978901</v>
      </c>
    </row>
    <row r="12" spans="2:40" x14ac:dyDescent="0.35">
      <c r="B12" s="15" t="s">
        <v>68</v>
      </c>
      <c r="C12" s="14">
        <v>0.10672613735967799</v>
      </c>
      <c r="D12" s="14">
        <v>0.165295956977803</v>
      </c>
      <c r="E12" s="14">
        <v>5.40302061399347E-2</v>
      </c>
      <c r="F12" s="14"/>
      <c r="G12" s="14" t="s">
        <v>76</v>
      </c>
      <c r="H12" s="14" t="s">
        <v>76</v>
      </c>
      <c r="I12" s="14">
        <v>0.10672613735967799</v>
      </c>
      <c r="J12" s="14"/>
      <c r="K12" s="14" t="s">
        <v>76</v>
      </c>
      <c r="L12" s="14">
        <v>0.108201760847656</v>
      </c>
      <c r="M12" s="14">
        <v>0.10391989197539001</v>
      </c>
      <c r="N12" s="14"/>
      <c r="O12" s="14">
        <v>0.11321991253272</v>
      </c>
      <c r="P12" s="14">
        <v>5.8367700398104301E-2</v>
      </c>
      <c r="Q12" s="14"/>
      <c r="R12" s="14">
        <v>8.9501643727939798E-2</v>
      </c>
      <c r="S12" s="14">
        <v>0.112256915319482</v>
      </c>
      <c r="T12" s="14">
        <v>0.100152483623601</v>
      </c>
      <c r="U12" s="14">
        <v>0.17912617476474901</v>
      </c>
      <c r="V12" s="14">
        <v>0.11484551109010201</v>
      </c>
      <c r="W12" s="14">
        <v>9.1587150586090793E-2</v>
      </c>
      <c r="X12" s="14">
        <v>6.5824343700019897E-2</v>
      </c>
      <c r="Y12" s="14">
        <v>8.9783550980369803E-2</v>
      </c>
      <c r="Z12" s="14">
        <v>0.109029837574237</v>
      </c>
      <c r="AA12" s="14"/>
      <c r="AB12" s="14">
        <v>9.9434893521836307E-2</v>
      </c>
      <c r="AC12" s="14">
        <v>0.110332034154015</v>
      </c>
      <c r="AD12" s="14">
        <v>6.7508787887306104E-2</v>
      </c>
      <c r="AE12" s="14">
        <v>0.128353832731842</v>
      </c>
      <c r="AF12" s="14"/>
      <c r="AG12" s="14">
        <v>0.118666829899038</v>
      </c>
      <c r="AH12" s="14">
        <v>0.11381599690786599</v>
      </c>
      <c r="AI12" s="14"/>
      <c r="AJ12" s="14">
        <v>0.11697146407769</v>
      </c>
      <c r="AK12" s="14">
        <v>8.7422560262507804E-2</v>
      </c>
      <c r="AL12" s="14"/>
      <c r="AM12" s="14">
        <v>0.11711011759041</v>
      </c>
      <c r="AN12" s="14">
        <v>0.10562389808766701</v>
      </c>
    </row>
    <row r="13" spans="2:40" ht="29" x14ac:dyDescent="0.35">
      <c r="B13" s="15" t="s">
        <v>69</v>
      </c>
      <c r="C13" s="14">
        <v>0.17665385192618799</v>
      </c>
      <c r="D13" s="14">
        <v>0.17057913218273599</v>
      </c>
      <c r="E13" s="14">
        <v>0.18236881745025099</v>
      </c>
      <c r="F13" s="14"/>
      <c r="G13" s="14" t="s">
        <v>76</v>
      </c>
      <c r="H13" s="14" t="s">
        <v>76</v>
      </c>
      <c r="I13" s="14">
        <v>0.17665385192618799</v>
      </c>
      <c r="J13" s="14"/>
      <c r="K13" s="14" t="s">
        <v>76</v>
      </c>
      <c r="L13" s="14">
        <v>9.64188866141788E-2</v>
      </c>
      <c r="M13" s="14">
        <v>0.329239523609972</v>
      </c>
      <c r="N13" s="14"/>
      <c r="O13" s="14">
        <v>0.17657059433899999</v>
      </c>
      <c r="P13" s="14">
        <v>0.19941037489919899</v>
      </c>
      <c r="Q13" s="14"/>
      <c r="R13" s="14">
        <v>0.173184504959571</v>
      </c>
      <c r="S13" s="14">
        <v>0.18385275297060399</v>
      </c>
      <c r="T13" s="14">
        <v>0.19729186964159201</v>
      </c>
      <c r="U13" s="14">
        <v>0.16881150606085699</v>
      </c>
      <c r="V13" s="14">
        <v>0.24852367760736499</v>
      </c>
      <c r="W13" s="14">
        <v>0.15805293090733799</v>
      </c>
      <c r="X13" s="14">
        <v>0.20068103937944901</v>
      </c>
      <c r="Y13" s="14">
        <v>7.7375818881439601E-2</v>
      </c>
      <c r="Z13" s="14">
        <v>0.155422978581125</v>
      </c>
      <c r="AA13" s="14"/>
      <c r="AB13" s="14">
        <v>0.187395067235124</v>
      </c>
      <c r="AC13" s="14">
        <v>0.25322836335657101</v>
      </c>
      <c r="AD13" s="14">
        <v>0.35011678590812001</v>
      </c>
      <c r="AE13" s="14">
        <v>0.35397783734982902</v>
      </c>
      <c r="AF13" s="14"/>
      <c r="AG13" s="14">
        <v>0.33663837027621102</v>
      </c>
      <c r="AH13" s="14">
        <v>0.28654931475654899</v>
      </c>
      <c r="AI13" s="14"/>
      <c r="AJ13" s="14">
        <v>0.319132248563471</v>
      </c>
      <c r="AK13" s="14">
        <v>0.33687183874898102</v>
      </c>
      <c r="AL13" s="14"/>
      <c r="AM13" s="14">
        <v>0.14283095816972</v>
      </c>
      <c r="AN13" s="14">
        <v>0.225194970529216</v>
      </c>
    </row>
    <row r="14" spans="2:40" x14ac:dyDescent="0.35">
      <c r="B14" s="15" t="s">
        <v>70</v>
      </c>
      <c r="C14" s="20">
        <v>1.6146103039384001E-3</v>
      </c>
      <c r="D14" s="20">
        <v>3.3941385785894499E-3</v>
      </c>
      <c r="E14" s="20">
        <v>0</v>
      </c>
      <c r="F14" s="20"/>
      <c r="G14" s="20" t="s">
        <v>76</v>
      </c>
      <c r="H14" s="20" t="s">
        <v>76</v>
      </c>
      <c r="I14" s="20">
        <v>1.6146103039384001E-3</v>
      </c>
      <c r="J14" s="20"/>
      <c r="K14" s="20" t="s">
        <v>76</v>
      </c>
      <c r="L14" s="20">
        <v>0</v>
      </c>
      <c r="M14" s="20">
        <v>4.6851718325183296E-3</v>
      </c>
      <c r="N14" s="20"/>
      <c r="O14" s="20">
        <v>1.93862883743233E-3</v>
      </c>
      <c r="P14" s="20">
        <v>0</v>
      </c>
      <c r="Q14" s="20"/>
      <c r="R14" s="20">
        <v>0</v>
      </c>
      <c r="S14" s="20">
        <v>0</v>
      </c>
      <c r="T14" s="20">
        <v>0</v>
      </c>
      <c r="U14" s="20">
        <v>0</v>
      </c>
      <c r="V14" s="20">
        <v>1.8587926980714101E-2</v>
      </c>
      <c r="W14" s="20">
        <v>0</v>
      </c>
      <c r="X14" s="20">
        <v>0</v>
      </c>
      <c r="Y14" s="20">
        <v>0</v>
      </c>
      <c r="Z14" s="20">
        <v>0</v>
      </c>
      <c r="AA14" s="20"/>
      <c r="AB14" s="20">
        <v>0</v>
      </c>
      <c r="AC14" s="20">
        <v>0</v>
      </c>
      <c r="AD14" s="20">
        <v>0</v>
      </c>
      <c r="AE14" s="20">
        <v>1.30470031828364E-2</v>
      </c>
      <c r="AF14" s="20"/>
      <c r="AG14" s="20">
        <v>1.5664236522992599E-2</v>
      </c>
      <c r="AH14" s="20">
        <v>0</v>
      </c>
      <c r="AI14" s="20"/>
      <c r="AJ14" s="20">
        <v>1.01895868562403E-2</v>
      </c>
      <c r="AK14" s="20">
        <v>0</v>
      </c>
      <c r="AL14" s="20"/>
      <c r="AM14" s="20">
        <v>3.2355576345357699E-3</v>
      </c>
      <c r="AN14" s="20">
        <v>0</v>
      </c>
    </row>
    <row r="15" spans="2:40" x14ac:dyDescent="0.35">
      <c r="B15" s="16" t="s">
        <v>74</v>
      </c>
    </row>
    <row r="16" spans="2:40" x14ac:dyDescent="0.35">
      <c r="B16" t="s">
        <v>72</v>
      </c>
    </row>
    <row r="17" spans="2:2" x14ac:dyDescent="0.35">
      <c r="B17" t="s">
        <v>73</v>
      </c>
    </row>
    <row r="19" spans="2:2" x14ac:dyDescent="0.35">
      <c r="B19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2:AN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85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1216</v>
      </c>
      <c r="D7" s="10">
        <v>613</v>
      </c>
      <c r="E7" s="10">
        <v>598</v>
      </c>
      <c r="F7" s="10"/>
      <c r="G7" s="10" t="s">
        <v>75</v>
      </c>
      <c r="H7" s="10" t="s">
        <v>75</v>
      </c>
      <c r="I7" s="10">
        <v>1216</v>
      </c>
      <c r="J7" s="10"/>
      <c r="K7" s="10" t="s">
        <v>75</v>
      </c>
      <c r="L7" s="10">
        <v>924</v>
      </c>
      <c r="M7" s="10">
        <v>292</v>
      </c>
      <c r="N7" s="10"/>
      <c r="O7" s="10">
        <v>1020</v>
      </c>
      <c r="P7" s="10">
        <v>166</v>
      </c>
      <c r="Q7" s="10"/>
      <c r="R7" s="10">
        <v>177</v>
      </c>
      <c r="S7" s="10">
        <v>216</v>
      </c>
      <c r="T7" s="10">
        <v>97</v>
      </c>
      <c r="U7" s="10">
        <v>116</v>
      </c>
      <c r="V7" s="10">
        <v>104</v>
      </c>
      <c r="W7" s="10">
        <v>152</v>
      </c>
      <c r="X7" s="10">
        <v>76</v>
      </c>
      <c r="Y7" s="10">
        <v>70</v>
      </c>
      <c r="Z7" s="10">
        <v>208</v>
      </c>
      <c r="AA7" s="10"/>
      <c r="AB7" s="10">
        <v>152</v>
      </c>
      <c r="AC7" s="10">
        <v>147</v>
      </c>
      <c r="AD7" s="10">
        <v>152</v>
      </c>
      <c r="AE7" s="10">
        <v>106</v>
      </c>
      <c r="AF7" s="10"/>
      <c r="AG7" s="10">
        <v>95</v>
      </c>
      <c r="AH7" s="10">
        <v>46</v>
      </c>
      <c r="AI7" s="10"/>
      <c r="AJ7" s="10">
        <v>141</v>
      </c>
      <c r="AK7" s="10">
        <v>131</v>
      </c>
      <c r="AL7" s="10"/>
      <c r="AM7" s="10">
        <v>626</v>
      </c>
      <c r="AN7" s="10">
        <v>310</v>
      </c>
    </row>
    <row r="8" spans="2:40" ht="30" customHeight="1" x14ac:dyDescent="0.35">
      <c r="B8" s="11" t="s">
        <v>20</v>
      </c>
      <c r="C8" s="11">
        <v>1136</v>
      </c>
      <c r="D8" s="11">
        <v>540</v>
      </c>
      <c r="E8" s="11">
        <v>591</v>
      </c>
      <c r="F8" s="11"/>
      <c r="G8" s="11" t="s">
        <v>75</v>
      </c>
      <c r="H8" s="11" t="s">
        <v>75</v>
      </c>
      <c r="I8" s="11">
        <v>1136</v>
      </c>
      <c r="J8" s="11"/>
      <c r="K8" s="11" t="s">
        <v>75</v>
      </c>
      <c r="L8" s="11">
        <v>745</v>
      </c>
      <c r="M8" s="11">
        <v>391</v>
      </c>
      <c r="N8" s="11"/>
      <c r="O8" s="11">
        <v>946</v>
      </c>
      <c r="P8" s="11">
        <v>161</v>
      </c>
      <c r="Q8" s="11"/>
      <c r="R8" s="11">
        <v>183</v>
      </c>
      <c r="S8" s="11">
        <v>192</v>
      </c>
      <c r="T8" s="11">
        <v>104</v>
      </c>
      <c r="U8" s="11">
        <v>121</v>
      </c>
      <c r="V8" s="11">
        <v>99</v>
      </c>
      <c r="W8" s="11">
        <v>112</v>
      </c>
      <c r="X8" s="11">
        <v>107</v>
      </c>
      <c r="Y8" s="11">
        <v>62</v>
      </c>
      <c r="Z8" s="11">
        <v>157</v>
      </c>
      <c r="AA8" s="11"/>
      <c r="AB8" s="11">
        <v>117</v>
      </c>
      <c r="AC8" s="11">
        <v>117</v>
      </c>
      <c r="AD8" s="11">
        <v>211</v>
      </c>
      <c r="AE8" s="11">
        <v>141</v>
      </c>
      <c r="AF8" s="11"/>
      <c r="AG8" s="11">
        <v>117</v>
      </c>
      <c r="AH8" s="11">
        <v>63</v>
      </c>
      <c r="AI8" s="11"/>
      <c r="AJ8" s="11">
        <v>180</v>
      </c>
      <c r="AK8" s="11">
        <v>185</v>
      </c>
      <c r="AL8" s="11"/>
      <c r="AM8" s="11">
        <v>567</v>
      </c>
      <c r="AN8" s="11">
        <v>311</v>
      </c>
    </row>
    <row r="9" spans="2:40" x14ac:dyDescent="0.35">
      <c r="B9" s="15" t="s">
        <v>65</v>
      </c>
      <c r="C9" s="14">
        <v>0.13058230098813101</v>
      </c>
      <c r="D9" s="14">
        <v>0.113626371576263</v>
      </c>
      <c r="E9" s="14">
        <v>0.145807423345205</v>
      </c>
      <c r="F9" s="14"/>
      <c r="G9" s="14" t="s">
        <v>76</v>
      </c>
      <c r="H9" s="14" t="s">
        <v>76</v>
      </c>
      <c r="I9" s="14">
        <v>0.13058230098813101</v>
      </c>
      <c r="J9" s="14"/>
      <c r="K9" s="14" t="s">
        <v>76</v>
      </c>
      <c r="L9" s="14">
        <v>0.15098639508484801</v>
      </c>
      <c r="M9" s="14">
        <v>9.1779113490762704E-2</v>
      </c>
      <c r="N9" s="14"/>
      <c r="O9" s="14">
        <v>0.116793284662253</v>
      </c>
      <c r="P9" s="14">
        <v>0.22113543787693299</v>
      </c>
      <c r="Q9" s="14"/>
      <c r="R9" s="14">
        <v>0.16793347734035399</v>
      </c>
      <c r="S9" s="14">
        <v>0.138513435024015</v>
      </c>
      <c r="T9" s="14">
        <v>0.13598478794508201</v>
      </c>
      <c r="U9" s="14">
        <v>9.7453890686049399E-2</v>
      </c>
      <c r="V9" s="14">
        <v>0.121949880107405</v>
      </c>
      <c r="W9" s="14">
        <v>7.6530176533070704E-2</v>
      </c>
      <c r="X9" s="14">
        <v>0.14344566575162099</v>
      </c>
      <c r="Y9" s="14">
        <v>0.106508203361919</v>
      </c>
      <c r="Z9" s="14">
        <v>0.144158412084364</v>
      </c>
      <c r="AA9" s="14"/>
      <c r="AB9" s="14">
        <v>0.13157207013365099</v>
      </c>
      <c r="AC9" s="14">
        <v>0.179022344718438</v>
      </c>
      <c r="AD9" s="14">
        <v>5.6164651053593202E-2</v>
      </c>
      <c r="AE9" s="14">
        <v>0.13331530704900901</v>
      </c>
      <c r="AF9" s="14"/>
      <c r="AG9" s="14">
        <v>0.13758779282019901</v>
      </c>
      <c r="AH9" s="14">
        <v>5.7436565138813601E-2</v>
      </c>
      <c r="AI9" s="14"/>
      <c r="AJ9" s="14">
        <v>0.109574943852323</v>
      </c>
      <c r="AK9" s="14">
        <v>5.7976139165423803E-2</v>
      </c>
      <c r="AL9" s="14"/>
      <c r="AM9" s="14">
        <v>0.181321106241604</v>
      </c>
      <c r="AN9" s="14">
        <v>7.5458759459388805E-2</v>
      </c>
    </row>
    <row r="10" spans="2:40" x14ac:dyDescent="0.35">
      <c r="B10" s="15" t="s">
        <v>66</v>
      </c>
      <c r="C10" s="14">
        <v>0.221269795110874</v>
      </c>
      <c r="D10" s="14">
        <v>0.215341831077832</v>
      </c>
      <c r="E10" s="14">
        <v>0.22853453449011199</v>
      </c>
      <c r="F10" s="14"/>
      <c r="G10" s="14" t="s">
        <v>76</v>
      </c>
      <c r="H10" s="14" t="s">
        <v>76</v>
      </c>
      <c r="I10" s="14">
        <v>0.221269795110874</v>
      </c>
      <c r="J10" s="14"/>
      <c r="K10" s="14" t="s">
        <v>76</v>
      </c>
      <c r="L10" s="14">
        <v>0.26169210897761502</v>
      </c>
      <c r="M10" s="14">
        <v>0.14439725097273401</v>
      </c>
      <c r="N10" s="14"/>
      <c r="O10" s="14">
        <v>0.21493179575212901</v>
      </c>
      <c r="P10" s="14">
        <v>0.25790390468511998</v>
      </c>
      <c r="Q10" s="14"/>
      <c r="R10" s="14">
        <v>0.30999066105590001</v>
      </c>
      <c r="S10" s="14">
        <v>0.19956405300881699</v>
      </c>
      <c r="T10" s="14">
        <v>0.23087776164444401</v>
      </c>
      <c r="U10" s="14">
        <v>0.25193567167209102</v>
      </c>
      <c r="V10" s="14">
        <v>0.19954534570294799</v>
      </c>
      <c r="W10" s="14">
        <v>0.203439578455341</v>
      </c>
      <c r="X10" s="14">
        <v>0.16618231442416401</v>
      </c>
      <c r="Y10" s="14">
        <v>0.16558879754160899</v>
      </c>
      <c r="Z10" s="14">
        <v>0.20053185304314</v>
      </c>
      <c r="AA10" s="14"/>
      <c r="AB10" s="14">
        <v>0.237179900762264</v>
      </c>
      <c r="AC10" s="14">
        <v>0.26001637413590301</v>
      </c>
      <c r="AD10" s="14">
        <v>0.148383235611529</v>
      </c>
      <c r="AE10" s="14">
        <v>0.14142470187053199</v>
      </c>
      <c r="AF10" s="14"/>
      <c r="AG10" s="14">
        <v>0.19363255935399301</v>
      </c>
      <c r="AH10" s="14">
        <v>0.102209532398782</v>
      </c>
      <c r="AI10" s="14"/>
      <c r="AJ10" s="14">
        <v>0.16168021725808801</v>
      </c>
      <c r="AK10" s="14">
        <v>0.141885887616125</v>
      </c>
      <c r="AL10" s="14"/>
      <c r="AM10" s="14">
        <v>0.24497420249598201</v>
      </c>
      <c r="AN10" s="14">
        <v>0.17447159442353799</v>
      </c>
    </row>
    <row r="11" spans="2:40" x14ac:dyDescent="0.35">
      <c r="B11" s="15" t="s">
        <v>67</v>
      </c>
      <c r="C11" s="14">
        <v>0.23035145213927799</v>
      </c>
      <c r="D11" s="14">
        <v>0.21449242788699999</v>
      </c>
      <c r="E11" s="14">
        <v>0.245539822696207</v>
      </c>
      <c r="F11" s="14"/>
      <c r="G11" s="14" t="s">
        <v>76</v>
      </c>
      <c r="H11" s="14" t="s">
        <v>76</v>
      </c>
      <c r="I11" s="14">
        <v>0.23035145213927799</v>
      </c>
      <c r="J11" s="14"/>
      <c r="K11" s="14" t="s">
        <v>76</v>
      </c>
      <c r="L11" s="14">
        <v>0.25966921954455702</v>
      </c>
      <c r="M11" s="14">
        <v>0.17459681680781899</v>
      </c>
      <c r="N11" s="14"/>
      <c r="O11" s="14">
        <v>0.231115319314975</v>
      </c>
      <c r="P11" s="14">
        <v>0.22872666815097001</v>
      </c>
      <c r="Q11" s="14"/>
      <c r="R11" s="14">
        <v>0.25442240443721598</v>
      </c>
      <c r="S11" s="14">
        <v>0.19943018936988999</v>
      </c>
      <c r="T11" s="14">
        <v>0.18925958535429599</v>
      </c>
      <c r="U11" s="14">
        <v>0.18526437124154599</v>
      </c>
      <c r="V11" s="14">
        <v>0.20555080993201599</v>
      </c>
      <c r="W11" s="14">
        <v>0.25154773410681802</v>
      </c>
      <c r="X11" s="14">
        <v>0.25651509597782002</v>
      </c>
      <c r="Y11" s="14">
        <v>0.32534382035501203</v>
      </c>
      <c r="Z11" s="14">
        <v>0.246876592351675</v>
      </c>
      <c r="AA11" s="14"/>
      <c r="AB11" s="14">
        <v>0.235117116755613</v>
      </c>
      <c r="AC11" s="14">
        <v>0.29269968673241997</v>
      </c>
      <c r="AD11" s="14">
        <v>0.161964823549061</v>
      </c>
      <c r="AE11" s="14">
        <v>0.18847299517877</v>
      </c>
      <c r="AF11" s="14"/>
      <c r="AG11" s="14">
        <v>0.14818253829736</v>
      </c>
      <c r="AH11" s="14">
        <v>0.176575827597347</v>
      </c>
      <c r="AI11" s="14"/>
      <c r="AJ11" s="14">
        <v>0.15810599109865101</v>
      </c>
      <c r="AK11" s="14">
        <v>0.19060443467948199</v>
      </c>
      <c r="AL11" s="14"/>
      <c r="AM11" s="14">
        <v>0.23939384313692399</v>
      </c>
      <c r="AN11" s="14">
        <v>0.17466365709815199</v>
      </c>
    </row>
    <row r="12" spans="2:40" x14ac:dyDescent="0.35">
      <c r="B12" s="15" t="s">
        <v>68</v>
      </c>
      <c r="C12" s="14">
        <v>0.25601262428068799</v>
      </c>
      <c r="D12" s="14">
        <v>0.296494577999658</v>
      </c>
      <c r="E12" s="14">
        <v>0.21817570389575699</v>
      </c>
      <c r="F12" s="14"/>
      <c r="G12" s="14" t="s">
        <v>76</v>
      </c>
      <c r="H12" s="14" t="s">
        <v>76</v>
      </c>
      <c r="I12" s="14">
        <v>0.25601262428068799</v>
      </c>
      <c r="J12" s="14"/>
      <c r="K12" s="14" t="s">
        <v>76</v>
      </c>
      <c r="L12" s="14">
        <v>0.26652355434043401</v>
      </c>
      <c r="M12" s="14">
        <v>0.23602361678313699</v>
      </c>
      <c r="N12" s="14"/>
      <c r="O12" s="14">
        <v>0.270128336513967</v>
      </c>
      <c r="P12" s="14">
        <v>0.14822691920080899</v>
      </c>
      <c r="Q12" s="14"/>
      <c r="R12" s="14">
        <v>0.16580706470876699</v>
      </c>
      <c r="S12" s="14">
        <v>0.28296925551292201</v>
      </c>
      <c r="T12" s="14">
        <v>0.21259375641734801</v>
      </c>
      <c r="U12" s="14">
        <v>0.31517758989515299</v>
      </c>
      <c r="V12" s="14">
        <v>0.1826999535928</v>
      </c>
      <c r="W12" s="14">
        <v>0.243078162487185</v>
      </c>
      <c r="X12" s="14">
        <v>0.34807239619423702</v>
      </c>
      <c r="Y12" s="14">
        <v>0.35510636650298999</v>
      </c>
      <c r="Z12" s="14">
        <v>0.26473892612883598</v>
      </c>
      <c r="AA12" s="14"/>
      <c r="AB12" s="14">
        <v>0.27125200448266801</v>
      </c>
      <c r="AC12" s="14">
        <v>0.19084693521174101</v>
      </c>
      <c r="AD12" s="14">
        <v>0.245667630830951</v>
      </c>
      <c r="AE12" s="14">
        <v>0.20613832886543601</v>
      </c>
      <c r="AF12" s="14"/>
      <c r="AG12" s="14">
        <v>0.17335539215895701</v>
      </c>
      <c r="AH12" s="14">
        <v>0.32822501503323398</v>
      </c>
      <c r="AI12" s="14"/>
      <c r="AJ12" s="14">
        <v>0.22748231548612899</v>
      </c>
      <c r="AK12" s="14">
        <v>0.247237745593231</v>
      </c>
      <c r="AL12" s="14"/>
      <c r="AM12" s="14">
        <v>0.22944804422002599</v>
      </c>
      <c r="AN12" s="14">
        <v>0.310793952820754</v>
      </c>
    </row>
    <row r="13" spans="2:40" ht="29" x14ac:dyDescent="0.35">
      <c r="B13" s="15" t="s">
        <v>69</v>
      </c>
      <c r="C13" s="14">
        <v>0.15974035590587701</v>
      </c>
      <c r="D13" s="14">
        <v>0.155749126003284</v>
      </c>
      <c r="E13" s="14">
        <v>0.16194251557271999</v>
      </c>
      <c r="F13" s="14"/>
      <c r="G13" s="14" t="s">
        <v>76</v>
      </c>
      <c r="H13" s="14" t="s">
        <v>76</v>
      </c>
      <c r="I13" s="14">
        <v>0.15974035590587701</v>
      </c>
      <c r="J13" s="14"/>
      <c r="K13" s="14" t="s">
        <v>76</v>
      </c>
      <c r="L13" s="14">
        <v>5.9974391723447797E-2</v>
      </c>
      <c r="M13" s="14">
        <v>0.34946881901120103</v>
      </c>
      <c r="N13" s="14"/>
      <c r="O13" s="14">
        <v>0.16612292188095201</v>
      </c>
      <c r="P13" s="14">
        <v>0.134938292851735</v>
      </c>
      <c r="Q13" s="14"/>
      <c r="R13" s="14">
        <v>0.101846392457763</v>
      </c>
      <c r="S13" s="14">
        <v>0.179523067084357</v>
      </c>
      <c r="T13" s="14">
        <v>0.23128410863883</v>
      </c>
      <c r="U13" s="14">
        <v>0.14304175838605401</v>
      </c>
      <c r="V13" s="14">
        <v>0.29025401066483197</v>
      </c>
      <c r="W13" s="14">
        <v>0.225404348417586</v>
      </c>
      <c r="X13" s="14">
        <v>8.5784527652157994E-2</v>
      </c>
      <c r="Y13" s="14">
        <v>4.7452812238469401E-2</v>
      </c>
      <c r="Z13" s="14">
        <v>0.13436977873139699</v>
      </c>
      <c r="AA13" s="14"/>
      <c r="AB13" s="14">
        <v>0.12487890786580499</v>
      </c>
      <c r="AC13" s="14">
        <v>7.7414659201497996E-2</v>
      </c>
      <c r="AD13" s="14">
        <v>0.38781965895486598</v>
      </c>
      <c r="AE13" s="14">
        <v>0.32024936733667803</v>
      </c>
      <c r="AF13" s="14"/>
      <c r="AG13" s="14">
        <v>0.33475631456205501</v>
      </c>
      <c r="AH13" s="14">
        <v>0.33555305983182299</v>
      </c>
      <c r="AI13" s="14"/>
      <c r="AJ13" s="14">
        <v>0.33503477698307499</v>
      </c>
      <c r="AK13" s="14">
        <v>0.36229579294573799</v>
      </c>
      <c r="AL13" s="14"/>
      <c r="AM13" s="14">
        <v>0.10228385661272101</v>
      </c>
      <c r="AN13" s="14">
        <v>0.26461203619816698</v>
      </c>
    </row>
    <row r="14" spans="2:40" x14ac:dyDescent="0.35">
      <c r="B14" s="15" t="s">
        <v>70</v>
      </c>
      <c r="C14" s="20">
        <v>2.0434715751507801E-3</v>
      </c>
      <c r="D14" s="20">
        <v>4.2956654559630804E-3</v>
      </c>
      <c r="E14" s="20">
        <v>0</v>
      </c>
      <c r="F14" s="20"/>
      <c r="G14" s="20" t="s">
        <v>76</v>
      </c>
      <c r="H14" s="20" t="s">
        <v>76</v>
      </c>
      <c r="I14" s="20">
        <v>2.0434715751507801E-3</v>
      </c>
      <c r="J14" s="20"/>
      <c r="K14" s="20" t="s">
        <v>76</v>
      </c>
      <c r="L14" s="20">
        <v>1.1543303290972801E-3</v>
      </c>
      <c r="M14" s="20">
        <v>3.73438293434751E-3</v>
      </c>
      <c r="N14" s="20"/>
      <c r="O14" s="20">
        <v>9.0834187572333305E-4</v>
      </c>
      <c r="P14" s="20">
        <v>9.0687772344334797E-3</v>
      </c>
      <c r="Q14" s="20"/>
      <c r="R14" s="20">
        <v>0</v>
      </c>
      <c r="S14" s="20">
        <v>0</v>
      </c>
      <c r="T14" s="20">
        <v>0</v>
      </c>
      <c r="U14" s="20">
        <v>7.1267181191059202E-3</v>
      </c>
      <c r="V14" s="20">
        <v>0</v>
      </c>
      <c r="W14" s="20">
        <v>0</v>
      </c>
      <c r="X14" s="20">
        <v>0</v>
      </c>
      <c r="Y14" s="20">
        <v>0</v>
      </c>
      <c r="Z14" s="20">
        <v>9.3244376605887795E-3</v>
      </c>
      <c r="AA14" s="20"/>
      <c r="AB14" s="20">
        <v>0</v>
      </c>
      <c r="AC14" s="20">
        <v>0</v>
      </c>
      <c r="AD14" s="20">
        <v>0</v>
      </c>
      <c r="AE14" s="20">
        <v>1.03992996995743E-2</v>
      </c>
      <c r="AF14" s="20"/>
      <c r="AG14" s="20">
        <v>1.24854028074364E-2</v>
      </c>
      <c r="AH14" s="20">
        <v>0</v>
      </c>
      <c r="AI14" s="20"/>
      <c r="AJ14" s="20">
        <v>8.1217553217343297E-3</v>
      </c>
      <c r="AK14" s="20">
        <v>0</v>
      </c>
      <c r="AL14" s="20"/>
      <c r="AM14" s="20">
        <v>2.5789472927428502E-3</v>
      </c>
      <c r="AN14" s="20">
        <v>0</v>
      </c>
    </row>
    <row r="15" spans="2:40" x14ac:dyDescent="0.35">
      <c r="B15" s="16" t="s">
        <v>74</v>
      </c>
    </row>
    <row r="16" spans="2:40" x14ac:dyDescent="0.35">
      <c r="B16" t="s">
        <v>72</v>
      </c>
    </row>
    <row r="17" spans="2:2" x14ac:dyDescent="0.35">
      <c r="B17" t="s">
        <v>73</v>
      </c>
    </row>
    <row r="19" spans="2:2" x14ac:dyDescent="0.35">
      <c r="B19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2:AN23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102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938</v>
      </c>
      <c r="D7" s="10">
        <v>503</v>
      </c>
      <c r="E7" s="10">
        <v>433</v>
      </c>
      <c r="F7" s="10"/>
      <c r="G7" s="10">
        <v>429</v>
      </c>
      <c r="H7" s="10">
        <v>509</v>
      </c>
      <c r="I7" s="10" t="s">
        <v>75</v>
      </c>
      <c r="J7" s="10"/>
      <c r="K7" s="10">
        <v>938</v>
      </c>
      <c r="L7" s="10" t="s">
        <v>75</v>
      </c>
      <c r="M7" s="10" t="s">
        <v>75</v>
      </c>
      <c r="N7" s="10"/>
      <c r="O7" s="10">
        <v>827</v>
      </c>
      <c r="P7" s="10">
        <v>94</v>
      </c>
      <c r="Q7" s="10"/>
      <c r="R7" s="10">
        <v>134</v>
      </c>
      <c r="S7" s="10">
        <v>154</v>
      </c>
      <c r="T7" s="10">
        <v>99</v>
      </c>
      <c r="U7" s="10">
        <v>95</v>
      </c>
      <c r="V7" s="10">
        <v>87</v>
      </c>
      <c r="W7" s="10">
        <v>121</v>
      </c>
      <c r="X7" s="10">
        <v>67</v>
      </c>
      <c r="Y7" s="10">
        <v>44</v>
      </c>
      <c r="Z7" s="10">
        <v>137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611</v>
      </c>
      <c r="AN7" s="10">
        <v>169</v>
      </c>
    </row>
    <row r="8" spans="2:40" ht="30" customHeight="1" x14ac:dyDescent="0.35">
      <c r="B8" s="11" t="s">
        <v>20</v>
      </c>
      <c r="C8" s="11">
        <v>1018</v>
      </c>
      <c r="D8" s="11">
        <v>532</v>
      </c>
      <c r="E8" s="11">
        <v>484</v>
      </c>
      <c r="F8" s="11"/>
      <c r="G8" s="11">
        <v>559</v>
      </c>
      <c r="H8" s="11">
        <v>459</v>
      </c>
      <c r="I8" s="11" t="s">
        <v>75</v>
      </c>
      <c r="J8" s="11"/>
      <c r="K8" s="11">
        <v>1018</v>
      </c>
      <c r="L8" s="11" t="s">
        <v>75</v>
      </c>
      <c r="M8" s="11" t="s">
        <v>75</v>
      </c>
      <c r="N8" s="11"/>
      <c r="O8" s="11">
        <v>901</v>
      </c>
      <c r="P8" s="11">
        <v>100</v>
      </c>
      <c r="Q8" s="11"/>
      <c r="R8" s="11">
        <v>162</v>
      </c>
      <c r="S8" s="11">
        <v>153</v>
      </c>
      <c r="T8" s="11">
        <v>111</v>
      </c>
      <c r="U8" s="11">
        <v>116</v>
      </c>
      <c r="V8" s="11">
        <v>95</v>
      </c>
      <c r="W8" s="11">
        <v>103</v>
      </c>
      <c r="X8" s="11">
        <v>108</v>
      </c>
      <c r="Y8" s="11">
        <v>46</v>
      </c>
      <c r="Z8" s="11">
        <v>123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673</v>
      </c>
      <c r="AN8" s="11">
        <v>174</v>
      </c>
    </row>
    <row r="9" spans="2:40" x14ac:dyDescent="0.35">
      <c r="B9" s="15" t="s">
        <v>93</v>
      </c>
      <c r="C9" s="14">
        <v>0.66516949682737903</v>
      </c>
      <c r="D9" s="14">
        <v>0.66665197156404798</v>
      </c>
      <c r="E9" s="14">
        <v>0.66638416305651604</v>
      </c>
      <c r="F9" s="14"/>
      <c r="G9" s="14">
        <v>0.64710771883390905</v>
      </c>
      <c r="H9" s="14">
        <v>0.68716005829569804</v>
      </c>
      <c r="I9" s="14" t="s">
        <v>76</v>
      </c>
      <c r="J9" s="14"/>
      <c r="K9" s="14">
        <v>0.66516949682737903</v>
      </c>
      <c r="L9" s="14" t="s">
        <v>76</v>
      </c>
      <c r="M9" s="14" t="s">
        <v>76</v>
      </c>
      <c r="N9" s="14"/>
      <c r="O9" s="14">
        <v>0.67683417652504796</v>
      </c>
      <c r="P9" s="14">
        <v>0.59313224682272003</v>
      </c>
      <c r="Q9" s="14"/>
      <c r="R9" s="14">
        <v>0.632046561620907</v>
      </c>
      <c r="S9" s="14">
        <v>0.75634186846157203</v>
      </c>
      <c r="T9" s="14">
        <v>0.71728843923327101</v>
      </c>
      <c r="U9" s="14">
        <v>0.66382162309467596</v>
      </c>
      <c r="V9" s="14">
        <v>0.67476642778429496</v>
      </c>
      <c r="W9" s="14">
        <v>0.62899592861656095</v>
      </c>
      <c r="X9" s="14">
        <v>0.59849835748195102</v>
      </c>
      <c r="Y9" s="14">
        <v>0.64483874645289396</v>
      </c>
      <c r="Z9" s="14">
        <v>0.63857021202950104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0.72593784814374296</v>
      </c>
      <c r="AN9" s="14">
        <v>0.49112255103619401</v>
      </c>
    </row>
    <row r="10" spans="2:40" x14ac:dyDescent="0.35">
      <c r="B10" s="15" t="s">
        <v>94</v>
      </c>
      <c r="C10" s="14">
        <v>0.54030731359333495</v>
      </c>
      <c r="D10" s="14">
        <v>0.48721509670868801</v>
      </c>
      <c r="E10" s="14">
        <v>0.60101999983308396</v>
      </c>
      <c r="F10" s="14"/>
      <c r="G10" s="14">
        <v>0.50204168614945399</v>
      </c>
      <c r="H10" s="14">
        <v>0.58689644965361998</v>
      </c>
      <c r="I10" s="14" t="s">
        <v>76</v>
      </c>
      <c r="J10" s="14"/>
      <c r="K10" s="14">
        <v>0.54030731359333495</v>
      </c>
      <c r="L10" s="14" t="s">
        <v>76</v>
      </c>
      <c r="M10" s="14" t="s">
        <v>76</v>
      </c>
      <c r="N10" s="14"/>
      <c r="O10" s="14">
        <v>0.54731132323769305</v>
      </c>
      <c r="P10" s="14">
        <v>0.49510760507927698</v>
      </c>
      <c r="Q10" s="14"/>
      <c r="R10" s="14">
        <v>0.49764862633573398</v>
      </c>
      <c r="S10" s="14">
        <v>0.58328717371531902</v>
      </c>
      <c r="T10" s="14">
        <v>0.60774341253631603</v>
      </c>
      <c r="U10" s="14">
        <v>0.55232657459800305</v>
      </c>
      <c r="V10" s="14">
        <v>0.56779800459718799</v>
      </c>
      <c r="W10" s="14">
        <v>0.56811554619054205</v>
      </c>
      <c r="X10" s="14">
        <v>0.40379258541948099</v>
      </c>
      <c r="Y10" s="14">
        <v>0.49349353526211498</v>
      </c>
      <c r="Z10" s="14">
        <v>0.563607808473642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0.53980867282344003</v>
      </c>
      <c r="AN10" s="14">
        <v>0.535637687342708</v>
      </c>
    </row>
    <row r="11" spans="2:40" x14ac:dyDescent="0.35">
      <c r="B11" s="15" t="s">
        <v>95</v>
      </c>
      <c r="C11" s="14">
        <v>0.479251487912213</v>
      </c>
      <c r="D11" s="14">
        <v>0.51936447780450401</v>
      </c>
      <c r="E11" s="14">
        <v>0.43549947468364097</v>
      </c>
      <c r="F11" s="14"/>
      <c r="G11" s="14">
        <v>0.46761835136179097</v>
      </c>
      <c r="H11" s="14">
        <v>0.493415055002557</v>
      </c>
      <c r="I11" s="14" t="s">
        <v>76</v>
      </c>
      <c r="J11" s="14"/>
      <c r="K11" s="14">
        <v>0.479251487912213</v>
      </c>
      <c r="L11" s="14" t="s">
        <v>76</v>
      </c>
      <c r="M11" s="14" t="s">
        <v>76</v>
      </c>
      <c r="N11" s="14"/>
      <c r="O11" s="14">
        <v>0.48941554883920102</v>
      </c>
      <c r="P11" s="14">
        <v>0.43355654400920202</v>
      </c>
      <c r="Q11" s="14"/>
      <c r="R11" s="14">
        <v>0.53030967225151604</v>
      </c>
      <c r="S11" s="14">
        <v>0.47103049322032498</v>
      </c>
      <c r="T11" s="14">
        <v>0.49757742824566098</v>
      </c>
      <c r="U11" s="14">
        <v>0.44993387488400599</v>
      </c>
      <c r="V11" s="14">
        <v>0.47891836733360998</v>
      </c>
      <c r="W11" s="14">
        <v>0.40337178011744002</v>
      </c>
      <c r="X11" s="14">
        <v>0.464764046130835</v>
      </c>
      <c r="Y11" s="14">
        <v>0.49188680712715099</v>
      </c>
      <c r="Z11" s="14">
        <v>0.50496505472168096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0.475881829963895</v>
      </c>
      <c r="AN11" s="14">
        <v>0.48878830010982299</v>
      </c>
    </row>
    <row r="12" spans="2:40" x14ac:dyDescent="0.35">
      <c r="B12" s="15" t="s">
        <v>96</v>
      </c>
      <c r="C12" s="14">
        <v>0.31070751588685502</v>
      </c>
      <c r="D12" s="14">
        <v>0.34586467753952799</v>
      </c>
      <c r="E12" s="14">
        <v>0.27168593336089403</v>
      </c>
      <c r="F12" s="14"/>
      <c r="G12" s="14">
        <v>0.30354249854627502</v>
      </c>
      <c r="H12" s="14">
        <v>0.31943106205747801</v>
      </c>
      <c r="I12" s="14" t="s">
        <v>76</v>
      </c>
      <c r="J12" s="14"/>
      <c r="K12" s="14">
        <v>0.31070751588685502</v>
      </c>
      <c r="L12" s="14" t="s">
        <v>76</v>
      </c>
      <c r="M12" s="14" t="s">
        <v>76</v>
      </c>
      <c r="N12" s="14"/>
      <c r="O12" s="14">
        <v>0.28430280584261097</v>
      </c>
      <c r="P12" s="14">
        <v>0.567580044665846</v>
      </c>
      <c r="Q12" s="14"/>
      <c r="R12" s="14">
        <v>0.38219903712025399</v>
      </c>
      <c r="S12" s="14">
        <v>0.30691649527060699</v>
      </c>
      <c r="T12" s="14">
        <v>0.32143476694777601</v>
      </c>
      <c r="U12" s="14">
        <v>0.27350630107280799</v>
      </c>
      <c r="V12" s="14">
        <v>0.21248428404792699</v>
      </c>
      <c r="W12" s="14">
        <v>0.39966525226152899</v>
      </c>
      <c r="X12" s="14">
        <v>0.29160294398543901</v>
      </c>
      <c r="Y12" s="14">
        <v>0.295248369243097</v>
      </c>
      <c r="Z12" s="14">
        <v>0.27112356879468902</v>
      </c>
      <c r="AA12" s="14"/>
      <c r="AB12" s="14" t="s">
        <v>76</v>
      </c>
      <c r="AC12" s="14" t="s">
        <v>76</v>
      </c>
      <c r="AD12" s="14" t="s">
        <v>76</v>
      </c>
      <c r="AE12" s="14" t="s">
        <v>76</v>
      </c>
      <c r="AF12" s="14"/>
      <c r="AG12" s="14" t="s">
        <v>76</v>
      </c>
      <c r="AH12" s="14" t="s">
        <v>76</v>
      </c>
      <c r="AI12" s="14"/>
      <c r="AJ12" s="14" t="s">
        <v>76</v>
      </c>
      <c r="AK12" s="14" t="s">
        <v>76</v>
      </c>
      <c r="AL12" s="14"/>
      <c r="AM12" s="14">
        <v>0.32533009722593198</v>
      </c>
      <c r="AN12" s="14">
        <v>0.248028446833957</v>
      </c>
    </row>
    <row r="13" spans="2:40" x14ac:dyDescent="0.35">
      <c r="B13" s="15" t="s">
        <v>97</v>
      </c>
      <c r="C13" s="14">
        <v>0.178918232414748</v>
      </c>
      <c r="D13" s="14">
        <v>0.20794634440263399</v>
      </c>
      <c r="E13" s="14">
        <v>0.14515281449648501</v>
      </c>
      <c r="F13" s="14"/>
      <c r="G13" s="14">
        <v>0.19740847340302101</v>
      </c>
      <c r="H13" s="14">
        <v>0.156406009024358</v>
      </c>
      <c r="I13" s="14" t="s">
        <v>76</v>
      </c>
      <c r="J13" s="14"/>
      <c r="K13" s="14">
        <v>0.178918232414748</v>
      </c>
      <c r="L13" s="14" t="s">
        <v>76</v>
      </c>
      <c r="M13" s="14" t="s">
        <v>76</v>
      </c>
      <c r="N13" s="14"/>
      <c r="O13" s="14">
        <v>0.177383642952261</v>
      </c>
      <c r="P13" s="14">
        <v>0.20502751997063201</v>
      </c>
      <c r="Q13" s="14"/>
      <c r="R13" s="14">
        <v>0.185411225521108</v>
      </c>
      <c r="S13" s="14">
        <v>0.12922443985558399</v>
      </c>
      <c r="T13" s="14">
        <v>0.19036547534409701</v>
      </c>
      <c r="U13" s="14">
        <v>0.18064720732207801</v>
      </c>
      <c r="V13" s="14">
        <v>0.189890742955697</v>
      </c>
      <c r="W13" s="14">
        <v>0.17984671908268501</v>
      </c>
      <c r="X13" s="14">
        <v>0.228300011680622</v>
      </c>
      <c r="Y13" s="14">
        <v>0.13026607562456599</v>
      </c>
      <c r="Z13" s="14">
        <v>0.18553454584145701</v>
      </c>
      <c r="AA13" s="14"/>
      <c r="AB13" s="14" t="s">
        <v>76</v>
      </c>
      <c r="AC13" s="14" t="s">
        <v>76</v>
      </c>
      <c r="AD13" s="14" t="s">
        <v>76</v>
      </c>
      <c r="AE13" s="14" t="s">
        <v>76</v>
      </c>
      <c r="AF13" s="14"/>
      <c r="AG13" s="14" t="s">
        <v>76</v>
      </c>
      <c r="AH13" s="14" t="s">
        <v>76</v>
      </c>
      <c r="AI13" s="14"/>
      <c r="AJ13" s="14" t="s">
        <v>76</v>
      </c>
      <c r="AK13" s="14" t="s">
        <v>76</v>
      </c>
      <c r="AL13" s="14"/>
      <c r="AM13" s="14">
        <v>0.18252954105001901</v>
      </c>
      <c r="AN13" s="14">
        <v>0.175834200269925</v>
      </c>
    </row>
    <row r="14" spans="2:40" x14ac:dyDescent="0.35">
      <c r="B14" s="15" t="s">
        <v>98</v>
      </c>
      <c r="C14" s="14">
        <v>0.138677592845042</v>
      </c>
      <c r="D14" s="14">
        <v>9.2508768591614193E-2</v>
      </c>
      <c r="E14" s="14">
        <v>0.18577881427415599</v>
      </c>
      <c r="F14" s="14"/>
      <c r="G14" s="14">
        <v>0.13787548623977</v>
      </c>
      <c r="H14" s="14">
        <v>0.13965417303630301</v>
      </c>
      <c r="I14" s="14" t="s">
        <v>76</v>
      </c>
      <c r="J14" s="14"/>
      <c r="K14" s="14">
        <v>0.138677592845042</v>
      </c>
      <c r="L14" s="14" t="s">
        <v>76</v>
      </c>
      <c r="M14" s="14" t="s">
        <v>76</v>
      </c>
      <c r="N14" s="14"/>
      <c r="O14" s="14">
        <v>0.13210644967933299</v>
      </c>
      <c r="P14" s="14">
        <v>0.19691285665505301</v>
      </c>
      <c r="Q14" s="14"/>
      <c r="R14" s="14">
        <v>0.13521507832339699</v>
      </c>
      <c r="S14" s="14">
        <v>0.122567750995015</v>
      </c>
      <c r="T14" s="14">
        <v>5.2136328329885497E-2</v>
      </c>
      <c r="U14" s="14">
        <v>0.19842235189953</v>
      </c>
      <c r="V14" s="14">
        <v>0.15199588563448299</v>
      </c>
      <c r="W14" s="14">
        <v>0.20620264949907299</v>
      </c>
      <c r="X14" s="14">
        <v>0.162799592921648</v>
      </c>
      <c r="Y14" s="14">
        <v>0.108716875970347</v>
      </c>
      <c r="Z14" s="14">
        <v>0.108284697888124</v>
      </c>
      <c r="AA14" s="14"/>
      <c r="AB14" s="14" t="s">
        <v>76</v>
      </c>
      <c r="AC14" s="14" t="s">
        <v>76</v>
      </c>
      <c r="AD14" s="14" t="s">
        <v>76</v>
      </c>
      <c r="AE14" s="14" t="s">
        <v>76</v>
      </c>
      <c r="AF14" s="14"/>
      <c r="AG14" s="14" t="s">
        <v>76</v>
      </c>
      <c r="AH14" s="14" t="s">
        <v>76</v>
      </c>
      <c r="AI14" s="14"/>
      <c r="AJ14" s="14" t="s">
        <v>76</v>
      </c>
      <c r="AK14" s="14" t="s">
        <v>76</v>
      </c>
      <c r="AL14" s="14"/>
      <c r="AM14" s="14">
        <v>0.124219859671807</v>
      </c>
      <c r="AN14" s="14">
        <v>0.18298258669838199</v>
      </c>
    </row>
    <row r="15" spans="2:40" x14ac:dyDescent="0.35">
      <c r="B15" s="15" t="s">
        <v>99</v>
      </c>
      <c r="C15" s="14">
        <v>0.109439949817053</v>
      </c>
      <c r="D15" s="14">
        <v>0.10028206396821</v>
      </c>
      <c r="E15" s="14">
        <v>0.11998177103759899</v>
      </c>
      <c r="F15" s="14"/>
      <c r="G15" s="14">
        <v>9.4691175990214593E-2</v>
      </c>
      <c r="H15" s="14">
        <v>0.12739686510737899</v>
      </c>
      <c r="I15" s="14" t="s">
        <v>76</v>
      </c>
      <c r="J15" s="14"/>
      <c r="K15" s="14">
        <v>0.109439949817053</v>
      </c>
      <c r="L15" s="14" t="s">
        <v>76</v>
      </c>
      <c r="M15" s="14" t="s">
        <v>76</v>
      </c>
      <c r="N15" s="14"/>
      <c r="O15" s="14">
        <v>0.109752567682579</v>
      </c>
      <c r="P15" s="14">
        <v>0.115823879228764</v>
      </c>
      <c r="Q15" s="14"/>
      <c r="R15" s="14">
        <v>0.148513895653236</v>
      </c>
      <c r="S15" s="14">
        <v>0.10095337462948099</v>
      </c>
      <c r="T15" s="14">
        <v>6.0473244595379297E-2</v>
      </c>
      <c r="U15" s="14">
        <v>0.162807972865566</v>
      </c>
      <c r="V15" s="14">
        <v>9.01124955397022E-2</v>
      </c>
      <c r="W15" s="14">
        <v>9.0179434229255895E-2</v>
      </c>
      <c r="X15" s="14">
        <v>0.110610256908993</v>
      </c>
      <c r="Y15" s="14">
        <v>7.9125323737880601E-2</v>
      </c>
      <c r="Z15" s="14">
        <v>0.103585151167445</v>
      </c>
      <c r="AA15" s="14"/>
      <c r="AB15" s="14" t="s">
        <v>76</v>
      </c>
      <c r="AC15" s="14" t="s">
        <v>76</v>
      </c>
      <c r="AD15" s="14" t="s">
        <v>76</v>
      </c>
      <c r="AE15" s="14" t="s">
        <v>76</v>
      </c>
      <c r="AF15" s="14"/>
      <c r="AG15" s="14" t="s">
        <v>76</v>
      </c>
      <c r="AH15" s="14" t="s">
        <v>76</v>
      </c>
      <c r="AI15" s="14"/>
      <c r="AJ15" s="14" t="s">
        <v>76</v>
      </c>
      <c r="AK15" s="14" t="s">
        <v>76</v>
      </c>
      <c r="AL15" s="14"/>
      <c r="AM15" s="14">
        <v>0.117917214150855</v>
      </c>
      <c r="AN15" s="14">
        <v>0.102265939476165</v>
      </c>
    </row>
    <row r="16" spans="2:40" x14ac:dyDescent="0.35">
      <c r="B16" s="15" t="s">
        <v>100</v>
      </c>
      <c r="C16" s="14">
        <v>6.2028042460790897E-2</v>
      </c>
      <c r="D16" s="14">
        <v>5.81020910545441E-2</v>
      </c>
      <c r="E16" s="14">
        <v>6.6611924267980099E-2</v>
      </c>
      <c r="F16" s="14"/>
      <c r="G16" s="14">
        <v>5.5348092488684802E-2</v>
      </c>
      <c r="H16" s="14">
        <v>7.0161009797672202E-2</v>
      </c>
      <c r="I16" s="14" t="s">
        <v>76</v>
      </c>
      <c r="J16" s="14"/>
      <c r="K16" s="14">
        <v>6.2028042460790897E-2</v>
      </c>
      <c r="L16" s="14" t="s">
        <v>76</v>
      </c>
      <c r="M16" s="14" t="s">
        <v>76</v>
      </c>
      <c r="N16" s="14"/>
      <c r="O16" s="14">
        <v>5.8768694146159803E-2</v>
      </c>
      <c r="P16" s="14">
        <v>8.4575588001589194E-2</v>
      </c>
      <c r="Q16" s="14"/>
      <c r="R16" s="14">
        <v>7.0362907480916906E-2</v>
      </c>
      <c r="S16" s="14">
        <v>4.4632389318239901E-2</v>
      </c>
      <c r="T16" s="14">
        <v>0.113032092634349</v>
      </c>
      <c r="U16" s="14">
        <v>8.2381939324570594E-2</v>
      </c>
      <c r="V16" s="14">
        <v>2.99846808973128E-2</v>
      </c>
      <c r="W16" s="14">
        <v>4.0967033931841902E-2</v>
      </c>
      <c r="X16" s="14">
        <v>3.8464637780220197E-2</v>
      </c>
      <c r="Y16" s="14">
        <v>4.3858088629059599E-2</v>
      </c>
      <c r="Z16" s="14">
        <v>7.7147634315805805E-2</v>
      </c>
      <c r="AA16" s="14"/>
      <c r="AB16" s="14" t="s">
        <v>76</v>
      </c>
      <c r="AC16" s="14" t="s">
        <v>76</v>
      </c>
      <c r="AD16" s="14" t="s">
        <v>76</v>
      </c>
      <c r="AE16" s="14" t="s">
        <v>76</v>
      </c>
      <c r="AF16" s="14"/>
      <c r="AG16" s="14" t="s">
        <v>76</v>
      </c>
      <c r="AH16" s="14" t="s">
        <v>76</v>
      </c>
      <c r="AI16" s="14"/>
      <c r="AJ16" s="14" t="s">
        <v>76</v>
      </c>
      <c r="AK16" s="14" t="s">
        <v>76</v>
      </c>
      <c r="AL16" s="14"/>
      <c r="AM16" s="14">
        <v>6.1565994074096297E-2</v>
      </c>
      <c r="AN16" s="14">
        <v>6.4342629022676207E-2</v>
      </c>
    </row>
    <row r="17" spans="2:40" x14ac:dyDescent="0.35">
      <c r="B17" s="15" t="s">
        <v>101</v>
      </c>
      <c r="C17" s="14">
        <v>5.8656622974629397E-2</v>
      </c>
      <c r="D17" s="14">
        <v>5.9673478878925199E-2</v>
      </c>
      <c r="E17" s="14">
        <v>5.7788996600887203E-2</v>
      </c>
      <c r="F17" s="14"/>
      <c r="G17" s="14">
        <v>6.3342597750979404E-2</v>
      </c>
      <c r="H17" s="14">
        <v>5.2951358720159401E-2</v>
      </c>
      <c r="I17" s="14" t="s">
        <v>76</v>
      </c>
      <c r="J17" s="14"/>
      <c r="K17" s="14">
        <v>5.8656622974629397E-2</v>
      </c>
      <c r="L17" s="14" t="s">
        <v>76</v>
      </c>
      <c r="M17" s="14" t="s">
        <v>76</v>
      </c>
      <c r="N17" s="14"/>
      <c r="O17" s="14">
        <v>5.7165265328722202E-2</v>
      </c>
      <c r="P17" s="14">
        <v>7.2047351680077004E-2</v>
      </c>
      <c r="Q17" s="14"/>
      <c r="R17" s="14">
        <v>8.8826753405684494E-2</v>
      </c>
      <c r="S17" s="14">
        <v>4.9251755249088702E-2</v>
      </c>
      <c r="T17" s="14">
        <v>5.0700689552132E-2</v>
      </c>
      <c r="U17" s="14">
        <v>2.7521454959587702E-2</v>
      </c>
      <c r="V17" s="14">
        <v>4.75882330456502E-2</v>
      </c>
      <c r="W17" s="14">
        <v>5.42833046984681E-2</v>
      </c>
      <c r="X17" s="14">
        <v>0.106497551109569</v>
      </c>
      <c r="Y17" s="14">
        <v>0</v>
      </c>
      <c r="Z17" s="14">
        <v>5.9193544198787001E-2</v>
      </c>
      <c r="AA17" s="14"/>
      <c r="AB17" s="14" t="s">
        <v>76</v>
      </c>
      <c r="AC17" s="14" t="s">
        <v>76</v>
      </c>
      <c r="AD17" s="14" t="s">
        <v>76</v>
      </c>
      <c r="AE17" s="14" t="s">
        <v>76</v>
      </c>
      <c r="AF17" s="14"/>
      <c r="AG17" s="14" t="s">
        <v>76</v>
      </c>
      <c r="AH17" s="14" t="s">
        <v>76</v>
      </c>
      <c r="AI17" s="14"/>
      <c r="AJ17" s="14" t="s">
        <v>76</v>
      </c>
      <c r="AK17" s="14" t="s">
        <v>76</v>
      </c>
      <c r="AL17" s="14"/>
      <c r="AM17" s="14">
        <v>5.3694202708836701E-2</v>
      </c>
      <c r="AN17" s="14">
        <v>8.5304815804013806E-2</v>
      </c>
    </row>
    <row r="18" spans="2:40" x14ac:dyDescent="0.35">
      <c r="B18" s="15" t="s">
        <v>70</v>
      </c>
      <c r="C18" s="20">
        <v>6.4845727552226395E-2</v>
      </c>
      <c r="D18" s="20">
        <v>6.6303332994531103E-2</v>
      </c>
      <c r="E18" s="20">
        <v>6.0919890467522497E-2</v>
      </c>
      <c r="F18" s="20"/>
      <c r="G18" s="20">
        <v>7.4673876008899506E-2</v>
      </c>
      <c r="H18" s="20">
        <v>5.2879768119308397E-2</v>
      </c>
      <c r="I18" s="20" t="s">
        <v>76</v>
      </c>
      <c r="J18" s="20"/>
      <c r="K18" s="20">
        <v>6.4845727552226395E-2</v>
      </c>
      <c r="L18" s="20" t="s">
        <v>76</v>
      </c>
      <c r="M18" s="20" t="s">
        <v>76</v>
      </c>
      <c r="N18" s="20"/>
      <c r="O18" s="20">
        <v>6.6434284676800806E-2</v>
      </c>
      <c r="P18" s="20">
        <v>7.2595342590578097E-3</v>
      </c>
      <c r="Q18" s="20"/>
      <c r="R18" s="20">
        <v>2.6918155004485599E-2</v>
      </c>
      <c r="S18" s="20">
        <v>5.5213612521750999E-2</v>
      </c>
      <c r="T18" s="20">
        <v>4.1363875388451897E-2</v>
      </c>
      <c r="U18" s="20">
        <v>8.7447321153918497E-2</v>
      </c>
      <c r="V18" s="20">
        <v>6.1907476689858097E-2</v>
      </c>
      <c r="W18" s="20">
        <v>4.7389198514315702E-2</v>
      </c>
      <c r="X18" s="20">
        <v>0.13051668127098101</v>
      </c>
      <c r="Y18" s="20">
        <v>8.8270006618263203E-2</v>
      </c>
      <c r="Z18" s="20">
        <v>7.7046389353591302E-2</v>
      </c>
      <c r="AA18" s="20"/>
      <c r="AB18" s="20" t="s">
        <v>76</v>
      </c>
      <c r="AC18" s="20" t="s">
        <v>76</v>
      </c>
      <c r="AD18" s="20" t="s">
        <v>76</v>
      </c>
      <c r="AE18" s="20" t="s">
        <v>76</v>
      </c>
      <c r="AF18" s="20"/>
      <c r="AG18" s="20" t="s">
        <v>76</v>
      </c>
      <c r="AH18" s="20" t="s">
        <v>76</v>
      </c>
      <c r="AI18" s="20"/>
      <c r="AJ18" s="20" t="s">
        <v>76</v>
      </c>
      <c r="AK18" s="20" t="s">
        <v>76</v>
      </c>
      <c r="AL18" s="20"/>
      <c r="AM18" s="20">
        <v>4.4105630222389898E-2</v>
      </c>
      <c r="AN18" s="20">
        <v>0.115227781181792</v>
      </c>
    </row>
    <row r="19" spans="2:40" x14ac:dyDescent="0.35">
      <c r="B19" s="16" t="s">
        <v>89</v>
      </c>
    </row>
    <row r="20" spans="2:40" x14ac:dyDescent="0.35">
      <c r="B20" t="s">
        <v>72</v>
      </c>
    </row>
    <row r="21" spans="2:40" x14ac:dyDescent="0.35">
      <c r="B21" t="s">
        <v>73</v>
      </c>
    </row>
    <row r="23" spans="2:40" x14ac:dyDescent="0.35">
      <c r="B23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2:AN25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106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1216</v>
      </c>
      <c r="D7" s="10">
        <v>613</v>
      </c>
      <c r="E7" s="10">
        <v>598</v>
      </c>
      <c r="F7" s="10"/>
      <c r="G7" s="10" t="s">
        <v>75</v>
      </c>
      <c r="H7" s="10" t="s">
        <v>75</v>
      </c>
      <c r="I7" s="10">
        <v>1216</v>
      </c>
      <c r="J7" s="10"/>
      <c r="K7" s="10" t="s">
        <v>75</v>
      </c>
      <c r="L7" s="10">
        <v>924</v>
      </c>
      <c r="M7" s="10">
        <v>292</v>
      </c>
      <c r="N7" s="10"/>
      <c r="O7" s="10">
        <v>1020</v>
      </c>
      <c r="P7" s="10">
        <v>166</v>
      </c>
      <c r="Q7" s="10"/>
      <c r="R7" s="10">
        <v>177</v>
      </c>
      <c r="S7" s="10">
        <v>216</v>
      </c>
      <c r="T7" s="10">
        <v>97</v>
      </c>
      <c r="U7" s="10">
        <v>116</v>
      </c>
      <c r="V7" s="10">
        <v>104</v>
      </c>
      <c r="W7" s="10">
        <v>152</v>
      </c>
      <c r="X7" s="10">
        <v>76</v>
      </c>
      <c r="Y7" s="10">
        <v>70</v>
      </c>
      <c r="Z7" s="10">
        <v>208</v>
      </c>
      <c r="AA7" s="10"/>
      <c r="AB7" s="10">
        <v>152</v>
      </c>
      <c r="AC7" s="10">
        <v>147</v>
      </c>
      <c r="AD7" s="10">
        <v>152</v>
      </c>
      <c r="AE7" s="10">
        <v>106</v>
      </c>
      <c r="AF7" s="10"/>
      <c r="AG7" s="10">
        <v>95</v>
      </c>
      <c r="AH7" s="10">
        <v>46</v>
      </c>
      <c r="AI7" s="10"/>
      <c r="AJ7" s="10">
        <v>141</v>
      </c>
      <c r="AK7" s="10">
        <v>131</v>
      </c>
      <c r="AL7" s="10"/>
      <c r="AM7" s="10">
        <v>626</v>
      </c>
      <c r="AN7" s="10">
        <v>310</v>
      </c>
    </row>
    <row r="8" spans="2:40" ht="30" customHeight="1" x14ac:dyDescent="0.35">
      <c r="B8" s="11" t="s">
        <v>20</v>
      </c>
      <c r="C8" s="11">
        <v>1136</v>
      </c>
      <c r="D8" s="11">
        <v>540</v>
      </c>
      <c r="E8" s="11">
        <v>591</v>
      </c>
      <c r="F8" s="11"/>
      <c r="G8" s="11" t="s">
        <v>75</v>
      </c>
      <c r="H8" s="11" t="s">
        <v>75</v>
      </c>
      <c r="I8" s="11">
        <v>1136</v>
      </c>
      <c r="J8" s="11"/>
      <c r="K8" s="11" t="s">
        <v>75</v>
      </c>
      <c r="L8" s="11">
        <v>745</v>
      </c>
      <c r="M8" s="11">
        <v>391</v>
      </c>
      <c r="N8" s="11"/>
      <c r="O8" s="11">
        <v>946</v>
      </c>
      <c r="P8" s="11">
        <v>161</v>
      </c>
      <c r="Q8" s="11"/>
      <c r="R8" s="11">
        <v>183</v>
      </c>
      <c r="S8" s="11">
        <v>192</v>
      </c>
      <c r="T8" s="11">
        <v>104</v>
      </c>
      <c r="U8" s="11">
        <v>121</v>
      </c>
      <c r="V8" s="11">
        <v>99</v>
      </c>
      <c r="W8" s="11">
        <v>112</v>
      </c>
      <c r="X8" s="11">
        <v>107</v>
      </c>
      <c r="Y8" s="11">
        <v>62</v>
      </c>
      <c r="Z8" s="11">
        <v>157</v>
      </c>
      <c r="AA8" s="11"/>
      <c r="AB8" s="11">
        <v>117</v>
      </c>
      <c r="AC8" s="11">
        <v>117</v>
      </c>
      <c r="AD8" s="11">
        <v>211</v>
      </c>
      <c r="AE8" s="11">
        <v>141</v>
      </c>
      <c r="AF8" s="11"/>
      <c r="AG8" s="11">
        <v>117</v>
      </c>
      <c r="AH8" s="11">
        <v>63</v>
      </c>
      <c r="AI8" s="11"/>
      <c r="AJ8" s="11">
        <v>180</v>
      </c>
      <c r="AK8" s="11">
        <v>185</v>
      </c>
      <c r="AL8" s="11"/>
      <c r="AM8" s="11">
        <v>567</v>
      </c>
      <c r="AN8" s="11">
        <v>311</v>
      </c>
    </row>
    <row r="9" spans="2:40" x14ac:dyDescent="0.35">
      <c r="B9" s="15" t="s">
        <v>93</v>
      </c>
      <c r="C9" s="14">
        <v>0.67917319145948196</v>
      </c>
      <c r="D9" s="14">
        <v>0.70119768652098502</v>
      </c>
      <c r="E9" s="14">
        <v>0.65635362326575697</v>
      </c>
      <c r="F9" s="14"/>
      <c r="G9" s="14" t="s">
        <v>76</v>
      </c>
      <c r="H9" s="14" t="s">
        <v>76</v>
      </c>
      <c r="I9" s="14">
        <v>0.67917319145948196</v>
      </c>
      <c r="J9" s="14"/>
      <c r="K9" s="14" t="s">
        <v>76</v>
      </c>
      <c r="L9" s="14">
        <v>0.69482557709729298</v>
      </c>
      <c r="M9" s="14">
        <v>0.64940649602051104</v>
      </c>
      <c r="N9" s="14"/>
      <c r="O9" s="14">
        <v>0.68546766780700297</v>
      </c>
      <c r="P9" s="14">
        <v>0.65096282046737297</v>
      </c>
      <c r="Q9" s="14"/>
      <c r="R9" s="14">
        <v>0.65435970667153298</v>
      </c>
      <c r="S9" s="14">
        <v>0.659903146597836</v>
      </c>
      <c r="T9" s="14">
        <v>0.62724365184318398</v>
      </c>
      <c r="U9" s="14">
        <v>0.66158597155279497</v>
      </c>
      <c r="V9" s="14">
        <v>0.69099548476968498</v>
      </c>
      <c r="W9" s="14">
        <v>0.68058873073973203</v>
      </c>
      <c r="X9" s="14">
        <v>0.76113664975032502</v>
      </c>
      <c r="Y9" s="14">
        <v>0.70719798828694103</v>
      </c>
      <c r="Z9" s="14">
        <v>0.70416530181112602</v>
      </c>
      <c r="AA9" s="14"/>
      <c r="AB9" s="14">
        <v>0.63504555988182099</v>
      </c>
      <c r="AC9" s="14">
        <v>0.747028320762125</v>
      </c>
      <c r="AD9" s="14">
        <v>0.61685082444980799</v>
      </c>
      <c r="AE9" s="14">
        <v>0.72292089889483502</v>
      </c>
      <c r="AF9" s="14"/>
      <c r="AG9" s="14">
        <v>0.83335845458166802</v>
      </c>
      <c r="AH9" s="14">
        <v>0.66676151905682901</v>
      </c>
      <c r="AI9" s="14"/>
      <c r="AJ9" s="14">
        <v>0.77513283623032103</v>
      </c>
      <c r="AK9" s="14">
        <v>0.53284923975351395</v>
      </c>
      <c r="AL9" s="14"/>
      <c r="AM9" s="14">
        <v>0.78446527505362795</v>
      </c>
      <c r="AN9" s="14">
        <v>0.51453794169182399</v>
      </c>
    </row>
    <row r="10" spans="2:40" x14ac:dyDescent="0.35">
      <c r="B10" s="15" t="s">
        <v>94</v>
      </c>
      <c r="C10" s="14">
        <v>0.61066163116186201</v>
      </c>
      <c r="D10" s="14">
        <v>0.57549602226377805</v>
      </c>
      <c r="E10" s="14">
        <v>0.642525231125049</v>
      </c>
      <c r="F10" s="14"/>
      <c r="G10" s="14" t="s">
        <v>76</v>
      </c>
      <c r="H10" s="14" t="s">
        <v>76</v>
      </c>
      <c r="I10" s="14">
        <v>0.61066163116186201</v>
      </c>
      <c r="J10" s="14"/>
      <c r="K10" s="14" t="s">
        <v>76</v>
      </c>
      <c r="L10" s="14">
        <v>0.60682432262867902</v>
      </c>
      <c r="M10" s="14">
        <v>0.61795917653646004</v>
      </c>
      <c r="N10" s="14"/>
      <c r="O10" s="14">
        <v>0.62576190134313703</v>
      </c>
      <c r="P10" s="14">
        <v>0.50647474130450598</v>
      </c>
      <c r="Q10" s="14"/>
      <c r="R10" s="14">
        <v>0.54956189125953003</v>
      </c>
      <c r="S10" s="14">
        <v>0.60371905135145498</v>
      </c>
      <c r="T10" s="14">
        <v>0.59799516991449797</v>
      </c>
      <c r="U10" s="14">
        <v>0.63147476468138797</v>
      </c>
      <c r="V10" s="14">
        <v>0.62671503305962095</v>
      </c>
      <c r="W10" s="14">
        <v>0.66326758656305596</v>
      </c>
      <c r="X10" s="14">
        <v>0.64197346184734505</v>
      </c>
      <c r="Y10" s="14">
        <v>0.64866324249992602</v>
      </c>
      <c r="Z10" s="14">
        <v>0.59858633432969599</v>
      </c>
      <c r="AA10" s="14"/>
      <c r="AB10" s="14">
        <v>0.62501953790133202</v>
      </c>
      <c r="AC10" s="14">
        <v>0.53528819067849998</v>
      </c>
      <c r="AD10" s="14">
        <v>0.70418867321621503</v>
      </c>
      <c r="AE10" s="14">
        <v>0.479313291476065</v>
      </c>
      <c r="AF10" s="14"/>
      <c r="AG10" s="14">
        <v>0.48329711272042403</v>
      </c>
      <c r="AH10" s="14">
        <v>0.67201071983934202</v>
      </c>
      <c r="AI10" s="14"/>
      <c r="AJ10" s="14">
        <v>0.54925250638475698</v>
      </c>
      <c r="AK10" s="14">
        <v>0.648951068718709</v>
      </c>
      <c r="AL10" s="14"/>
      <c r="AM10" s="14">
        <v>0.53609163011225502</v>
      </c>
      <c r="AN10" s="14">
        <v>0.73133450376901099</v>
      </c>
    </row>
    <row r="11" spans="2:40" x14ac:dyDescent="0.35">
      <c r="B11" s="15" t="s">
        <v>95</v>
      </c>
      <c r="C11" s="14">
        <v>0.41424059237558603</v>
      </c>
      <c r="D11" s="14">
        <v>0.49882932835011901</v>
      </c>
      <c r="E11" s="14">
        <v>0.33590229557165702</v>
      </c>
      <c r="F11" s="14"/>
      <c r="G11" s="14" t="s">
        <v>76</v>
      </c>
      <c r="H11" s="14" t="s">
        <v>76</v>
      </c>
      <c r="I11" s="14">
        <v>0.41424059237558603</v>
      </c>
      <c r="J11" s="14"/>
      <c r="K11" s="14" t="s">
        <v>76</v>
      </c>
      <c r="L11" s="14">
        <v>0.440748345004842</v>
      </c>
      <c r="M11" s="14">
        <v>0.36382986154228902</v>
      </c>
      <c r="N11" s="14"/>
      <c r="O11" s="14">
        <v>0.419396452583365</v>
      </c>
      <c r="P11" s="14">
        <v>0.41114678275337702</v>
      </c>
      <c r="Q11" s="14"/>
      <c r="R11" s="14">
        <v>0.48209937166436201</v>
      </c>
      <c r="S11" s="14">
        <v>0.39936796765246202</v>
      </c>
      <c r="T11" s="14">
        <v>0.43634520058750798</v>
      </c>
      <c r="U11" s="14">
        <v>0.39041494715284197</v>
      </c>
      <c r="V11" s="14">
        <v>0.338216091413301</v>
      </c>
      <c r="W11" s="14">
        <v>0.39453263303258601</v>
      </c>
      <c r="X11" s="14">
        <v>0.40264819339693803</v>
      </c>
      <c r="Y11" s="14">
        <v>0.51336304427274904</v>
      </c>
      <c r="Z11" s="14">
        <v>0.387497860814845</v>
      </c>
      <c r="AA11" s="14"/>
      <c r="AB11" s="14">
        <v>0.43351841176019001</v>
      </c>
      <c r="AC11" s="14">
        <v>0.34868536606088202</v>
      </c>
      <c r="AD11" s="14">
        <v>0.33316048001901799</v>
      </c>
      <c r="AE11" s="14">
        <v>0.367265845100472</v>
      </c>
      <c r="AF11" s="14"/>
      <c r="AG11" s="14">
        <v>0.39285980093725997</v>
      </c>
      <c r="AH11" s="14">
        <v>0.46077422179224298</v>
      </c>
      <c r="AI11" s="14"/>
      <c r="AJ11" s="14">
        <v>0.41659588669896602</v>
      </c>
      <c r="AK11" s="14">
        <v>0.28816571141969799</v>
      </c>
      <c r="AL11" s="14"/>
      <c r="AM11" s="14">
        <v>0.45404128493929202</v>
      </c>
      <c r="AN11" s="14">
        <v>0.35483665780954698</v>
      </c>
    </row>
    <row r="12" spans="2:40" x14ac:dyDescent="0.35">
      <c r="B12" s="15" t="s">
        <v>103</v>
      </c>
      <c r="C12" s="14">
        <v>0.12571424449747401</v>
      </c>
      <c r="D12" s="14">
        <v>8.8268472968938902E-2</v>
      </c>
      <c r="E12" s="14">
        <v>0.15671302508431101</v>
      </c>
      <c r="F12" s="14"/>
      <c r="G12" s="14" t="s">
        <v>76</v>
      </c>
      <c r="H12" s="14" t="s">
        <v>76</v>
      </c>
      <c r="I12" s="14">
        <v>0.12571424449747401</v>
      </c>
      <c r="J12" s="14"/>
      <c r="K12" s="14" t="s">
        <v>76</v>
      </c>
      <c r="L12" s="14">
        <v>0.108185325155414</v>
      </c>
      <c r="M12" s="14">
        <v>0.159049610460407</v>
      </c>
      <c r="N12" s="14"/>
      <c r="O12" s="14">
        <v>0.119764368569032</v>
      </c>
      <c r="P12" s="14">
        <v>0.174572726667448</v>
      </c>
      <c r="Q12" s="14"/>
      <c r="R12" s="14">
        <v>0.15314263010866999</v>
      </c>
      <c r="S12" s="14">
        <v>0.107527164766375</v>
      </c>
      <c r="T12" s="14">
        <v>8.7240359508488796E-2</v>
      </c>
      <c r="U12" s="14">
        <v>0.15716534196826601</v>
      </c>
      <c r="V12" s="14">
        <v>0.15451389667691101</v>
      </c>
      <c r="W12" s="14">
        <v>8.8956821966901897E-2</v>
      </c>
      <c r="X12" s="14">
        <v>0.119228806931742</v>
      </c>
      <c r="Y12" s="14">
        <v>0.11271245499098501</v>
      </c>
      <c r="Z12" s="14">
        <v>0.13504210939396699</v>
      </c>
      <c r="AA12" s="14"/>
      <c r="AB12" s="14">
        <v>9.4058472593211706E-2</v>
      </c>
      <c r="AC12" s="14">
        <v>0.19107004484323201</v>
      </c>
      <c r="AD12" s="14">
        <v>0.14818315505479901</v>
      </c>
      <c r="AE12" s="14">
        <v>0.20106178278579001</v>
      </c>
      <c r="AF12" s="14"/>
      <c r="AG12" s="14">
        <v>0.23270382290553401</v>
      </c>
      <c r="AH12" s="14">
        <v>8.1016366835713394E-2</v>
      </c>
      <c r="AI12" s="14"/>
      <c r="AJ12" s="14">
        <v>0.17968906667376999</v>
      </c>
      <c r="AK12" s="14">
        <v>0.15014699488647501</v>
      </c>
      <c r="AL12" s="14"/>
      <c r="AM12" s="14">
        <v>0.15864126161734901</v>
      </c>
      <c r="AN12" s="14">
        <v>7.0398841649525007E-2</v>
      </c>
    </row>
    <row r="13" spans="2:40" x14ac:dyDescent="0.35">
      <c r="B13" s="15" t="s">
        <v>99</v>
      </c>
      <c r="C13" s="14">
        <v>0.12550527750211499</v>
      </c>
      <c r="D13" s="14">
        <v>9.9480561403988699E-2</v>
      </c>
      <c r="E13" s="14">
        <v>0.150359099813139</v>
      </c>
      <c r="F13" s="14"/>
      <c r="G13" s="14" t="s">
        <v>76</v>
      </c>
      <c r="H13" s="14" t="s">
        <v>76</v>
      </c>
      <c r="I13" s="14">
        <v>0.12550527750211499</v>
      </c>
      <c r="J13" s="14"/>
      <c r="K13" s="14" t="s">
        <v>76</v>
      </c>
      <c r="L13" s="14">
        <v>0.13430113810716199</v>
      </c>
      <c r="M13" s="14">
        <v>0.108777878253681</v>
      </c>
      <c r="N13" s="14"/>
      <c r="O13" s="14">
        <v>0.112134764666963</v>
      </c>
      <c r="P13" s="14">
        <v>0.22245938986952399</v>
      </c>
      <c r="Q13" s="14"/>
      <c r="R13" s="14">
        <v>0.20299656446168601</v>
      </c>
      <c r="S13" s="14">
        <v>0.18042541870264001</v>
      </c>
      <c r="T13" s="14">
        <v>0.11204478950269001</v>
      </c>
      <c r="U13" s="14">
        <v>8.5520746868995107E-2</v>
      </c>
      <c r="V13" s="14">
        <v>9.9806218110174497E-2</v>
      </c>
      <c r="W13" s="14">
        <v>7.3444837141982605E-2</v>
      </c>
      <c r="X13" s="14">
        <v>7.1089991153757706E-2</v>
      </c>
      <c r="Y13" s="14">
        <v>0.11764259324179099</v>
      </c>
      <c r="Z13" s="14">
        <v>0.10118762365777299</v>
      </c>
      <c r="AA13" s="14"/>
      <c r="AB13" s="14">
        <v>0.194044879086402</v>
      </c>
      <c r="AC13" s="14">
        <v>0.132781374684555</v>
      </c>
      <c r="AD13" s="14">
        <v>9.0436044965726201E-2</v>
      </c>
      <c r="AE13" s="14">
        <v>0.16055315493889999</v>
      </c>
      <c r="AF13" s="14"/>
      <c r="AG13" s="14">
        <v>0.14998122220337201</v>
      </c>
      <c r="AH13" s="14">
        <v>0.15763190069199201</v>
      </c>
      <c r="AI13" s="14"/>
      <c r="AJ13" s="14">
        <v>0.152655133847688</v>
      </c>
      <c r="AK13" s="14">
        <v>8.1704889096657907E-2</v>
      </c>
      <c r="AL13" s="14"/>
      <c r="AM13" s="14">
        <v>0.120578875162142</v>
      </c>
      <c r="AN13" s="14">
        <v>0.12163734962468099</v>
      </c>
    </row>
    <row r="14" spans="2:40" x14ac:dyDescent="0.35">
      <c r="B14" s="15" t="s">
        <v>97</v>
      </c>
      <c r="C14" s="14">
        <v>0.12028092684401299</v>
      </c>
      <c r="D14" s="14">
        <v>0.15506848119803401</v>
      </c>
      <c r="E14" s="14">
        <v>8.9455611264976601E-2</v>
      </c>
      <c r="F14" s="14"/>
      <c r="G14" s="14" t="s">
        <v>76</v>
      </c>
      <c r="H14" s="14" t="s">
        <v>76</v>
      </c>
      <c r="I14" s="14">
        <v>0.12028092684401299</v>
      </c>
      <c r="J14" s="14"/>
      <c r="K14" s="14" t="s">
        <v>76</v>
      </c>
      <c r="L14" s="14">
        <v>0.121390355029076</v>
      </c>
      <c r="M14" s="14">
        <v>0.11817108802069599</v>
      </c>
      <c r="N14" s="14"/>
      <c r="O14" s="14">
        <v>0.12133474970698099</v>
      </c>
      <c r="P14" s="14">
        <v>0.11791426859329</v>
      </c>
      <c r="Q14" s="14"/>
      <c r="R14" s="14">
        <v>8.0739322458404303E-2</v>
      </c>
      <c r="S14" s="14">
        <v>0.120179474664676</v>
      </c>
      <c r="T14" s="14">
        <v>0.166127863477295</v>
      </c>
      <c r="U14" s="14">
        <v>0.11550189338328599</v>
      </c>
      <c r="V14" s="14">
        <v>0.113535928607658</v>
      </c>
      <c r="W14" s="14">
        <v>0.11733541362797199</v>
      </c>
      <c r="X14" s="14">
        <v>0.15998748538142299</v>
      </c>
      <c r="Y14" s="14">
        <v>0.12257876807485001</v>
      </c>
      <c r="Z14" s="14">
        <v>0.11825571448177399</v>
      </c>
      <c r="AA14" s="14"/>
      <c r="AB14" s="14">
        <v>8.8989127838060594E-2</v>
      </c>
      <c r="AC14" s="14">
        <v>0.11128777151488101</v>
      </c>
      <c r="AD14" s="14">
        <v>0.13106470068804399</v>
      </c>
      <c r="AE14" s="14">
        <v>9.8580941246393203E-2</v>
      </c>
      <c r="AF14" s="14"/>
      <c r="AG14" s="14">
        <v>5.9739129403487599E-2</v>
      </c>
      <c r="AH14" s="14">
        <v>0.18558066612500301</v>
      </c>
      <c r="AI14" s="14"/>
      <c r="AJ14" s="14">
        <v>0.10372073846976899</v>
      </c>
      <c r="AK14" s="14">
        <v>0.136707971221703</v>
      </c>
      <c r="AL14" s="14"/>
      <c r="AM14" s="14">
        <v>0.124455395282486</v>
      </c>
      <c r="AN14" s="14">
        <v>0.12192772749776</v>
      </c>
    </row>
    <row r="15" spans="2:40" x14ac:dyDescent="0.35">
      <c r="B15" s="15" t="s">
        <v>98</v>
      </c>
      <c r="C15" s="14">
        <v>0.118624504196335</v>
      </c>
      <c r="D15" s="14">
        <v>8.6432818817602397E-2</v>
      </c>
      <c r="E15" s="14">
        <v>0.14782544471063599</v>
      </c>
      <c r="F15" s="14"/>
      <c r="G15" s="14" t="s">
        <v>76</v>
      </c>
      <c r="H15" s="14" t="s">
        <v>76</v>
      </c>
      <c r="I15" s="14">
        <v>0.118624504196335</v>
      </c>
      <c r="J15" s="14"/>
      <c r="K15" s="14" t="s">
        <v>76</v>
      </c>
      <c r="L15" s="14">
        <v>0.12810704457661401</v>
      </c>
      <c r="M15" s="14">
        <v>0.10059122172943399</v>
      </c>
      <c r="N15" s="14"/>
      <c r="O15" s="14">
        <v>0.118109139733949</v>
      </c>
      <c r="P15" s="14">
        <v>9.4000529178449005E-2</v>
      </c>
      <c r="Q15" s="14"/>
      <c r="R15" s="14">
        <v>8.3507236960808404E-2</v>
      </c>
      <c r="S15" s="14">
        <v>0.121714035210195</v>
      </c>
      <c r="T15" s="14">
        <v>0.185798370670444</v>
      </c>
      <c r="U15" s="14">
        <v>6.7319353576389795E-2</v>
      </c>
      <c r="V15" s="14">
        <v>0.125764408031738</v>
      </c>
      <c r="W15" s="14">
        <v>0.171687208575661</v>
      </c>
      <c r="X15" s="14">
        <v>9.8894781766898796E-2</v>
      </c>
      <c r="Y15" s="14">
        <v>0.170082378086828</v>
      </c>
      <c r="Z15" s="14">
        <v>0.10132106113266399</v>
      </c>
      <c r="AA15" s="14"/>
      <c r="AB15" s="14">
        <v>0.117576178362468</v>
      </c>
      <c r="AC15" s="14">
        <v>0.10521819437453001</v>
      </c>
      <c r="AD15" s="14">
        <v>0.11097414797971</v>
      </c>
      <c r="AE15" s="14">
        <v>7.7257919947594206E-2</v>
      </c>
      <c r="AF15" s="14"/>
      <c r="AG15" s="14">
        <v>6.1246818785743597E-2</v>
      </c>
      <c r="AH15" s="14">
        <v>0.104640803972065</v>
      </c>
      <c r="AI15" s="14"/>
      <c r="AJ15" s="14">
        <v>7.6413013843551703E-2</v>
      </c>
      <c r="AK15" s="14">
        <v>0.134434074650537</v>
      </c>
      <c r="AL15" s="14"/>
      <c r="AM15" s="14">
        <v>8.07708239543415E-2</v>
      </c>
      <c r="AN15" s="14">
        <v>0.15094116949395001</v>
      </c>
    </row>
    <row r="16" spans="2:40" x14ac:dyDescent="0.35">
      <c r="B16" s="15" t="s">
        <v>104</v>
      </c>
      <c r="C16" s="14">
        <v>0.10190922977453799</v>
      </c>
      <c r="D16" s="14">
        <v>0.13737150335585099</v>
      </c>
      <c r="E16" s="14">
        <v>7.0313742231672305E-2</v>
      </c>
      <c r="F16" s="14"/>
      <c r="G16" s="14" t="s">
        <v>76</v>
      </c>
      <c r="H16" s="14" t="s">
        <v>76</v>
      </c>
      <c r="I16" s="14">
        <v>0.10190922977453799</v>
      </c>
      <c r="J16" s="14"/>
      <c r="K16" s="14" t="s">
        <v>76</v>
      </c>
      <c r="L16" s="14">
        <v>0.109744750785245</v>
      </c>
      <c r="M16" s="14">
        <v>8.7008142302735195E-2</v>
      </c>
      <c r="N16" s="14"/>
      <c r="O16" s="14">
        <v>9.2279373990639998E-2</v>
      </c>
      <c r="P16" s="14">
        <v>0.17654347737783299</v>
      </c>
      <c r="Q16" s="14"/>
      <c r="R16" s="14">
        <v>0.12387866489049</v>
      </c>
      <c r="S16" s="14">
        <v>0.116447800889424</v>
      </c>
      <c r="T16" s="14">
        <v>4.7276404180123001E-2</v>
      </c>
      <c r="U16" s="14">
        <v>4.6439950484613697E-2</v>
      </c>
      <c r="V16" s="14">
        <v>0.14930743572427799</v>
      </c>
      <c r="W16" s="14">
        <v>8.4126238328347203E-2</v>
      </c>
      <c r="X16" s="14">
        <v>7.2664684260793394E-2</v>
      </c>
      <c r="Y16" s="14">
        <v>8.6416651121320007E-2</v>
      </c>
      <c r="Z16" s="14">
        <v>0.14627105949614699</v>
      </c>
      <c r="AA16" s="14"/>
      <c r="AB16" s="14">
        <v>0.106327682323756</v>
      </c>
      <c r="AC16" s="14">
        <v>0.209339962937586</v>
      </c>
      <c r="AD16" s="14">
        <v>7.4895097324502502E-2</v>
      </c>
      <c r="AE16" s="14">
        <v>0.119933066054841</v>
      </c>
      <c r="AF16" s="14"/>
      <c r="AG16" s="14">
        <v>0.199011625088066</v>
      </c>
      <c r="AH16" s="14">
        <v>0</v>
      </c>
      <c r="AI16" s="14"/>
      <c r="AJ16" s="14">
        <v>0.12945707479964599</v>
      </c>
      <c r="AK16" s="14">
        <v>5.8194635443951502E-2</v>
      </c>
      <c r="AL16" s="14"/>
      <c r="AM16" s="14">
        <v>0.15635295952036901</v>
      </c>
      <c r="AN16" s="14">
        <v>4.6749647966706602E-2</v>
      </c>
    </row>
    <row r="17" spans="2:40" x14ac:dyDescent="0.35">
      <c r="B17" s="15" t="s">
        <v>105</v>
      </c>
      <c r="C17" s="14">
        <v>8.5612645765594797E-2</v>
      </c>
      <c r="D17" s="14">
        <v>7.3766288339057406E-2</v>
      </c>
      <c r="E17" s="14">
        <v>9.7163050605635001E-2</v>
      </c>
      <c r="F17" s="14"/>
      <c r="G17" s="14" t="s">
        <v>76</v>
      </c>
      <c r="H17" s="14" t="s">
        <v>76</v>
      </c>
      <c r="I17" s="14">
        <v>8.5612645765594797E-2</v>
      </c>
      <c r="J17" s="14"/>
      <c r="K17" s="14" t="s">
        <v>76</v>
      </c>
      <c r="L17" s="14">
        <v>8.9306915740533899E-2</v>
      </c>
      <c r="M17" s="14">
        <v>7.8587121876909902E-2</v>
      </c>
      <c r="N17" s="14"/>
      <c r="O17" s="14">
        <v>7.4835108650534304E-2</v>
      </c>
      <c r="P17" s="14">
        <v>0.160215171599703</v>
      </c>
      <c r="Q17" s="14"/>
      <c r="R17" s="14">
        <v>0.11754615886959199</v>
      </c>
      <c r="S17" s="14">
        <v>7.8168328626658498E-2</v>
      </c>
      <c r="T17" s="14">
        <v>4.4100492306319398E-2</v>
      </c>
      <c r="U17" s="14">
        <v>7.48230862893636E-2</v>
      </c>
      <c r="V17" s="14">
        <v>0.120801391659763</v>
      </c>
      <c r="W17" s="14">
        <v>8.1087946898801999E-2</v>
      </c>
      <c r="X17" s="14">
        <v>9.2302930893871704E-2</v>
      </c>
      <c r="Y17" s="14">
        <v>6.03084616871047E-2</v>
      </c>
      <c r="Z17" s="14">
        <v>7.9838097943025196E-2</v>
      </c>
      <c r="AA17" s="14"/>
      <c r="AB17" s="14">
        <v>8.5021646839636297E-2</v>
      </c>
      <c r="AC17" s="14">
        <v>0.16859687241635299</v>
      </c>
      <c r="AD17" s="14">
        <v>6.3150845467486699E-2</v>
      </c>
      <c r="AE17" s="14">
        <v>0.108940711506228</v>
      </c>
      <c r="AF17" s="14"/>
      <c r="AG17" s="14">
        <v>0.155806657914318</v>
      </c>
      <c r="AH17" s="14">
        <v>0</v>
      </c>
      <c r="AI17" s="14"/>
      <c r="AJ17" s="14">
        <v>0.101352240900354</v>
      </c>
      <c r="AK17" s="14">
        <v>6.1273001425959803E-2</v>
      </c>
      <c r="AL17" s="14"/>
      <c r="AM17" s="14">
        <v>0.128307940000153</v>
      </c>
      <c r="AN17" s="14">
        <v>2.5056683795169801E-2</v>
      </c>
    </row>
    <row r="18" spans="2:40" x14ac:dyDescent="0.35">
      <c r="B18" s="15" t="s">
        <v>101</v>
      </c>
      <c r="C18" s="14">
        <v>8.0278382744274998E-2</v>
      </c>
      <c r="D18" s="14">
        <v>8.2309515244810894E-2</v>
      </c>
      <c r="E18" s="14">
        <v>7.9088219608580396E-2</v>
      </c>
      <c r="F18" s="14"/>
      <c r="G18" s="14" t="s">
        <v>76</v>
      </c>
      <c r="H18" s="14" t="s">
        <v>76</v>
      </c>
      <c r="I18" s="14">
        <v>8.0278382744274998E-2</v>
      </c>
      <c r="J18" s="14"/>
      <c r="K18" s="14" t="s">
        <v>76</v>
      </c>
      <c r="L18" s="14">
        <v>7.9749498768763499E-2</v>
      </c>
      <c r="M18" s="14">
        <v>8.1284180108708304E-2</v>
      </c>
      <c r="N18" s="14"/>
      <c r="O18" s="14">
        <v>7.0571164844724907E-2</v>
      </c>
      <c r="P18" s="14">
        <v>0.13195501550702299</v>
      </c>
      <c r="Q18" s="14"/>
      <c r="R18" s="14">
        <v>0.11029894859546301</v>
      </c>
      <c r="S18" s="14">
        <v>8.7275011064231994E-2</v>
      </c>
      <c r="T18" s="14">
        <v>5.7346273701018899E-2</v>
      </c>
      <c r="U18" s="14">
        <v>6.8586757236218807E-2</v>
      </c>
      <c r="V18" s="14">
        <v>5.86981368924753E-2</v>
      </c>
      <c r="W18" s="14">
        <v>5.0281959010724901E-2</v>
      </c>
      <c r="X18" s="14">
        <v>9.3802075476610194E-2</v>
      </c>
      <c r="Y18" s="14">
        <v>8.9715808646918999E-2</v>
      </c>
      <c r="Z18" s="14">
        <v>8.2964501222028197E-2</v>
      </c>
      <c r="AA18" s="14"/>
      <c r="AB18" s="14">
        <v>9.3299070763980793E-2</v>
      </c>
      <c r="AC18" s="14">
        <v>6.1614746789942103E-2</v>
      </c>
      <c r="AD18" s="14">
        <v>0.10683049784829</v>
      </c>
      <c r="AE18" s="14">
        <v>6.5766016386867202E-2</v>
      </c>
      <c r="AF18" s="14"/>
      <c r="AG18" s="14">
        <v>4.7551069704483501E-2</v>
      </c>
      <c r="AH18" s="14">
        <v>6.9772045999394905E-2</v>
      </c>
      <c r="AI18" s="14"/>
      <c r="AJ18" s="14">
        <v>5.5317299503764197E-2</v>
      </c>
      <c r="AK18" s="14">
        <v>0.11409155409850601</v>
      </c>
      <c r="AL18" s="14"/>
      <c r="AM18" s="14">
        <v>5.4285403728524001E-2</v>
      </c>
      <c r="AN18" s="14">
        <v>9.7546294806166597E-2</v>
      </c>
    </row>
    <row r="19" spans="2:40" x14ac:dyDescent="0.35">
      <c r="B19" s="15" t="s">
        <v>100</v>
      </c>
      <c r="C19" s="14">
        <v>6.5973275560973002E-2</v>
      </c>
      <c r="D19" s="14">
        <v>8.3770486017458998E-2</v>
      </c>
      <c r="E19" s="14">
        <v>5.02400667196558E-2</v>
      </c>
      <c r="F19" s="14"/>
      <c r="G19" s="14" t="s">
        <v>76</v>
      </c>
      <c r="H19" s="14" t="s">
        <v>76</v>
      </c>
      <c r="I19" s="14">
        <v>6.5973275560973002E-2</v>
      </c>
      <c r="J19" s="14"/>
      <c r="K19" s="14" t="s">
        <v>76</v>
      </c>
      <c r="L19" s="14">
        <v>6.8960884934714403E-2</v>
      </c>
      <c r="M19" s="14">
        <v>6.0291633134278003E-2</v>
      </c>
      <c r="N19" s="14"/>
      <c r="O19" s="14">
        <v>7.0021130121978095E-2</v>
      </c>
      <c r="P19" s="14">
        <v>4.3821540674078702E-2</v>
      </c>
      <c r="Q19" s="14"/>
      <c r="R19" s="14">
        <v>7.5857485282271306E-2</v>
      </c>
      <c r="S19" s="14">
        <v>4.4357980083188198E-2</v>
      </c>
      <c r="T19" s="14">
        <v>6.50991517225082E-2</v>
      </c>
      <c r="U19" s="14">
        <v>7.0866396220321703E-2</v>
      </c>
      <c r="V19" s="14">
        <v>9.3272743283016102E-2</v>
      </c>
      <c r="W19" s="14">
        <v>5.6193500760516997E-2</v>
      </c>
      <c r="X19" s="14">
        <v>6.8668274589857303E-2</v>
      </c>
      <c r="Y19" s="14">
        <v>6.0409587433258E-2</v>
      </c>
      <c r="Z19" s="14">
        <v>6.7927550303416906E-2</v>
      </c>
      <c r="AA19" s="14"/>
      <c r="AB19" s="14">
        <v>5.9830698268592102E-2</v>
      </c>
      <c r="AC19" s="14">
        <v>7.6771280128381802E-2</v>
      </c>
      <c r="AD19" s="14">
        <v>3.0900324857282099E-2</v>
      </c>
      <c r="AE19" s="14">
        <v>8.3892730712024799E-2</v>
      </c>
      <c r="AF19" s="14"/>
      <c r="AG19" s="14">
        <v>4.0751628445810401E-2</v>
      </c>
      <c r="AH19" s="14">
        <v>7.1413011163589293E-2</v>
      </c>
      <c r="AI19" s="14"/>
      <c r="AJ19" s="14">
        <v>5.14677797521099E-2</v>
      </c>
      <c r="AK19" s="14">
        <v>6.6447390283629698E-2</v>
      </c>
      <c r="AL19" s="14"/>
      <c r="AM19" s="14">
        <v>5.3150863881199002E-2</v>
      </c>
      <c r="AN19" s="14">
        <v>8.0645578865955705E-2</v>
      </c>
    </row>
    <row r="20" spans="2:40" x14ac:dyDescent="0.35">
      <c r="B20" s="15" t="s">
        <v>70</v>
      </c>
      <c r="C20" s="20">
        <v>3.5573960295233201E-2</v>
      </c>
      <c r="D20" s="20">
        <v>2.5415254919116601E-2</v>
      </c>
      <c r="E20" s="20">
        <v>4.5163955478337403E-2</v>
      </c>
      <c r="F20" s="20"/>
      <c r="G20" s="20" t="s">
        <v>76</v>
      </c>
      <c r="H20" s="20" t="s">
        <v>76</v>
      </c>
      <c r="I20" s="20">
        <v>3.5573960295233201E-2</v>
      </c>
      <c r="J20" s="20"/>
      <c r="K20" s="20" t="s">
        <v>76</v>
      </c>
      <c r="L20" s="20">
        <v>3.8105626392663502E-2</v>
      </c>
      <c r="M20" s="20">
        <v>3.07594013251722E-2</v>
      </c>
      <c r="N20" s="20"/>
      <c r="O20" s="20">
        <v>3.8315059151070002E-2</v>
      </c>
      <c r="P20" s="20">
        <v>1.14337038816865E-2</v>
      </c>
      <c r="Q20" s="20"/>
      <c r="R20" s="20">
        <v>3.2716207250552402E-2</v>
      </c>
      <c r="S20" s="20">
        <v>3.6552782433826397E-2</v>
      </c>
      <c r="T20" s="20">
        <v>5.0716076310596797E-2</v>
      </c>
      <c r="U20" s="20">
        <v>4.9212577629597902E-2</v>
      </c>
      <c r="V20" s="20">
        <v>1.6076298318129099E-2</v>
      </c>
      <c r="W20" s="20">
        <v>4.6805417878274302E-2</v>
      </c>
      <c r="X20" s="20">
        <v>3.5636639438930397E-2</v>
      </c>
      <c r="Y20" s="20">
        <v>1.23622573872863E-2</v>
      </c>
      <c r="Z20" s="20">
        <v>3.0607635014101599E-2</v>
      </c>
      <c r="AA20" s="20"/>
      <c r="AB20" s="20">
        <v>5.7323923008576201E-2</v>
      </c>
      <c r="AC20" s="20">
        <v>5.5466540696779698E-3</v>
      </c>
      <c r="AD20" s="20">
        <v>3.5792551012764601E-2</v>
      </c>
      <c r="AE20" s="20">
        <v>2.1453719332090299E-2</v>
      </c>
      <c r="AF20" s="20"/>
      <c r="AG20" s="20">
        <v>0</v>
      </c>
      <c r="AH20" s="20">
        <v>3.3981721934019098E-2</v>
      </c>
      <c r="AI20" s="20"/>
      <c r="AJ20" s="20">
        <v>1.18766096508228E-2</v>
      </c>
      <c r="AK20" s="20">
        <v>5.3567558896791899E-2</v>
      </c>
      <c r="AL20" s="20"/>
      <c r="AM20" s="20">
        <v>9.3847222123285504E-3</v>
      </c>
      <c r="AN20" s="20">
        <v>7.2105418511615796E-2</v>
      </c>
    </row>
    <row r="21" spans="2:40" x14ac:dyDescent="0.35">
      <c r="B21" s="16" t="s">
        <v>74</v>
      </c>
    </row>
    <row r="22" spans="2:40" x14ac:dyDescent="0.35">
      <c r="B22" t="s">
        <v>72</v>
      </c>
    </row>
    <row r="23" spans="2:40" x14ac:dyDescent="0.35">
      <c r="B23" t="s">
        <v>73</v>
      </c>
    </row>
    <row r="25" spans="2:40" x14ac:dyDescent="0.35">
      <c r="B25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2:AN16"/>
  <sheetViews>
    <sheetView showGridLines="0" topLeftCell="A2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107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376</v>
      </c>
      <c r="D7" s="10">
        <v>193</v>
      </c>
      <c r="E7" s="10">
        <v>181</v>
      </c>
      <c r="F7" s="10"/>
      <c r="G7" s="10" t="s">
        <v>75</v>
      </c>
      <c r="H7" s="10" t="s">
        <v>75</v>
      </c>
      <c r="I7" s="10">
        <v>376</v>
      </c>
      <c r="J7" s="10"/>
      <c r="K7" s="10" t="s">
        <v>75</v>
      </c>
      <c r="L7" s="10">
        <v>376</v>
      </c>
      <c r="M7" s="10" t="s">
        <v>75</v>
      </c>
      <c r="N7" s="10"/>
      <c r="O7" s="10">
        <v>326</v>
      </c>
      <c r="P7" s="10">
        <v>45</v>
      </c>
      <c r="Q7" s="10"/>
      <c r="R7" s="10">
        <v>65</v>
      </c>
      <c r="S7" s="10">
        <v>57</v>
      </c>
      <c r="T7" s="10">
        <v>27</v>
      </c>
      <c r="U7" s="10">
        <v>34</v>
      </c>
      <c r="V7" s="10">
        <v>30</v>
      </c>
      <c r="W7" s="10">
        <v>49</v>
      </c>
      <c r="X7" s="10">
        <v>24</v>
      </c>
      <c r="Y7" s="10">
        <v>16</v>
      </c>
      <c r="Z7" s="10">
        <v>74</v>
      </c>
      <c r="AA7" s="10"/>
      <c r="AB7" s="10">
        <v>152</v>
      </c>
      <c r="AC7" s="10">
        <v>147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202</v>
      </c>
      <c r="AN7" s="10">
        <v>85</v>
      </c>
    </row>
    <row r="8" spans="2:40" ht="30" customHeight="1" x14ac:dyDescent="0.35">
      <c r="B8" s="11" t="s">
        <v>20</v>
      </c>
      <c r="C8" s="11">
        <v>293</v>
      </c>
      <c r="D8" s="11">
        <v>145</v>
      </c>
      <c r="E8" s="11">
        <v>146</v>
      </c>
      <c r="F8" s="11"/>
      <c r="G8" s="11" t="s">
        <v>75</v>
      </c>
      <c r="H8" s="11" t="s">
        <v>75</v>
      </c>
      <c r="I8" s="11">
        <v>293</v>
      </c>
      <c r="J8" s="11"/>
      <c r="K8" s="11" t="s">
        <v>75</v>
      </c>
      <c r="L8" s="11">
        <v>293</v>
      </c>
      <c r="M8" s="11" t="s">
        <v>75</v>
      </c>
      <c r="N8" s="11"/>
      <c r="O8" s="11">
        <v>253</v>
      </c>
      <c r="P8" s="11">
        <v>36</v>
      </c>
      <c r="Q8" s="11"/>
      <c r="R8" s="11">
        <v>57</v>
      </c>
      <c r="S8" s="11">
        <v>43</v>
      </c>
      <c r="T8" s="11">
        <v>23</v>
      </c>
      <c r="U8" s="11">
        <v>30</v>
      </c>
      <c r="V8" s="11">
        <v>24</v>
      </c>
      <c r="W8" s="11">
        <v>30</v>
      </c>
      <c r="X8" s="11">
        <v>28</v>
      </c>
      <c r="Y8" s="11">
        <v>12</v>
      </c>
      <c r="Z8" s="11">
        <v>47</v>
      </c>
      <c r="AA8" s="11"/>
      <c r="AB8" s="11">
        <v>117</v>
      </c>
      <c r="AC8" s="11">
        <v>117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157</v>
      </c>
      <c r="AN8" s="11">
        <v>65</v>
      </c>
    </row>
    <row r="9" spans="2:40" x14ac:dyDescent="0.35">
      <c r="B9" s="15" t="s">
        <v>44</v>
      </c>
      <c r="C9" s="14">
        <v>0.91052697046025999</v>
      </c>
      <c r="D9" s="14">
        <v>0.91706469225547604</v>
      </c>
      <c r="E9" s="14">
        <v>0.90896840489460895</v>
      </c>
      <c r="F9" s="14"/>
      <c r="G9" s="14" t="s">
        <v>76</v>
      </c>
      <c r="H9" s="14" t="s">
        <v>76</v>
      </c>
      <c r="I9" s="14">
        <v>0.91052697046025999</v>
      </c>
      <c r="J9" s="14"/>
      <c r="K9" s="14" t="s">
        <v>76</v>
      </c>
      <c r="L9" s="14">
        <v>0.91052697046025999</v>
      </c>
      <c r="M9" s="14" t="s">
        <v>76</v>
      </c>
      <c r="N9" s="14"/>
      <c r="O9" s="14">
        <v>0.91645041180554498</v>
      </c>
      <c r="P9" s="14">
        <v>0.90432314869279995</v>
      </c>
      <c r="Q9" s="14"/>
      <c r="R9" s="14">
        <v>0.92239276714324203</v>
      </c>
      <c r="S9" s="14">
        <v>0.93149205107234201</v>
      </c>
      <c r="T9" s="14">
        <v>0.93128188453412797</v>
      </c>
      <c r="U9" s="14">
        <v>0.88302455048349404</v>
      </c>
      <c r="V9" s="14">
        <v>0.86640994759416101</v>
      </c>
      <c r="W9" s="14">
        <v>0.91583176102278097</v>
      </c>
      <c r="X9" s="14">
        <v>0.91675675686643399</v>
      </c>
      <c r="Y9" s="14">
        <v>0.93839308983796499</v>
      </c>
      <c r="Z9" s="14">
        <v>0.89293579379330001</v>
      </c>
      <c r="AA9" s="14"/>
      <c r="AB9" s="14">
        <v>1</v>
      </c>
      <c r="AC9" s="14">
        <v>1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0.91500340938879199</v>
      </c>
      <c r="AN9" s="14">
        <v>0.93271788989965598</v>
      </c>
    </row>
    <row r="10" spans="2:40" x14ac:dyDescent="0.35">
      <c r="B10" s="15" t="s">
        <v>45</v>
      </c>
      <c r="C10" s="14">
        <v>6.4982447496872403E-2</v>
      </c>
      <c r="D10" s="14">
        <v>5.8666029424424997E-2</v>
      </c>
      <c r="E10" s="14">
        <v>6.6052545067655399E-2</v>
      </c>
      <c r="F10" s="14"/>
      <c r="G10" s="14" t="s">
        <v>76</v>
      </c>
      <c r="H10" s="14" t="s">
        <v>76</v>
      </c>
      <c r="I10" s="14">
        <v>6.4982447496872403E-2</v>
      </c>
      <c r="J10" s="14"/>
      <c r="K10" s="14" t="s">
        <v>76</v>
      </c>
      <c r="L10" s="14">
        <v>6.4982447496872403E-2</v>
      </c>
      <c r="M10" s="14" t="s">
        <v>76</v>
      </c>
      <c r="N10" s="14"/>
      <c r="O10" s="14">
        <v>6.3306887869053904E-2</v>
      </c>
      <c r="P10" s="14">
        <v>5.9828032387842803E-2</v>
      </c>
      <c r="Q10" s="14"/>
      <c r="R10" s="14">
        <v>6.1737952764392798E-2</v>
      </c>
      <c r="S10" s="14">
        <v>6.8507948927658005E-2</v>
      </c>
      <c r="T10" s="14">
        <v>3.4359058807994503E-2</v>
      </c>
      <c r="U10" s="14">
        <v>0.116975449516506</v>
      </c>
      <c r="V10" s="14">
        <v>6.6895066214087501E-2</v>
      </c>
      <c r="W10" s="14">
        <v>6.3093801351558398E-2</v>
      </c>
      <c r="X10" s="14">
        <v>8.3243243133565806E-2</v>
      </c>
      <c r="Y10" s="14">
        <v>0</v>
      </c>
      <c r="Z10" s="14">
        <v>5.3048356437539398E-2</v>
      </c>
      <c r="AA10" s="14"/>
      <c r="AB10" s="14">
        <v>0</v>
      </c>
      <c r="AC10" s="14">
        <v>0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6.2369646053762898E-2</v>
      </c>
      <c r="AN10" s="14">
        <v>6.7282110100343601E-2</v>
      </c>
    </row>
    <row r="11" spans="2:40" x14ac:dyDescent="0.35">
      <c r="B11" s="15" t="s">
        <v>70</v>
      </c>
      <c r="C11" s="20">
        <v>2.4490582042867401E-2</v>
      </c>
      <c r="D11" s="20">
        <v>2.4269278320098901E-2</v>
      </c>
      <c r="E11" s="20">
        <v>2.4979050037735501E-2</v>
      </c>
      <c r="F11" s="20"/>
      <c r="G11" s="20" t="s">
        <v>76</v>
      </c>
      <c r="H11" s="20" t="s">
        <v>76</v>
      </c>
      <c r="I11" s="20">
        <v>2.4490582042867401E-2</v>
      </c>
      <c r="J11" s="20"/>
      <c r="K11" s="20" t="s">
        <v>76</v>
      </c>
      <c r="L11" s="20">
        <v>2.4490582042867401E-2</v>
      </c>
      <c r="M11" s="20" t="s">
        <v>76</v>
      </c>
      <c r="N11" s="20"/>
      <c r="O11" s="20">
        <v>2.0242700325400799E-2</v>
      </c>
      <c r="P11" s="20">
        <v>3.58488189193574E-2</v>
      </c>
      <c r="Q11" s="20"/>
      <c r="R11" s="20">
        <v>1.5869280092365601E-2</v>
      </c>
      <c r="S11" s="20">
        <v>0</v>
      </c>
      <c r="T11" s="20">
        <v>3.4359056657877897E-2</v>
      </c>
      <c r="U11" s="20">
        <v>0</v>
      </c>
      <c r="V11" s="20">
        <v>6.6694986191751598E-2</v>
      </c>
      <c r="W11" s="20">
        <v>2.1074437625660299E-2</v>
      </c>
      <c r="X11" s="20">
        <v>0</v>
      </c>
      <c r="Y11" s="20">
        <v>6.1606910162035303E-2</v>
      </c>
      <c r="Z11" s="20">
        <v>5.40158497691604E-2</v>
      </c>
      <c r="AA11" s="20"/>
      <c r="AB11" s="20">
        <v>0</v>
      </c>
      <c r="AC11" s="20">
        <v>0</v>
      </c>
      <c r="AD11" s="20" t="s">
        <v>76</v>
      </c>
      <c r="AE11" s="20" t="s">
        <v>76</v>
      </c>
      <c r="AF11" s="20"/>
      <c r="AG11" s="20" t="s">
        <v>76</v>
      </c>
      <c r="AH11" s="20" t="s">
        <v>76</v>
      </c>
      <c r="AI11" s="20"/>
      <c r="AJ11" s="20" t="s">
        <v>76</v>
      </c>
      <c r="AK11" s="20" t="s">
        <v>76</v>
      </c>
      <c r="AL11" s="20"/>
      <c r="AM11" s="20">
        <v>2.26269445574451E-2</v>
      </c>
      <c r="AN11" s="20">
        <v>0</v>
      </c>
    </row>
    <row r="12" spans="2:40" x14ac:dyDescent="0.35">
      <c r="B12" s="16" t="s">
        <v>396</v>
      </c>
    </row>
    <row r="13" spans="2:40" x14ac:dyDescent="0.35">
      <c r="B13" t="s">
        <v>72</v>
      </c>
    </row>
    <row r="14" spans="2:40" x14ac:dyDescent="0.35">
      <c r="B14" t="s">
        <v>73</v>
      </c>
    </row>
    <row r="16" spans="2:40" x14ac:dyDescent="0.35">
      <c r="B16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2:AN17"/>
  <sheetViews>
    <sheetView showGridLines="0" workbookViewId="0">
      <pane xSplit="2" topLeftCell="C1" activePane="topRight" state="frozen"/>
      <selection pane="topRight" activeCell="B17" sqref="B17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111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342</v>
      </c>
      <c r="D7" s="10">
        <v>177</v>
      </c>
      <c r="E7" s="10">
        <v>164</v>
      </c>
      <c r="F7" s="10"/>
      <c r="G7" s="10" t="s">
        <v>75</v>
      </c>
      <c r="H7" s="10" t="s">
        <v>75</v>
      </c>
      <c r="I7" s="10">
        <v>342</v>
      </c>
      <c r="J7" s="10"/>
      <c r="K7" s="10" t="s">
        <v>75</v>
      </c>
      <c r="L7" s="10">
        <v>342</v>
      </c>
      <c r="M7" s="10" t="s">
        <v>75</v>
      </c>
      <c r="N7" s="10"/>
      <c r="O7" s="10">
        <v>299</v>
      </c>
      <c r="P7" s="10">
        <v>40</v>
      </c>
      <c r="Q7" s="10"/>
      <c r="R7" s="10">
        <v>60</v>
      </c>
      <c r="S7" s="10">
        <v>53</v>
      </c>
      <c r="T7" s="10">
        <v>25</v>
      </c>
      <c r="U7" s="10">
        <v>30</v>
      </c>
      <c r="V7" s="10">
        <v>26</v>
      </c>
      <c r="W7" s="10">
        <v>45</v>
      </c>
      <c r="X7" s="10">
        <v>22</v>
      </c>
      <c r="Y7" s="10">
        <v>15</v>
      </c>
      <c r="Z7" s="10">
        <v>66</v>
      </c>
      <c r="AA7" s="10"/>
      <c r="AB7" s="10">
        <v>152</v>
      </c>
      <c r="AC7" s="10">
        <v>147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184</v>
      </c>
      <c r="AN7" s="10">
        <v>80</v>
      </c>
    </row>
    <row r="8" spans="2:40" ht="30" customHeight="1" x14ac:dyDescent="0.35">
      <c r="B8" s="11" t="s">
        <v>20</v>
      </c>
      <c r="C8" s="11">
        <v>267</v>
      </c>
      <c r="D8" s="11">
        <v>133</v>
      </c>
      <c r="E8" s="11">
        <v>133</v>
      </c>
      <c r="F8" s="11"/>
      <c r="G8" s="11" t="s">
        <v>75</v>
      </c>
      <c r="H8" s="11" t="s">
        <v>75</v>
      </c>
      <c r="I8" s="11">
        <v>267</v>
      </c>
      <c r="J8" s="11"/>
      <c r="K8" s="11" t="s">
        <v>75</v>
      </c>
      <c r="L8" s="11">
        <v>267</v>
      </c>
      <c r="M8" s="11" t="s">
        <v>75</v>
      </c>
      <c r="N8" s="11"/>
      <c r="O8" s="11">
        <v>232</v>
      </c>
      <c r="P8" s="11">
        <v>32</v>
      </c>
      <c r="Q8" s="11"/>
      <c r="R8" s="11">
        <v>52</v>
      </c>
      <c r="S8" s="11">
        <v>40</v>
      </c>
      <c r="T8" s="11">
        <v>22</v>
      </c>
      <c r="U8" s="11">
        <v>27</v>
      </c>
      <c r="V8" s="11">
        <v>21</v>
      </c>
      <c r="W8" s="11">
        <v>27</v>
      </c>
      <c r="X8" s="11">
        <v>26</v>
      </c>
      <c r="Y8" s="11">
        <v>11</v>
      </c>
      <c r="Z8" s="11">
        <v>42</v>
      </c>
      <c r="AA8" s="11"/>
      <c r="AB8" s="11">
        <v>117</v>
      </c>
      <c r="AC8" s="11">
        <v>117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144</v>
      </c>
      <c r="AN8" s="11">
        <v>61</v>
      </c>
    </row>
    <row r="9" spans="2:40" x14ac:dyDescent="0.35">
      <c r="B9" s="15" t="s">
        <v>108</v>
      </c>
      <c r="C9" s="14">
        <v>0.43736733715756998</v>
      </c>
      <c r="D9" s="14">
        <v>0.43601834861368899</v>
      </c>
      <c r="E9" s="14">
        <v>0.44113360935302898</v>
      </c>
      <c r="F9" s="14"/>
      <c r="G9" s="14" t="s">
        <v>76</v>
      </c>
      <c r="H9" s="14" t="s">
        <v>76</v>
      </c>
      <c r="I9" s="14">
        <v>0.43736733715756998</v>
      </c>
      <c r="J9" s="14"/>
      <c r="K9" s="14" t="s">
        <v>76</v>
      </c>
      <c r="L9" s="14">
        <v>0.43736733715756998</v>
      </c>
      <c r="M9" s="14" t="s">
        <v>76</v>
      </c>
      <c r="N9" s="14"/>
      <c r="O9" s="14">
        <v>0.411461795682667</v>
      </c>
      <c r="P9" s="14">
        <v>0.63092642661425202</v>
      </c>
      <c r="Q9" s="14"/>
      <c r="R9" s="14">
        <v>0.53625907563047304</v>
      </c>
      <c r="S9" s="14">
        <v>0.51767037795869397</v>
      </c>
      <c r="T9" s="14">
        <v>0.340973175110237</v>
      </c>
      <c r="U9" s="14">
        <v>0.36654490919050697</v>
      </c>
      <c r="V9" s="14">
        <v>0.498071811805197</v>
      </c>
      <c r="W9" s="14">
        <v>0.26813782390188401</v>
      </c>
      <c r="X9" s="14">
        <v>0.454326615042903</v>
      </c>
      <c r="Y9" s="14">
        <v>0.46872446857560202</v>
      </c>
      <c r="Z9" s="14">
        <v>0.393683146746375</v>
      </c>
      <c r="AA9" s="14"/>
      <c r="AB9" s="14">
        <v>0</v>
      </c>
      <c r="AC9" s="14">
        <v>1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0.65087080538262898</v>
      </c>
      <c r="AN9" s="14">
        <v>0.10126139508281699</v>
      </c>
    </row>
    <row r="10" spans="2:40" x14ac:dyDescent="0.35">
      <c r="B10" s="15" t="s">
        <v>109</v>
      </c>
      <c r="C10" s="14">
        <v>0.34344529592988499</v>
      </c>
      <c r="D10" s="14">
        <v>0.34136278375651602</v>
      </c>
      <c r="E10" s="14">
        <v>0.34192001083099299</v>
      </c>
      <c r="F10" s="14"/>
      <c r="G10" s="14" t="s">
        <v>76</v>
      </c>
      <c r="H10" s="14" t="s">
        <v>76</v>
      </c>
      <c r="I10" s="14">
        <v>0.34344529592988499</v>
      </c>
      <c r="J10" s="14"/>
      <c r="K10" s="14" t="s">
        <v>76</v>
      </c>
      <c r="L10" s="14">
        <v>0.34344529592988499</v>
      </c>
      <c r="M10" s="14" t="s">
        <v>76</v>
      </c>
      <c r="N10" s="14"/>
      <c r="O10" s="14">
        <v>0.36251450464484303</v>
      </c>
      <c r="P10" s="14">
        <v>0.18332846108686299</v>
      </c>
      <c r="Q10" s="14"/>
      <c r="R10" s="14">
        <v>0.281458288550269</v>
      </c>
      <c r="S10" s="14">
        <v>0.165656519233397</v>
      </c>
      <c r="T10" s="14">
        <v>0.319594313316307</v>
      </c>
      <c r="U10" s="14">
        <v>0.43864317437324701</v>
      </c>
      <c r="V10" s="14">
        <v>0.38508581604936198</v>
      </c>
      <c r="W10" s="14">
        <v>0.49003447808512601</v>
      </c>
      <c r="X10" s="14">
        <v>0.452732907810172</v>
      </c>
      <c r="Y10" s="14">
        <v>0.26588385725812802</v>
      </c>
      <c r="Z10" s="14">
        <v>0.37919997443165399</v>
      </c>
      <c r="AA10" s="14"/>
      <c r="AB10" s="14">
        <v>0.78055583309265997</v>
      </c>
      <c r="AC10" s="14">
        <v>0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0.18179735021943999</v>
      </c>
      <c r="AN10" s="14">
        <v>0.54399364264329697</v>
      </c>
    </row>
    <row r="11" spans="2:40" x14ac:dyDescent="0.35">
      <c r="B11" s="15" t="s">
        <v>110</v>
      </c>
      <c r="C11" s="14">
        <v>9.6555638492847998E-2</v>
      </c>
      <c r="D11" s="14">
        <v>9.6042950301246904E-2</v>
      </c>
      <c r="E11" s="14">
        <v>9.7603073600258702E-2</v>
      </c>
      <c r="F11" s="14"/>
      <c r="G11" s="14" t="s">
        <v>76</v>
      </c>
      <c r="H11" s="14" t="s">
        <v>76</v>
      </c>
      <c r="I11" s="14">
        <v>9.6555638492847998E-2</v>
      </c>
      <c r="J11" s="14"/>
      <c r="K11" s="14" t="s">
        <v>76</v>
      </c>
      <c r="L11" s="14">
        <v>9.6555638492847998E-2</v>
      </c>
      <c r="M11" s="14" t="s">
        <v>76</v>
      </c>
      <c r="N11" s="14"/>
      <c r="O11" s="14">
        <v>9.0924930495702896E-2</v>
      </c>
      <c r="P11" s="14">
        <v>0.14422094557335999</v>
      </c>
      <c r="Q11" s="14"/>
      <c r="R11" s="14">
        <v>9.9350106078159903E-2</v>
      </c>
      <c r="S11" s="14">
        <v>0.111474893006742</v>
      </c>
      <c r="T11" s="14">
        <v>0.114721008660714</v>
      </c>
      <c r="U11" s="14">
        <v>3.2273475618878E-2</v>
      </c>
      <c r="V11" s="14">
        <v>3.7576600044747603E-2</v>
      </c>
      <c r="W11" s="14">
        <v>0.13182252509473599</v>
      </c>
      <c r="X11" s="14">
        <v>4.6470236991700498E-2</v>
      </c>
      <c r="Y11" s="14">
        <v>0.13489560817308099</v>
      </c>
      <c r="Z11" s="14">
        <v>0.13723524155334599</v>
      </c>
      <c r="AA11" s="14"/>
      <c r="AB11" s="14">
        <v>0.21944416690734</v>
      </c>
      <c r="AC11" s="14">
        <v>0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9.5282813119875701E-2</v>
      </c>
      <c r="AN11" s="14">
        <v>0.14142836973819001</v>
      </c>
    </row>
    <row r="12" spans="2:40" x14ac:dyDescent="0.35">
      <c r="B12" s="25" t="s">
        <v>70</v>
      </c>
      <c r="C12" s="20">
        <v>0.12263172841969699</v>
      </c>
      <c r="D12" s="20">
        <v>0.126575917328548</v>
      </c>
      <c r="E12" s="20">
        <v>0.11934330621571999</v>
      </c>
      <c r="F12" s="20"/>
      <c r="G12" s="20" t="s">
        <v>76</v>
      </c>
      <c r="H12" s="20" t="s">
        <v>76</v>
      </c>
      <c r="I12" s="20">
        <v>0.12263172841969699</v>
      </c>
      <c r="J12" s="20"/>
      <c r="K12" s="20" t="s">
        <v>76</v>
      </c>
      <c r="L12" s="20">
        <v>0.12263172841969699</v>
      </c>
      <c r="M12" s="20" t="s">
        <v>76</v>
      </c>
      <c r="N12" s="20"/>
      <c r="O12" s="20">
        <v>0.13509876917678701</v>
      </c>
      <c r="P12" s="20">
        <v>4.1524166725524898E-2</v>
      </c>
      <c r="Q12" s="20"/>
      <c r="R12" s="20">
        <v>8.2932529741098396E-2</v>
      </c>
      <c r="S12" s="20">
        <v>0.20519820980116699</v>
      </c>
      <c r="T12" s="20">
        <v>0.224711502912742</v>
      </c>
      <c r="U12" s="20">
        <v>0.16253844081736801</v>
      </c>
      <c r="V12" s="20">
        <v>7.9265772100693105E-2</v>
      </c>
      <c r="W12" s="20">
        <v>0.110005172918254</v>
      </c>
      <c r="X12" s="20">
        <v>4.6470240155223698E-2</v>
      </c>
      <c r="Y12" s="20">
        <v>0.130496065993189</v>
      </c>
      <c r="Z12" s="20">
        <v>8.9881637268624595E-2</v>
      </c>
      <c r="AA12" s="20"/>
      <c r="AB12" s="20">
        <v>0</v>
      </c>
      <c r="AC12" s="20">
        <v>0</v>
      </c>
      <c r="AD12" s="20" t="s">
        <v>76</v>
      </c>
      <c r="AE12" s="20" t="s">
        <v>76</v>
      </c>
      <c r="AF12" s="20"/>
      <c r="AG12" s="20" t="s">
        <v>76</v>
      </c>
      <c r="AH12" s="20" t="s">
        <v>76</v>
      </c>
      <c r="AI12" s="20"/>
      <c r="AJ12" s="20" t="s">
        <v>76</v>
      </c>
      <c r="AK12" s="20" t="s">
        <v>76</v>
      </c>
      <c r="AL12" s="20"/>
      <c r="AM12" s="20">
        <v>7.2049031278055495E-2</v>
      </c>
      <c r="AN12" s="20">
        <v>0.21331659253569499</v>
      </c>
    </row>
    <row r="13" spans="2:40" x14ac:dyDescent="0.35">
      <c r="B13" t="s">
        <v>114</v>
      </c>
    </row>
    <row r="14" spans="2:40" x14ac:dyDescent="0.35">
      <c r="B14" t="s">
        <v>72</v>
      </c>
    </row>
    <row r="15" spans="2:40" x14ac:dyDescent="0.35">
      <c r="B15" t="s">
        <v>73</v>
      </c>
    </row>
    <row r="17" spans="2:2" x14ac:dyDescent="0.35">
      <c r="B17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2:AN16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112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282</v>
      </c>
      <c r="D7" s="10">
        <v>131</v>
      </c>
      <c r="E7" s="10">
        <v>149</v>
      </c>
      <c r="F7" s="10"/>
      <c r="G7" s="10" t="s">
        <v>75</v>
      </c>
      <c r="H7" s="10" t="s">
        <v>75</v>
      </c>
      <c r="I7" s="10">
        <v>282</v>
      </c>
      <c r="J7" s="10"/>
      <c r="K7" s="10" t="s">
        <v>75</v>
      </c>
      <c r="L7" s="10" t="s">
        <v>75</v>
      </c>
      <c r="M7" s="10">
        <v>282</v>
      </c>
      <c r="N7" s="10"/>
      <c r="O7" s="10">
        <v>224</v>
      </c>
      <c r="P7" s="10">
        <v>50</v>
      </c>
      <c r="Q7" s="10"/>
      <c r="R7" s="10">
        <v>39</v>
      </c>
      <c r="S7" s="10">
        <v>58</v>
      </c>
      <c r="T7" s="10">
        <v>23</v>
      </c>
      <c r="U7" s="10">
        <v>31</v>
      </c>
      <c r="V7" s="10">
        <v>25</v>
      </c>
      <c r="W7" s="10">
        <v>34</v>
      </c>
      <c r="X7" s="10">
        <v>16</v>
      </c>
      <c r="Y7" s="10">
        <v>15</v>
      </c>
      <c r="Z7" s="10">
        <v>41</v>
      </c>
      <c r="AA7" s="10"/>
      <c r="AB7" s="10" t="s">
        <v>75</v>
      </c>
      <c r="AC7" s="10" t="s">
        <v>75</v>
      </c>
      <c r="AD7" s="10">
        <v>152</v>
      </c>
      <c r="AE7" s="10">
        <v>106</v>
      </c>
      <c r="AF7" s="10"/>
      <c r="AG7" s="10">
        <v>95</v>
      </c>
      <c r="AH7" s="10">
        <v>46</v>
      </c>
      <c r="AI7" s="10"/>
      <c r="AJ7" s="10">
        <v>141</v>
      </c>
      <c r="AK7" s="10">
        <v>131</v>
      </c>
      <c r="AL7" s="10"/>
      <c r="AM7" s="10">
        <v>126</v>
      </c>
      <c r="AN7" s="10">
        <v>91</v>
      </c>
    </row>
    <row r="8" spans="2:40" ht="30" customHeight="1" x14ac:dyDescent="0.35">
      <c r="B8" s="11" t="s">
        <v>20</v>
      </c>
      <c r="C8" s="11">
        <v>381</v>
      </c>
      <c r="D8" s="11">
        <v>163</v>
      </c>
      <c r="E8" s="11">
        <v>215</v>
      </c>
      <c r="F8" s="11"/>
      <c r="G8" s="11" t="s">
        <v>75</v>
      </c>
      <c r="H8" s="11" t="s">
        <v>75</v>
      </c>
      <c r="I8" s="11">
        <v>381</v>
      </c>
      <c r="J8" s="11"/>
      <c r="K8" s="11" t="s">
        <v>75</v>
      </c>
      <c r="L8" s="11" t="s">
        <v>75</v>
      </c>
      <c r="M8" s="11">
        <v>381</v>
      </c>
      <c r="N8" s="11"/>
      <c r="O8" s="11">
        <v>305</v>
      </c>
      <c r="P8" s="11">
        <v>67</v>
      </c>
      <c r="Q8" s="11"/>
      <c r="R8" s="11">
        <v>58</v>
      </c>
      <c r="S8" s="11">
        <v>71</v>
      </c>
      <c r="T8" s="11">
        <v>39</v>
      </c>
      <c r="U8" s="11">
        <v>42</v>
      </c>
      <c r="V8" s="11">
        <v>33</v>
      </c>
      <c r="W8" s="11">
        <v>37</v>
      </c>
      <c r="X8" s="11">
        <v>35</v>
      </c>
      <c r="Y8" s="11">
        <v>20</v>
      </c>
      <c r="Z8" s="11">
        <v>46</v>
      </c>
      <c r="AA8" s="11"/>
      <c r="AB8" s="11" t="s">
        <v>75</v>
      </c>
      <c r="AC8" s="11" t="s">
        <v>75</v>
      </c>
      <c r="AD8" s="11">
        <v>211</v>
      </c>
      <c r="AE8" s="11">
        <v>141</v>
      </c>
      <c r="AF8" s="11"/>
      <c r="AG8" s="11">
        <v>117</v>
      </c>
      <c r="AH8" s="11">
        <v>63</v>
      </c>
      <c r="AI8" s="11"/>
      <c r="AJ8" s="11">
        <v>180</v>
      </c>
      <c r="AK8" s="11">
        <v>185</v>
      </c>
      <c r="AL8" s="11"/>
      <c r="AM8" s="11">
        <v>168</v>
      </c>
      <c r="AN8" s="11">
        <v>131</v>
      </c>
    </row>
    <row r="9" spans="2:40" x14ac:dyDescent="0.35">
      <c r="B9" s="15" t="s">
        <v>44</v>
      </c>
      <c r="C9" s="14">
        <v>0.93512733468656195</v>
      </c>
      <c r="D9" s="14">
        <v>0.93523277650343295</v>
      </c>
      <c r="E9" s="14">
        <v>0.93429173546328204</v>
      </c>
      <c r="F9" s="14"/>
      <c r="G9" s="14" t="s">
        <v>76</v>
      </c>
      <c r="H9" s="14" t="s">
        <v>76</v>
      </c>
      <c r="I9" s="14">
        <v>0.93512733468656195</v>
      </c>
      <c r="J9" s="14"/>
      <c r="K9" s="14" t="s">
        <v>76</v>
      </c>
      <c r="L9" s="14" t="s">
        <v>76</v>
      </c>
      <c r="M9" s="14">
        <v>0.93512733468656195</v>
      </c>
      <c r="N9" s="14"/>
      <c r="O9" s="14">
        <v>0.94729760806090801</v>
      </c>
      <c r="P9" s="14">
        <v>0.90246773975051697</v>
      </c>
      <c r="Q9" s="14"/>
      <c r="R9" s="14">
        <v>0.94979056278227503</v>
      </c>
      <c r="S9" s="14">
        <v>0.900038044586288</v>
      </c>
      <c r="T9" s="14">
        <v>0.87673015946662602</v>
      </c>
      <c r="U9" s="14">
        <v>0.95695688067461004</v>
      </c>
      <c r="V9" s="14">
        <v>0.97516910819700298</v>
      </c>
      <c r="W9" s="14">
        <v>0.90390580215448502</v>
      </c>
      <c r="X9" s="14">
        <v>1</v>
      </c>
      <c r="Y9" s="14">
        <v>0.96271330044069203</v>
      </c>
      <c r="Z9" s="14">
        <v>0.93657634196252504</v>
      </c>
      <c r="AA9" s="14"/>
      <c r="AB9" s="14" t="s">
        <v>76</v>
      </c>
      <c r="AC9" s="14" t="s">
        <v>76</v>
      </c>
      <c r="AD9" s="14">
        <v>1</v>
      </c>
      <c r="AE9" s="14">
        <v>1</v>
      </c>
      <c r="AF9" s="14"/>
      <c r="AG9" s="14">
        <v>0.94250295727025002</v>
      </c>
      <c r="AH9" s="14">
        <v>0.81012968911309602</v>
      </c>
      <c r="AI9" s="14"/>
      <c r="AJ9" s="14">
        <v>0.89623850848337605</v>
      </c>
      <c r="AK9" s="14">
        <v>0.97517260366914205</v>
      </c>
      <c r="AL9" s="14"/>
      <c r="AM9" s="14">
        <v>0.94455689053521197</v>
      </c>
      <c r="AN9" s="14">
        <v>0.91852505607339896</v>
      </c>
    </row>
    <row r="10" spans="2:40" x14ac:dyDescent="0.35">
      <c r="B10" s="15" t="s">
        <v>45</v>
      </c>
      <c r="C10" s="14">
        <v>6.2730156256255803E-2</v>
      </c>
      <c r="D10" s="14">
        <v>6.4767223496566897E-2</v>
      </c>
      <c r="E10" s="14">
        <v>6.1913999623255701E-2</v>
      </c>
      <c r="F10" s="14"/>
      <c r="G10" s="14" t="s">
        <v>76</v>
      </c>
      <c r="H10" s="14" t="s">
        <v>76</v>
      </c>
      <c r="I10" s="14">
        <v>6.2730156256255803E-2</v>
      </c>
      <c r="J10" s="14"/>
      <c r="K10" s="14" t="s">
        <v>76</v>
      </c>
      <c r="L10" s="14" t="s">
        <v>76</v>
      </c>
      <c r="M10" s="14">
        <v>6.2730156256255803E-2</v>
      </c>
      <c r="N10" s="14"/>
      <c r="O10" s="14">
        <v>5.0021395870268902E-2</v>
      </c>
      <c r="P10" s="14">
        <v>9.7532260249483194E-2</v>
      </c>
      <c r="Q10" s="14"/>
      <c r="R10" s="14">
        <v>5.0209437217725E-2</v>
      </c>
      <c r="S10" s="14">
        <v>9.9961955413711695E-2</v>
      </c>
      <c r="T10" s="14">
        <v>0.123269840533374</v>
      </c>
      <c r="U10" s="14">
        <v>4.3043119325390101E-2</v>
      </c>
      <c r="V10" s="14">
        <v>0</v>
      </c>
      <c r="W10" s="14">
        <v>9.6094197845514498E-2</v>
      </c>
      <c r="X10" s="14">
        <v>0</v>
      </c>
      <c r="Y10" s="14">
        <v>3.7286699559308203E-2</v>
      </c>
      <c r="Z10" s="14">
        <v>6.3423658037474503E-2</v>
      </c>
      <c r="AA10" s="14"/>
      <c r="AB10" s="14" t="s">
        <v>76</v>
      </c>
      <c r="AC10" s="14" t="s">
        <v>76</v>
      </c>
      <c r="AD10" s="14">
        <v>0</v>
      </c>
      <c r="AE10" s="14">
        <v>0</v>
      </c>
      <c r="AF10" s="14"/>
      <c r="AG10" s="14">
        <v>5.0521945730836001E-2</v>
      </c>
      <c r="AH10" s="14">
        <v>0.18987031088690401</v>
      </c>
      <c r="AI10" s="14"/>
      <c r="AJ10" s="14">
        <v>9.92241904744178E-2</v>
      </c>
      <c r="AK10" s="14">
        <v>2.4827396330857999E-2</v>
      </c>
      <c r="AL10" s="14"/>
      <c r="AM10" s="14">
        <v>5.5443109464787803E-2</v>
      </c>
      <c r="AN10" s="14">
        <v>7.5224019428400096E-2</v>
      </c>
    </row>
    <row r="11" spans="2:40" x14ac:dyDescent="0.35">
      <c r="B11" s="15" t="s">
        <v>70</v>
      </c>
      <c r="C11" s="20">
        <v>2.1425090571824601E-3</v>
      </c>
      <c r="D11" s="20">
        <v>0</v>
      </c>
      <c r="E11" s="20">
        <v>3.7942649134623699E-3</v>
      </c>
      <c r="F11" s="20"/>
      <c r="G11" s="20" t="s">
        <v>76</v>
      </c>
      <c r="H11" s="20" t="s">
        <v>76</v>
      </c>
      <c r="I11" s="20">
        <v>2.1425090571824601E-3</v>
      </c>
      <c r="J11" s="20"/>
      <c r="K11" s="20" t="s">
        <v>76</v>
      </c>
      <c r="L11" s="20" t="s">
        <v>76</v>
      </c>
      <c r="M11" s="20">
        <v>2.1425090571824601E-3</v>
      </c>
      <c r="N11" s="20"/>
      <c r="O11" s="20">
        <v>2.6809960688228699E-3</v>
      </c>
      <c r="P11" s="20">
        <v>0</v>
      </c>
      <c r="Q11" s="20"/>
      <c r="R11" s="20">
        <v>0</v>
      </c>
      <c r="S11" s="20">
        <v>0</v>
      </c>
      <c r="T11" s="20">
        <v>0</v>
      </c>
      <c r="U11" s="20">
        <v>0</v>
      </c>
      <c r="V11" s="20">
        <v>2.4830891802997399E-2</v>
      </c>
      <c r="W11" s="20">
        <v>0</v>
      </c>
      <c r="X11" s="20">
        <v>0</v>
      </c>
      <c r="Y11" s="20">
        <v>0</v>
      </c>
      <c r="Z11" s="20">
        <v>0</v>
      </c>
      <c r="AA11" s="20"/>
      <c r="AB11" s="20" t="s">
        <v>76</v>
      </c>
      <c r="AC11" s="20" t="s">
        <v>76</v>
      </c>
      <c r="AD11" s="20">
        <v>0</v>
      </c>
      <c r="AE11" s="20">
        <v>0</v>
      </c>
      <c r="AF11" s="20"/>
      <c r="AG11" s="20">
        <v>6.9750969989137096E-3</v>
      </c>
      <c r="AH11" s="20">
        <v>0</v>
      </c>
      <c r="AI11" s="20"/>
      <c r="AJ11" s="20">
        <v>4.5373010422058201E-3</v>
      </c>
      <c r="AK11" s="20">
        <v>0</v>
      </c>
      <c r="AL11" s="20"/>
      <c r="AM11" s="20">
        <v>0</v>
      </c>
      <c r="AN11" s="20">
        <v>6.2509244982013601E-3</v>
      </c>
    </row>
    <row r="12" spans="2:40" x14ac:dyDescent="0.35">
      <c r="B12" s="16" t="s">
        <v>397</v>
      </c>
    </row>
    <row r="13" spans="2:40" x14ac:dyDescent="0.35">
      <c r="B13" t="s">
        <v>72</v>
      </c>
    </row>
    <row r="14" spans="2:40" x14ac:dyDescent="0.35">
      <c r="B14" t="s">
        <v>73</v>
      </c>
    </row>
    <row r="16" spans="2:40" x14ac:dyDescent="0.35">
      <c r="B16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B2:AN17"/>
  <sheetViews>
    <sheetView showGridLines="0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113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261</v>
      </c>
      <c r="D7" s="10">
        <v>121</v>
      </c>
      <c r="E7" s="10">
        <v>138</v>
      </c>
      <c r="F7" s="10"/>
      <c r="G7" s="10" t="s">
        <v>75</v>
      </c>
      <c r="H7" s="10" t="s">
        <v>75</v>
      </c>
      <c r="I7" s="10">
        <v>261</v>
      </c>
      <c r="J7" s="10"/>
      <c r="K7" s="10" t="s">
        <v>75</v>
      </c>
      <c r="L7" s="10" t="s">
        <v>75</v>
      </c>
      <c r="M7" s="10">
        <v>261</v>
      </c>
      <c r="N7" s="10"/>
      <c r="O7" s="10">
        <v>209</v>
      </c>
      <c r="P7" s="10">
        <v>46</v>
      </c>
      <c r="Q7" s="10"/>
      <c r="R7" s="10">
        <v>37</v>
      </c>
      <c r="S7" s="10">
        <v>51</v>
      </c>
      <c r="T7" s="10">
        <v>20</v>
      </c>
      <c r="U7" s="10">
        <v>29</v>
      </c>
      <c r="V7" s="10">
        <v>24</v>
      </c>
      <c r="W7" s="10">
        <v>31</v>
      </c>
      <c r="X7" s="10">
        <v>16</v>
      </c>
      <c r="Y7" s="10">
        <v>14</v>
      </c>
      <c r="Z7" s="10">
        <v>39</v>
      </c>
      <c r="AA7" s="10"/>
      <c r="AB7" s="10" t="s">
        <v>75</v>
      </c>
      <c r="AC7" s="10" t="s">
        <v>75</v>
      </c>
      <c r="AD7" s="10">
        <v>152</v>
      </c>
      <c r="AE7" s="10">
        <v>106</v>
      </c>
      <c r="AF7" s="10"/>
      <c r="AG7" s="10">
        <v>89</v>
      </c>
      <c r="AH7" s="10">
        <v>37</v>
      </c>
      <c r="AI7" s="10"/>
      <c r="AJ7" s="10">
        <v>126</v>
      </c>
      <c r="AK7" s="10">
        <v>126</v>
      </c>
      <c r="AL7" s="10"/>
      <c r="AM7" s="10">
        <v>118</v>
      </c>
      <c r="AN7" s="10">
        <v>83</v>
      </c>
    </row>
    <row r="8" spans="2:40" ht="30" customHeight="1" x14ac:dyDescent="0.35">
      <c r="B8" s="11" t="s">
        <v>20</v>
      </c>
      <c r="C8" s="11">
        <v>356</v>
      </c>
      <c r="D8" s="11">
        <v>153</v>
      </c>
      <c r="E8" s="11">
        <v>201</v>
      </c>
      <c r="F8" s="11"/>
      <c r="G8" s="11" t="s">
        <v>75</v>
      </c>
      <c r="H8" s="11" t="s">
        <v>75</v>
      </c>
      <c r="I8" s="11">
        <v>356</v>
      </c>
      <c r="J8" s="11"/>
      <c r="K8" s="11" t="s">
        <v>75</v>
      </c>
      <c r="L8" s="11" t="s">
        <v>75</v>
      </c>
      <c r="M8" s="11">
        <v>356</v>
      </c>
      <c r="N8" s="11"/>
      <c r="O8" s="11">
        <v>289</v>
      </c>
      <c r="P8" s="11">
        <v>60</v>
      </c>
      <c r="Q8" s="11"/>
      <c r="R8" s="11">
        <v>55</v>
      </c>
      <c r="S8" s="11">
        <v>64</v>
      </c>
      <c r="T8" s="11">
        <v>34</v>
      </c>
      <c r="U8" s="11">
        <v>41</v>
      </c>
      <c r="V8" s="11">
        <v>32</v>
      </c>
      <c r="W8" s="11">
        <v>33</v>
      </c>
      <c r="X8" s="11">
        <v>35</v>
      </c>
      <c r="Y8" s="11">
        <v>19</v>
      </c>
      <c r="Z8" s="11">
        <v>43</v>
      </c>
      <c r="AA8" s="11"/>
      <c r="AB8" s="11" t="s">
        <v>75</v>
      </c>
      <c r="AC8" s="11" t="s">
        <v>75</v>
      </c>
      <c r="AD8" s="11">
        <v>211</v>
      </c>
      <c r="AE8" s="11">
        <v>141</v>
      </c>
      <c r="AF8" s="11"/>
      <c r="AG8" s="11">
        <v>110</v>
      </c>
      <c r="AH8" s="11">
        <v>51</v>
      </c>
      <c r="AI8" s="11"/>
      <c r="AJ8" s="11">
        <v>161</v>
      </c>
      <c r="AK8" s="11">
        <v>180</v>
      </c>
      <c r="AL8" s="11"/>
      <c r="AM8" s="11">
        <v>159</v>
      </c>
      <c r="AN8" s="11">
        <v>120</v>
      </c>
    </row>
    <row r="9" spans="2:40" x14ac:dyDescent="0.35">
      <c r="B9" s="15" t="s">
        <v>108</v>
      </c>
      <c r="C9" s="14">
        <v>0.39436660055232697</v>
      </c>
      <c r="D9" s="14">
        <v>0.45648685208774498</v>
      </c>
      <c r="E9" s="14">
        <v>0.34345735362813101</v>
      </c>
      <c r="F9" s="14"/>
      <c r="G9" s="14" t="s">
        <v>76</v>
      </c>
      <c r="H9" s="14" t="s">
        <v>76</v>
      </c>
      <c r="I9" s="14">
        <v>0.39436660055232697</v>
      </c>
      <c r="J9" s="14"/>
      <c r="K9" s="14" t="s">
        <v>76</v>
      </c>
      <c r="L9" s="14" t="s">
        <v>76</v>
      </c>
      <c r="M9" s="14">
        <v>0.39436660055232697</v>
      </c>
      <c r="N9" s="14"/>
      <c r="O9" s="14">
        <v>0.343371984004264</v>
      </c>
      <c r="P9" s="14">
        <v>0.662511042670484</v>
      </c>
      <c r="Q9" s="14"/>
      <c r="R9" s="14">
        <v>0.49815379599540499</v>
      </c>
      <c r="S9" s="14">
        <v>0.291411272519776</v>
      </c>
      <c r="T9" s="14">
        <v>7.8271090170957305E-2</v>
      </c>
      <c r="U9" s="14">
        <v>0.477547807243211</v>
      </c>
      <c r="V9" s="14">
        <v>0.448570362291487</v>
      </c>
      <c r="W9" s="14">
        <v>0.42332314017841</v>
      </c>
      <c r="X9" s="14">
        <v>0.33919485367710001</v>
      </c>
      <c r="Y9" s="14">
        <v>0.60646896507003201</v>
      </c>
      <c r="Z9" s="14">
        <v>0.476454248899366</v>
      </c>
      <c r="AA9" s="14"/>
      <c r="AB9" s="14" t="s">
        <v>76</v>
      </c>
      <c r="AC9" s="14" t="s">
        <v>76</v>
      </c>
      <c r="AD9" s="14">
        <v>0</v>
      </c>
      <c r="AE9" s="14">
        <v>1</v>
      </c>
      <c r="AF9" s="14"/>
      <c r="AG9" s="14">
        <v>0.64868859027610204</v>
      </c>
      <c r="AH9" s="14">
        <v>0.234790264523661</v>
      </c>
      <c r="AI9" s="14"/>
      <c r="AJ9" s="14">
        <v>0.51792955174579003</v>
      </c>
      <c r="AK9" s="14">
        <v>0.316287546606354</v>
      </c>
      <c r="AL9" s="14"/>
      <c r="AM9" s="14">
        <v>0.58499722665988296</v>
      </c>
      <c r="AN9" s="14">
        <v>0.14331745212521299</v>
      </c>
    </row>
    <row r="10" spans="2:40" x14ac:dyDescent="0.35">
      <c r="B10" s="15" t="s">
        <v>109</v>
      </c>
      <c r="C10" s="14">
        <v>0.45757218734486099</v>
      </c>
      <c r="D10" s="14">
        <v>0.36401485776471298</v>
      </c>
      <c r="E10" s="14">
        <v>0.53052992672906496</v>
      </c>
      <c r="F10" s="14"/>
      <c r="G10" s="14" t="s">
        <v>76</v>
      </c>
      <c r="H10" s="14" t="s">
        <v>76</v>
      </c>
      <c r="I10" s="14">
        <v>0.45757218734486099</v>
      </c>
      <c r="J10" s="14"/>
      <c r="K10" s="14" t="s">
        <v>76</v>
      </c>
      <c r="L10" s="14" t="s">
        <v>76</v>
      </c>
      <c r="M10" s="14">
        <v>0.45757218734486099</v>
      </c>
      <c r="N10" s="14"/>
      <c r="O10" s="14">
        <v>0.495946566388203</v>
      </c>
      <c r="P10" s="14">
        <v>0.26310911334712</v>
      </c>
      <c r="Q10" s="14"/>
      <c r="R10" s="14">
        <v>0.31980754548783302</v>
      </c>
      <c r="S10" s="14">
        <v>0.52186974229337602</v>
      </c>
      <c r="T10" s="14">
        <v>0.70474681850450405</v>
      </c>
      <c r="U10" s="14">
        <v>0.44785996207314299</v>
      </c>
      <c r="V10" s="14">
        <v>0.38564914754308799</v>
      </c>
      <c r="W10" s="14">
        <v>0.513630604519699</v>
      </c>
      <c r="X10" s="14">
        <v>0.58314146925180899</v>
      </c>
      <c r="Y10" s="14">
        <v>0.35268073748232298</v>
      </c>
      <c r="Z10" s="14">
        <v>0.30687650753835599</v>
      </c>
      <c r="AA10" s="14"/>
      <c r="AB10" s="14" t="s">
        <v>76</v>
      </c>
      <c r="AC10" s="14" t="s">
        <v>76</v>
      </c>
      <c r="AD10" s="14">
        <v>0.77185785594154499</v>
      </c>
      <c r="AE10" s="14">
        <v>0</v>
      </c>
      <c r="AF10" s="14"/>
      <c r="AG10" s="14">
        <v>0.22586005567037101</v>
      </c>
      <c r="AH10" s="14">
        <v>0.37395850014806198</v>
      </c>
      <c r="AI10" s="14"/>
      <c r="AJ10" s="14">
        <v>0.27264741624384697</v>
      </c>
      <c r="AK10" s="14">
        <v>0.61041579151354697</v>
      </c>
      <c r="AL10" s="14"/>
      <c r="AM10" s="14">
        <v>0.31364118095448301</v>
      </c>
      <c r="AN10" s="14">
        <v>0.58384815049175398</v>
      </c>
    </row>
    <row r="11" spans="2:40" x14ac:dyDescent="0.35">
      <c r="B11" s="15" t="s">
        <v>110</v>
      </c>
      <c r="C11" s="14">
        <v>0.13524705239286899</v>
      </c>
      <c r="D11" s="14">
        <v>0.15387344703973499</v>
      </c>
      <c r="E11" s="14">
        <v>0.122775750047507</v>
      </c>
      <c r="F11" s="14"/>
      <c r="G11" s="14" t="s">
        <v>76</v>
      </c>
      <c r="H11" s="14" t="s">
        <v>76</v>
      </c>
      <c r="I11" s="14">
        <v>0.13524705239286899</v>
      </c>
      <c r="J11" s="14"/>
      <c r="K11" s="14" t="s">
        <v>76</v>
      </c>
      <c r="L11" s="14" t="s">
        <v>76</v>
      </c>
      <c r="M11" s="14">
        <v>0.13524705239286899</v>
      </c>
      <c r="N11" s="14"/>
      <c r="O11" s="14">
        <v>0.144852650963952</v>
      </c>
      <c r="P11" s="14">
        <v>7.4379843982395694E-2</v>
      </c>
      <c r="Q11" s="14"/>
      <c r="R11" s="14">
        <v>0.14546208223309401</v>
      </c>
      <c r="S11" s="14">
        <v>0.18671898518684801</v>
      </c>
      <c r="T11" s="14">
        <v>0.16194628506474901</v>
      </c>
      <c r="U11" s="14">
        <v>7.4592230683646094E-2</v>
      </c>
      <c r="V11" s="14">
        <v>0.16578049016542501</v>
      </c>
      <c r="W11" s="14">
        <v>6.3046255301890702E-2</v>
      </c>
      <c r="X11" s="14">
        <v>7.7663677071090495E-2</v>
      </c>
      <c r="Y11" s="14">
        <v>4.0850297447645303E-2</v>
      </c>
      <c r="Z11" s="14">
        <v>0.20159209399657199</v>
      </c>
      <c r="AA11" s="14"/>
      <c r="AB11" s="14" t="s">
        <v>76</v>
      </c>
      <c r="AC11" s="14" t="s">
        <v>76</v>
      </c>
      <c r="AD11" s="14">
        <v>0.22814214405845501</v>
      </c>
      <c r="AE11" s="14">
        <v>0</v>
      </c>
      <c r="AF11" s="14"/>
      <c r="AG11" s="14">
        <v>0.11955259023920101</v>
      </c>
      <c r="AH11" s="14">
        <v>0.39125123532827699</v>
      </c>
      <c r="AI11" s="14"/>
      <c r="AJ11" s="14">
        <v>0.205387809643025</v>
      </c>
      <c r="AK11" s="14">
        <v>6.28139107408099E-2</v>
      </c>
      <c r="AL11" s="14"/>
      <c r="AM11" s="14">
        <v>8.9454923539272105E-2</v>
      </c>
      <c r="AN11" s="14">
        <v>0.25594516835287301</v>
      </c>
    </row>
    <row r="12" spans="2:40" x14ac:dyDescent="0.35">
      <c r="B12" s="15" t="s">
        <v>70</v>
      </c>
      <c r="C12" s="20">
        <v>1.28141597099429E-2</v>
      </c>
      <c r="D12" s="20">
        <v>2.56248431078074E-2</v>
      </c>
      <c r="E12" s="20">
        <v>3.2369695952963601E-3</v>
      </c>
      <c r="F12" s="20"/>
      <c r="G12" s="20" t="s">
        <v>76</v>
      </c>
      <c r="H12" s="20" t="s">
        <v>76</v>
      </c>
      <c r="I12" s="20">
        <v>1.28141597099429E-2</v>
      </c>
      <c r="J12" s="20"/>
      <c r="K12" s="20" t="s">
        <v>76</v>
      </c>
      <c r="L12" s="20" t="s">
        <v>76</v>
      </c>
      <c r="M12" s="20">
        <v>1.28141597099429E-2</v>
      </c>
      <c r="N12" s="20"/>
      <c r="O12" s="20">
        <v>1.5828798643581402E-2</v>
      </c>
      <c r="P12" s="20">
        <v>0</v>
      </c>
      <c r="Q12" s="20"/>
      <c r="R12" s="20">
        <v>3.6576576283667901E-2</v>
      </c>
      <c r="S12" s="20">
        <v>0</v>
      </c>
      <c r="T12" s="20">
        <v>5.5035806259790002E-2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1.5077149565705701E-2</v>
      </c>
      <c r="AA12" s="20"/>
      <c r="AB12" s="20" t="s">
        <v>76</v>
      </c>
      <c r="AC12" s="20" t="s">
        <v>76</v>
      </c>
      <c r="AD12" s="20">
        <v>0</v>
      </c>
      <c r="AE12" s="20">
        <v>0</v>
      </c>
      <c r="AF12" s="20"/>
      <c r="AG12" s="20">
        <v>5.8987638143259899E-3</v>
      </c>
      <c r="AH12" s="20">
        <v>0</v>
      </c>
      <c r="AI12" s="20"/>
      <c r="AJ12" s="20">
        <v>4.03522236733787E-3</v>
      </c>
      <c r="AK12" s="20">
        <v>1.04827511392898E-2</v>
      </c>
      <c r="AL12" s="20"/>
      <c r="AM12" s="20">
        <v>1.19066688463622E-2</v>
      </c>
      <c r="AN12" s="20">
        <v>1.68892290301598E-2</v>
      </c>
    </row>
    <row r="13" spans="2:40" x14ac:dyDescent="0.35">
      <c r="B13" s="16" t="s">
        <v>393</v>
      </c>
    </row>
    <row r="14" spans="2:40" x14ac:dyDescent="0.35">
      <c r="B14" t="s">
        <v>72</v>
      </c>
    </row>
    <row r="15" spans="2:40" x14ac:dyDescent="0.35">
      <c r="B15" t="s">
        <v>73</v>
      </c>
    </row>
    <row r="17" spans="2:2" x14ac:dyDescent="0.35">
      <c r="B17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B2:AN17"/>
  <sheetViews>
    <sheetView showGridLines="0" workbookViewId="0">
      <pane xSplit="2" topLeftCell="C1" activePane="topRight" state="frozen"/>
      <selection pane="topRight" activeCell="B17" sqref="B17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118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282</v>
      </c>
      <c r="D7" s="10">
        <v>131</v>
      </c>
      <c r="E7" s="10">
        <v>149</v>
      </c>
      <c r="F7" s="10"/>
      <c r="G7" s="10" t="s">
        <v>75</v>
      </c>
      <c r="H7" s="10" t="s">
        <v>75</v>
      </c>
      <c r="I7" s="10">
        <v>282</v>
      </c>
      <c r="J7" s="10"/>
      <c r="K7" s="10" t="s">
        <v>75</v>
      </c>
      <c r="L7" s="10" t="s">
        <v>75</v>
      </c>
      <c r="M7" s="10">
        <v>282</v>
      </c>
      <c r="N7" s="10"/>
      <c r="O7" s="10">
        <v>224</v>
      </c>
      <c r="P7" s="10">
        <v>50</v>
      </c>
      <c r="Q7" s="10"/>
      <c r="R7" s="10">
        <v>39</v>
      </c>
      <c r="S7" s="10">
        <v>58</v>
      </c>
      <c r="T7" s="10">
        <v>23</v>
      </c>
      <c r="U7" s="10">
        <v>31</v>
      </c>
      <c r="V7" s="10">
        <v>25</v>
      </c>
      <c r="W7" s="10">
        <v>34</v>
      </c>
      <c r="X7" s="10">
        <v>16</v>
      </c>
      <c r="Y7" s="10">
        <v>15</v>
      </c>
      <c r="Z7" s="10">
        <v>41</v>
      </c>
      <c r="AA7" s="10"/>
      <c r="AB7" s="10" t="s">
        <v>75</v>
      </c>
      <c r="AC7" s="10" t="s">
        <v>75</v>
      </c>
      <c r="AD7" s="10">
        <v>152</v>
      </c>
      <c r="AE7" s="10">
        <v>106</v>
      </c>
      <c r="AF7" s="10"/>
      <c r="AG7" s="10">
        <v>95</v>
      </c>
      <c r="AH7" s="10">
        <v>46</v>
      </c>
      <c r="AI7" s="10"/>
      <c r="AJ7" s="10">
        <v>141</v>
      </c>
      <c r="AK7" s="10">
        <v>131</v>
      </c>
      <c r="AL7" s="10"/>
      <c r="AM7" s="10">
        <v>126</v>
      </c>
      <c r="AN7" s="10">
        <v>91</v>
      </c>
    </row>
    <row r="8" spans="2:40" ht="30" customHeight="1" x14ac:dyDescent="0.35">
      <c r="B8" s="11" t="s">
        <v>20</v>
      </c>
      <c r="C8" s="11">
        <v>381</v>
      </c>
      <c r="D8" s="11">
        <v>163</v>
      </c>
      <c r="E8" s="11">
        <v>215</v>
      </c>
      <c r="F8" s="11"/>
      <c r="G8" s="11" t="s">
        <v>75</v>
      </c>
      <c r="H8" s="11" t="s">
        <v>75</v>
      </c>
      <c r="I8" s="11">
        <v>381</v>
      </c>
      <c r="J8" s="11"/>
      <c r="K8" s="11" t="s">
        <v>75</v>
      </c>
      <c r="L8" s="11" t="s">
        <v>75</v>
      </c>
      <c r="M8" s="11">
        <v>381</v>
      </c>
      <c r="N8" s="11"/>
      <c r="O8" s="11">
        <v>305</v>
      </c>
      <c r="P8" s="11">
        <v>67</v>
      </c>
      <c r="Q8" s="11"/>
      <c r="R8" s="11">
        <v>58</v>
      </c>
      <c r="S8" s="11">
        <v>71</v>
      </c>
      <c r="T8" s="11">
        <v>39</v>
      </c>
      <c r="U8" s="11">
        <v>42</v>
      </c>
      <c r="V8" s="11">
        <v>33</v>
      </c>
      <c r="W8" s="11">
        <v>37</v>
      </c>
      <c r="X8" s="11">
        <v>35</v>
      </c>
      <c r="Y8" s="11">
        <v>20</v>
      </c>
      <c r="Z8" s="11">
        <v>46</v>
      </c>
      <c r="AA8" s="11"/>
      <c r="AB8" s="11" t="s">
        <v>75</v>
      </c>
      <c r="AC8" s="11" t="s">
        <v>75</v>
      </c>
      <c r="AD8" s="11">
        <v>211</v>
      </c>
      <c r="AE8" s="11">
        <v>141</v>
      </c>
      <c r="AF8" s="11"/>
      <c r="AG8" s="11">
        <v>117</v>
      </c>
      <c r="AH8" s="11">
        <v>63</v>
      </c>
      <c r="AI8" s="11"/>
      <c r="AJ8" s="11">
        <v>180</v>
      </c>
      <c r="AK8" s="11">
        <v>185</v>
      </c>
      <c r="AL8" s="11"/>
      <c r="AM8" s="11">
        <v>168</v>
      </c>
      <c r="AN8" s="11">
        <v>131</v>
      </c>
    </row>
    <row r="9" spans="2:40" x14ac:dyDescent="0.35">
      <c r="B9" s="15" t="s">
        <v>115</v>
      </c>
      <c r="C9" s="14">
        <v>0.17731860157132101</v>
      </c>
      <c r="D9" s="14">
        <v>0.22571700434622</v>
      </c>
      <c r="E9" s="14">
        <v>0.14263491871713599</v>
      </c>
      <c r="F9" s="14"/>
      <c r="G9" s="14" t="s">
        <v>76</v>
      </c>
      <c r="H9" s="14" t="s">
        <v>76</v>
      </c>
      <c r="I9" s="14">
        <v>0.17731860157132101</v>
      </c>
      <c r="J9" s="14"/>
      <c r="K9" s="14" t="s">
        <v>76</v>
      </c>
      <c r="L9" s="14" t="s">
        <v>76</v>
      </c>
      <c r="M9" s="14">
        <v>0.17731860157132101</v>
      </c>
      <c r="N9" s="14"/>
      <c r="O9" s="14">
        <v>0.14711135327398001</v>
      </c>
      <c r="P9" s="14">
        <v>0.32073467780731102</v>
      </c>
      <c r="Q9" s="14"/>
      <c r="R9" s="14">
        <v>0.19222076932312099</v>
      </c>
      <c r="S9" s="14">
        <v>0.17137670632996199</v>
      </c>
      <c r="T9" s="14">
        <v>7.1263083127047905E-2</v>
      </c>
      <c r="U9" s="14">
        <v>9.2903107539674595E-2</v>
      </c>
      <c r="V9" s="14">
        <v>0.41822920516789203</v>
      </c>
      <c r="W9" s="14">
        <v>0.16209429301415601</v>
      </c>
      <c r="X9" s="14">
        <v>0.22515419779385801</v>
      </c>
      <c r="Y9" s="14">
        <v>0.11594094900771799</v>
      </c>
      <c r="Z9" s="14">
        <v>0.16592779255244</v>
      </c>
      <c r="AA9" s="14"/>
      <c r="AB9" s="14" t="s">
        <v>76</v>
      </c>
      <c r="AC9" s="14" t="s">
        <v>76</v>
      </c>
      <c r="AD9" s="14">
        <v>9.3072089784357895E-2</v>
      </c>
      <c r="AE9" s="14">
        <v>0.288392358043498</v>
      </c>
      <c r="AF9" s="14"/>
      <c r="AG9" s="14">
        <v>0.57727384699983098</v>
      </c>
      <c r="AH9" s="14">
        <v>0</v>
      </c>
      <c r="AI9" s="14"/>
      <c r="AJ9" s="14">
        <v>0.375516674253908</v>
      </c>
      <c r="AK9" s="14">
        <v>0</v>
      </c>
      <c r="AL9" s="14"/>
      <c r="AM9" s="14">
        <v>0.31188876221960998</v>
      </c>
      <c r="AN9" s="14">
        <v>6.5108567626754196E-2</v>
      </c>
    </row>
    <row r="10" spans="2:40" ht="29" x14ac:dyDescent="0.35">
      <c r="B10" s="15" t="s">
        <v>116</v>
      </c>
      <c r="C10" s="14">
        <v>0.129846884086603</v>
      </c>
      <c r="D10" s="14">
        <v>0.17019615750174599</v>
      </c>
      <c r="E10" s="14">
        <v>0.10072201251594599</v>
      </c>
      <c r="F10" s="14"/>
      <c r="G10" s="14" t="s">
        <v>76</v>
      </c>
      <c r="H10" s="14" t="s">
        <v>76</v>
      </c>
      <c r="I10" s="14">
        <v>0.129846884086603</v>
      </c>
      <c r="J10" s="14"/>
      <c r="K10" s="14" t="s">
        <v>76</v>
      </c>
      <c r="L10" s="14" t="s">
        <v>76</v>
      </c>
      <c r="M10" s="14">
        <v>0.129846884086603</v>
      </c>
      <c r="N10" s="14"/>
      <c r="O10" s="14">
        <v>0.10861226530878999</v>
      </c>
      <c r="P10" s="14">
        <v>0.246130667535744</v>
      </c>
      <c r="Q10" s="14"/>
      <c r="R10" s="14">
        <v>0.17180013511488701</v>
      </c>
      <c r="S10" s="14">
        <v>8.9271842806346993E-2</v>
      </c>
      <c r="T10" s="14">
        <v>0.123137798970774</v>
      </c>
      <c r="U10" s="14">
        <v>0.15147312903479301</v>
      </c>
      <c r="V10" s="14">
        <v>0.10284882990367999</v>
      </c>
      <c r="W10" s="14">
        <v>8.9066895926725301E-2</v>
      </c>
      <c r="X10" s="14">
        <v>0.11224639428505601</v>
      </c>
      <c r="Y10" s="14">
        <v>0.22079688216216001</v>
      </c>
      <c r="Z10" s="14">
        <v>0.15180689628622199</v>
      </c>
      <c r="AA10" s="14"/>
      <c r="AB10" s="14" t="s">
        <v>76</v>
      </c>
      <c r="AC10" s="14" t="s">
        <v>76</v>
      </c>
      <c r="AD10" s="14">
        <v>8.7312871682395599E-2</v>
      </c>
      <c r="AE10" s="14">
        <v>0.22084530560603399</v>
      </c>
      <c r="AF10" s="14"/>
      <c r="AG10" s="14">
        <v>0.42272615300016902</v>
      </c>
      <c r="AH10" s="14">
        <v>0</v>
      </c>
      <c r="AI10" s="14"/>
      <c r="AJ10" s="14">
        <v>0.27498338946025203</v>
      </c>
      <c r="AK10" s="14">
        <v>0</v>
      </c>
      <c r="AL10" s="14"/>
      <c r="AM10" s="14">
        <v>0.24010443023915701</v>
      </c>
      <c r="AN10" s="14">
        <v>3.0051286211864401E-2</v>
      </c>
    </row>
    <row r="11" spans="2:40" x14ac:dyDescent="0.35">
      <c r="B11" s="15" t="s">
        <v>117</v>
      </c>
      <c r="C11" s="14">
        <v>0.66438332586705895</v>
      </c>
      <c r="D11" s="14">
        <v>0.59168540490620203</v>
      </c>
      <c r="E11" s="14">
        <v>0.71567397475561001</v>
      </c>
      <c r="F11" s="14"/>
      <c r="G11" s="14" t="s">
        <v>76</v>
      </c>
      <c r="H11" s="14" t="s">
        <v>76</v>
      </c>
      <c r="I11" s="14">
        <v>0.66438332586705895</v>
      </c>
      <c r="J11" s="14"/>
      <c r="K11" s="14" t="s">
        <v>76</v>
      </c>
      <c r="L11" s="14" t="s">
        <v>76</v>
      </c>
      <c r="M11" s="14">
        <v>0.66438332586705895</v>
      </c>
      <c r="N11" s="14"/>
      <c r="O11" s="14">
        <v>0.70867442015636595</v>
      </c>
      <c r="P11" s="14">
        <v>0.43313465465694501</v>
      </c>
      <c r="Q11" s="14"/>
      <c r="R11" s="14">
        <v>0.60123900858887802</v>
      </c>
      <c r="S11" s="14">
        <v>0.72886196286467497</v>
      </c>
      <c r="T11" s="14">
        <v>0.80559911790217897</v>
      </c>
      <c r="U11" s="14">
        <v>0.70464716259632199</v>
      </c>
      <c r="V11" s="14">
        <v>0.47892196492842798</v>
      </c>
      <c r="W11" s="14">
        <v>0.74883881105911898</v>
      </c>
      <c r="X11" s="14">
        <v>0.58068578313532104</v>
      </c>
      <c r="Y11" s="14">
        <v>0.66326216883012201</v>
      </c>
      <c r="Z11" s="14">
        <v>0.61537093230153805</v>
      </c>
      <c r="AA11" s="14"/>
      <c r="AB11" s="14" t="s">
        <v>76</v>
      </c>
      <c r="AC11" s="14" t="s">
        <v>76</v>
      </c>
      <c r="AD11" s="14">
        <v>0.77788408245932905</v>
      </c>
      <c r="AE11" s="14">
        <v>0.49076233635046701</v>
      </c>
      <c r="AF11" s="14"/>
      <c r="AG11" s="14">
        <v>0</v>
      </c>
      <c r="AH11" s="14">
        <v>1</v>
      </c>
      <c r="AI11" s="14"/>
      <c r="AJ11" s="14">
        <v>0.34949993628583997</v>
      </c>
      <c r="AK11" s="14">
        <v>1</v>
      </c>
      <c r="AL11" s="14"/>
      <c r="AM11" s="14">
        <v>0.422014549141773</v>
      </c>
      <c r="AN11" s="14">
        <v>0.85526308333040202</v>
      </c>
    </row>
    <row r="12" spans="2:40" x14ac:dyDescent="0.35">
      <c r="B12" s="15" t="s">
        <v>70</v>
      </c>
      <c r="C12" s="20">
        <v>2.8451188475017201E-2</v>
      </c>
      <c r="D12" s="20">
        <v>1.24014332458313E-2</v>
      </c>
      <c r="E12" s="20">
        <v>4.0969094011307702E-2</v>
      </c>
      <c r="F12" s="20"/>
      <c r="G12" s="20" t="s">
        <v>76</v>
      </c>
      <c r="H12" s="20" t="s">
        <v>76</v>
      </c>
      <c r="I12" s="20">
        <v>2.8451188475017201E-2</v>
      </c>
      <c r="J12" s="20"/>
      <c r="K12" s="20" t="s">
        <v>76</v>
      </c>
      <c r="L12" s="20" t="s">
        <v>76</v>
      </c>
      <c r="M12" s="20">
        <v>2.8451188475017201E-2</v>
      </c>
      <c r="N12" s="20"/>
      <c r="O12" s="20">
        <v>3.5601961260863797E-2</v>
      </c>
      <c r="P12" s="20">
        <v>0</v>
      </c>
      <c r="Q12" s="20"/>
      <c r="R12" s="20">
        <v>3.4740086973113801E-2</v>
      </c>
      <c r="S12" s="20">
        <v>1.0489487999015199E-2</v>
      </c>
      <c r="T12" s="20">
        <v>0</v>
      </c>
      <c r="U12" s="20">
        <v>5.0976600829210503E-2</v>
      </c>
      <c r="V12" s="20">
        <v>0</v>
      </c>
      <c r="W12" s="20">
        <v>0</v>
      </c>
      <c r="X12" s="20">
        <v>8.1913624785765402E-2</v>
      </c>
      <c r="Y12" s="20">
        <v>0</v>
      </c>
      <c r="Z12" s="20">
        <v>6.6894378859799999E-2</v>
      </c>
      <c r="AA12" s="20"/>
      <c r="AB12" s="20" t="s">
        <v>76</v>
      </c>
      <c r="AC12" s="20" t="s">
        <v>76</v>
      </c>
      <c r="AD12" s="20">
        <v>4.1730956073917802E-2</v>
      </c>
      <c r="AE12" s="20">
        <v>0</v>
      </c>
      <c r="AF12" s="20"/>
      <c r="AG12" s="20">
        <v>0</v>
      </c>
      <c r="AH12" s="20">
        <v>0</v>
      </c>
      <c r="AI12" s="20"/>
      <c r="AJ12" s="20">
        <v>0</v>
      </c>
      <c r="AK12" s="20">
        <v>0</v>
      </c>
      <c r="AL12" s="20"/>
      <c r="AM12" s="20">
        <v>2.5992258399461E-2</v>
      </c>
      <c r="AN12" s="20">
        <v>4.95770628309792E-2</v>
      </c>
    </row>
    <row r="13" spans="2:40" x14ac:dyDescent="0.35">
      <c r="B13" s="16" t="s">
        <v>123</v>
      </c>
    </row>
    <row r="14" spans="2:40" x14ac:dyDescent="0.35">
      <c r="B14" t="s">
        <v>72</v>
      </c>
    </row>
    <row r="15" spans="2:40" x14ac:dyDescent="0.35">
      <c r="B15" t="s">
        <v>73</v>
      </c>
    </row>
    <row r="17" spans="2:2" x14ac:dyDescent="0.35">
      <c r="B17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B2:AN17"/>
  <sheetViews>
    <sheetView showGridLines="0" topLeftCell="A5" workbookViewId="0">
      <pane xSplit="2" topLeftCell="C1" activePane="topRight" state="frozen"/>
      <selection pane="topRight" activeCell="B17" sqref="B17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122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181</v>
      </c>
      <c r="D7" s="10">
        <v>76</v>
      </c>
      <c r="E7" s="10">
        <v>103</v>
      </c>
      <c r="F7" s="10"/>
      <c r="G7" s="10" t="s">
        <v>75</v>
      </c>
      <c r="H7" s="10" t="s">
        <v>75</v>
      </c>
      <c r="I7" s="10">
        <v>181</v>
      </c>
      <c r="J7" s="10"/>
      <c r="K7" s="10" t="s">
        <v>75</v>
      </c>
      <c r="L7" s="10" t="s">
        <v>75</v>
      </c>
      <c r="M7" s="10">
        <v>181</v>
      </c>
      <c r="N7" s="10"/>
      <c r="O7" s="10">
        <v>156</v>
      </c>
      <c r="P7" s="10">
        <v>19</v>
      </c>
      <c r="Q7" s="10"/>
      <c r="R7" s="10">
        <v>23</v>
      </c>
      <c r="S7" s="10">
        <v>41</v>
      </c>
      <c r="T7" s="10">
        <v>18</v>
      </c>
      <c r="U7" s="10">
        <v>21</v>
      </c>
      <c r="V7" s="10">
        <v>13</v>
      </c>
      <c r="W7" s="10">
        <v>23</v>
      </c>
      <c r="X7" s="10">
        <v>9</v>
      </c>
      <c r="Y7" s="10">
        <v>9</v>
      </c>
      <c r="Z7" s="10">
        <v>24</v>
      </c>
      <c r="AA7" s="10"/>
      <c r="AB7" s="10" t="s">
        <v>75</v>
      </c>
      <c r="AC7" s="10" t="s">
        <v>75</v>
      </c>
      <c r="AD7" s="10">
        <v>117</v>
      </c>
      <c r="AE7" s="10">
        <v>48</v>
      </c>
      <c r="AF7" s="10"/>
      <c r="AG7" s="10" t="s">
        <v>75</v>
      </c>
      <c r="AH7" s="10">
        <v>46</v>
      </c>
      <c r="AI7" s="10"/>
      <c r="AJ7" s="10">
        <v>46</v>
      </c>
      <c r="AK7" s="10">
        <v>131</v>
      </c>
      <c r="AL7" s="10"/>
      <c r="AM7" s="10">
        <v>50</v>
      </c>
      <c r="AN7" s="10">
        <v>77</v>
      </c>
    </row>
    <row r="8" spans="2:40" ht="30" customHeight="1" x14ac:dyDescent="0.35">
      <c r="B8" s="11" t="s">
        <v>20</v>
      </c>
      <c r="C8" s="11">
        <v>253</v>
      </c>
      <c r="D8" s="11">
        <v>97</v>
      </c>
      <c r="E8" s="11">
        <v>154</v>
      </c>
      <c r="F8" s="11"/>
      <c r="G8" s="11" t="s">
        <v>75</v>
      </c>
      <c r="H8" s="11" t="s">
        <v>75</v>
      </c>
      <c r="I8" s="11">
        <v>253</v>
      </c>
      <c r="J8" s="11"/>
      <c r="K8" s="11" t="s">
        <v>75</v>
      </c>
      <c r="L8" s="11" t="s">
        <v>75</v>
      </c>
      <c r="M8" s="11">
        <v>253</v>
      </c>
      <c r="N8" s="11"/>
      <c r="O8" s="11">
        <v>216</v>
      </c>
      <c r="P8" s="11">
        <v>29</v>
      </c>
      <c r="Q8" s="11"/>
      <c r="R8" s="11">
        <v>35</v>
      </c>
      <c r="S8" s="11">
        <v>52</v>
      </c>
      <c r="T8" s="11">
        <v>32</v>
      </c>
      <c r="U8" s="11">
        <v>30</v>
      </c>
      <c r="V8" s="11">
        <v>16</v>
      </c>
      <c r="W8" s="11">
        <v>28</v>
      </c>
      <c r="X8" s="11">
        <v>20</v>
      </c>
      <c r="Y8" s="11">
        <v>13</v>
      </c>
      <c r="Z8" s="11">
        <v>28</v>
      </c>
      <c r="AA8" s="11"/>
      <c r="AB8" s="11" t="s">
        <v>75</v>
      </c>
      <c r="AC8" s="11" t="s">
        <v>75</v>
      </c>
      <c r="AD8" s="11">
        <v>164</v>
      </c>
      <c r="AE8" s="11">
        <v>69</v>
      </c>
      <c r="AF8" s="11"/>
      <c r="AG8" s="11" t="s">
        <v>75</v>
      </c>
      <c r="AH8" s="11">
        <v>63</v>
      </c>
      <c r="AI8" s="11"/>
      <c r="AJ8" s="11">
        <v>63</v>
      </c>
      <c r="AK8" s="11">
        <v>185</v>
      </c>
      <c r="AL8" s="11"/>
      <c r="AM8" s="11">
        <v>71</v>
      </c>
      <c r="AN8" s="11">
        <v>112</v>
      </c>
    </row>
    <row r="9" spans="2:40" x14ac:dyDescent="0.35">
      <c r="B9" s="15" t="s">
        <v>119</v>
      </c>
      <c r="C9" s="14">
        <v>0.139435927230046</v>
      </c>
      <c r="D9" s="14">
        <v>0.193782960565554</v>
      </c>
      <c r="E9" s="14">
        <v>0.10758857847957599</v>
      </c>
      <c r="F9" s="14"/>
      <c r="G9" s="14" t="s">
        <v>76</v>
      </c>
      <c r="H9" s="14" t="s">
        <v>76</v>
      </c>
      <c r="I9" s="14">
        <v>0.139435927230046</v>
      </c>
      <c r="J9" s="14"/>
      <c r="K9" s="14" t="s">
        <v>76</v>
      </c>
      <c r="L9" s="14" t="s">
        <v>76</v>
      </c>
      <c r="M9" s="14">
        <v>0.139435927230046</v>
      </c>
      <c r="N9" s="14"/>
      <c r="O9" s="14">
        <v>0.13617321412810901</v>
      </c>
      <c r="P9" s="14">
        <v>0.180279874263964</v>
      </c>
      <c r="Q9" s="14"/>
      <c r="R9" s="14">
        <v>0.22978965034921101</v>
      </c>
      <c r="S9" s="14">
        <v>7.5769787228022703E-2</v>
      </c>
      <c r="T9" s="14">
        <v>0.14973873582698199</v>
      </c>
      <c r="U9" s="14">
        <v>6.85900219199473E-2</v>
      </c>
      <c r="V9" s="14">
        <v>0.16559325375089701</v>
      </c>
      <c r="W9" s="14">
        <v>0.15775483115074801</v>
      </c>
      <c r="X9" s="14">
        <v>0.32395454460743101</v>
      </c>
      <c r="Y9" s="14">
        <v>0</v>
      </c>
      <c r="Z9" s="14">
        <v>0.108705782721341</v>
      </c>
      <c r="AA9" s="14"/>
      <c r="AB9" s="14" t="s">
        <v>76</v>
      </c>
      <c r="AC9" s="14" t="s">
        <v>76</v>
      </c>
      <c r="AD9" s="14">
        <v>0.123649641764162</v>
      </c>
      <c r="AE9" s="14">
        <v>8.3023533482470699E-2</v>
      </c>
      <c r="AF9" s="14"/>
      <c r="AG9" s="14" t="s">
        <v>76</v>
      </c>
      <c r="AH9" s="14">
        <v>0.56133386123382301</v>
      </c>
      <c r="AI9" s="14"/>
      <c r="AJ9" s="14">
        <v>0.56133386123382301</v>
      </c>
      <c r="AK9" s="14">
        <v>0</v>
      </c>
      <c r="AL9" s="14"/>
      <c r="AM9" s="14">
        <v>0.115254496572261</v>
      </c>
      <c r="AN9" s="14">
        <v>0.18534622247989099</v>
      </c>
    </row>
    <row r="10" spans="2:40" ht="43.5" x14ac:dyDescent="0.35">
      <c r="B10" s="15" t="s">
        <v>120</v>
      </c>
      <c r="C10" s="14">
        <v>0.10896513470404599</v>
      </c>
      <c r="D10" s="14">
        <v>0.127573578297522</v>
      </c>
      <c r="E10" s="14">
        <v>9.9056886537333605E-2</v>
      </c>
      <c r="F10" s="14"/>
      <c r="G10" s="14" t="s">
        <v>76</v>
      </c>
      <c r="H10" s="14" t="s">
        <v>76</v>
      </c>
      <c r="I10" s="14">
        <v>0.10896513470404599</v>
      </c>
      <c r="J10" s="14"/>
      <c r="K10" s="14" t="s">
        <v>76</v>
      </c>
      <c r="L10" s="14" t="s">
        <v>76</v>
      </c>
      <c r="M10" s="14">
        <v>0.10896513470404599</v>
      </c>
      <c r="N10" s="14"/>
      <c r="O10" s="14">
        <v>0.11202400969718999</v>
      </c>
      <c r="P10" s="14">
        <v>5.1172406075651697E-2</v>
      </c>
      <c r="Q10" s="14"/>
      <c r="R10" s="14">
        <v>2.5729119407801201E-2</v>
      </c>
      <c r="S10" s="14">
        <v>0.108836224926917</v>
      </c>
      <c r="T10" s="14">
        <v>0.14835495995465101</v>
      </c>
      <c r="U10" s="14">
        <v>0.149542333142339</v>
      </c>
      <c r="V10" s="14">
        <v>0.22381236597662399</v>
      </c>
      <c r="W10" s="14">
        <v>0.107020758614552</v>
      </c>
      <c r="X10" s="14">
        <v>0.133744745082084</v>
      </c>
      <c r="Y10" s="14">
        <v>0</v>
      </c>
      <c r="Z10" s="14">
        <v>9.6102553021873496E-2</v>
      </c>
      <c r="AA10" s="14"/>
      <c r="AB10" s="14" t="s">
        <v>76</v>
      </c>
      <c r="AC10" s="14" t="s">
        <v>76</v>
      </c>
      <c r="AD10" s="14">
        <v>0.11359656674606999</v>
      </c>
      <c r="AE10" s="14">
        <v>9.0422631469621206E-2</v>
      </c>
      <c r="AF10" s="14"/>
      <c r="AG10" s="14" t="s">
        <v>76</v>
      </c>
      <c r="AH10" s="14">
        <v>0.43866613876617599</v>
      </c>
      <c r="AI10" s="14"/>
      <c r="AJ10" s="14">
        <v>0.43866613876617599</v>
      </c>
      <c r="AK10" s="14">
        <v>0</v>
      </c>
      <c r="AL10" s="14"/>
      <c r="AM10" s="14">
        <v>0.130988416298921</v>
      </c>
      <c r="AN10" s="14">
        <v>0.14182817126369701</v>
      </c>
    </row>
    <row r="11" spans="2:40" x14ac:dyDescent="0.35">
      <c r="B11" s="15" t="s">
        <v>121</v>
      </c>
      <c r="C11" s="14">
        <v>0.73001358285699702</v>
      </c>
      <c r="D11" s="14">
        <v>0.64840868578295496</v>
      </c>
      <c r="E11" s="14">
        <v>0.776847601317324</v>
      </c>
      <c r="F11" s="14"/>
      <c r="G11" s="14" t="s">
        <v>76</v>
      </c>
      <c r="H11" s="14" t="s">
        <v>76</v>
      </c>
      <c r="I11" s="14">
        <v>0.73001358285699702</v>
      </c>
      <c r="J11" s="14"/>
      <c r="K11" s="14" t="s">
        <v>76</v>
      </c>
      <c r="L11" s="14" t="s">
        <v>76</v>
      </c>
      <c r="M11" s="14">
        <v>0.73001358285699702</v>
      </c>
      <c r="N11" s="14"/>
      <c r="O11" s="14">
        <v>0.72648038707640805</v>
      </c>
      <c r="P11" s="14">
        <v>0.76854771966038404</v>
      </c>
      <c r="Q11" s="14"/>
      <c r="R11" s="14">
        <v>0.74448123024298796</v>
      </c>
      <c r="S11" s="14">
        <v>0.78130561739109505</v>
      </c>
      <c r="T11" s="14">
        <v>0.70190630421836797</v>
      </c>
      <c r="U11" s="14">
        <v>0.78186764493771299</v>
      </c>
      <c r="V11" s="14">
        <v>0.61059438027247803</v>
      </c>
      <c r="W11" s="14">
        <v>0.73522441023470098</v>
      </c>
      <c r="X11" s="14">
        <v>0.54230071031048499</v>
      </c>
      <c r="Y11" s="14">
        <v>0.94070651604030298</v>
      </c>
      <c r="Z11" s="14">
        <v>0.69212593673745504</v>
      </c>
      <c r="AA11" s="14"/>
      <c r="AB11" s="14" t="s">
        <v>76</v>
      </c>
      <c r="AC11" s="14" t="s">
        <v>76</v>
      </c>
      <c r="AD11" s="14">
        <v>0.73839117661197895</v>
      </c>
      <c r="AE11" s="14">
        <v>0.82655383504790803</v>
      </c>
      <c r="AF11" s="14"/>
      <c r="AG11" s="14" t="s">
        <v>76</v>
      </c>
      <c r="AH11" s="14">
        <v>0</v>
      </c>
      <c r="AI11" s="14"/>
      <c r="AJ11" s="14">
        <v>0</v>
      </c>
      <c r="AK11" s="14">
        <v>1</v>
      </c>
      <c r="AL11" s="14"/>
      <c r="AM11" s="14">
        <v>0.74289990433768704</v>
      </c>
      <c r="AN11" s="14">
        <v>0.63079466326380096</v>
      </c>
    </row>
    <row r="12" spans="2:40" x14ac:dyDescent="0.35">
      <c r="B12" s="15" t="s">
        <v>70</v>
      </c>
      <c r="C12" s="20">
        <v>2.1585355208911201E-2</v>
      </c>
      <c r="D12" s="20">
        <v>3.0234775353968801E-2</v>
      </c>
      <c r="E12" s="20">
        <v>1.6506933665765999E-2</v>
      </c>
      <c r="F12" s="20"/>
      <c r="G12" s="20" t="s">
        <v>76</v>
      </c>
      <c r="H12" s="20" t="s">
        <v>76</v>
      </c>
      <c r="I12" s="20">
        <v>2.1585355208911201E-2</v>
      </c>
      <c r="J12" s="20"/>
      <c r="K12" s="20" t="s">
        <v>76</v>
      </c>
      <c r="L12" s="20" t="s">
        <v>76</v>
      </c>
      <c r="M12" s="20">
        <v>2.1585355208911201E-2</v>
      </c>
      <c r="N12" s="20"/>
      <c r="O12" s="20">
        <v>2.5322389098293398E-2</v>
      </c>
      <c r="P12" s="20">
        <v>0</v>
      </c>
      <c r="Q12" s="20"/>
      <c r="R12" s="20">
        <v>0</v>
      </c>
      <c r="S12" s="20">
        <v>3.4088370453965698E-2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5.9293483959697302E-2</v>
      </c>
      <c r="Z12" s="20">
        <v>0.10306572751933001</v>
      </c>
      <c r="AA12" s="20"/>
      <c r="AB12" s="20" t="s">
        <v>76</v>
      </c>
      <c r="AC12" s="20" t="s">
        <v>76</v>
      </c>
      <c r="AD12" s="20">
        <v>2.4362614877790002E-2</v>
      </c>
      <c r="AE12" s="20">
        <v>0</v>
      </c>
      <c r="AF12" s="20"/>
      <c r="AG12" s="20" t="s">
        <v>76</v>
      </c>
      <c r="AH12" s="20">
        <v>0</v>
      </c>
      <c r="AI12" s="20"/>
      <c r="AJ12" s="20">
        <v>0</v>
      </c>
      <c r="AK12" s="20">
        <v>0</v>
      </c>
      <c r="AL12" s="20"/>
      <c r="AM12" s="20">
        <v>1.08571827911305E-2</v>
      </c>
      <c r="AN12" s="20">
        <v>4.2030942992611398E-2</v>
      </c>
    </row>
    <row r="13" spans="2:40" x14ac:dyDescent="0.35">
      <c r="B13" s="27" t="s">
        <v>394</v>
      </c>
    </row>
    <row r="14" spans="2:40" x14ac:dyDescent="0.35">
      <c r="B14" t="s">
        <v>72</v>
      </c>
    </row>
    <row r="15" spans="2:40" x14ac:dyDescent="0.35">
      <c r="B15" t="s">
        <v>73</v>
      </c>
    </row>
    <row r="17" spans="2:2" x14ac:dyDescent="0.35">
      <c r="B17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B2:G22"/>
  <sheetViews>
    <sheetView showGridLines="0" workbookViewId="0">
      <pane xSplit="2" topLeftCell="C1" activePane="topRight" state="frozen"/>
      <selection pane="topRight" activeCell="B15" sqref="B15"/>
    </sheetView>
  </sheetViews>
  <sheetFormatPr defaultColWidth="10.90625" defaultRowHeight="14.5" x14ac:dyDescent="0.35"/>
  <cols>
    <col min="2" max="2" width="25.7265625" customWidth="1"/>
    <col min="3" max="7" width="20.7265625" customWidth="1"/>
  </cols>
  <sheetData>
    <row r="2" spans="2:7" ht="40" customHeight="1" x14ac:dyDescent="0.35">
      <c r="D2" s="41" t="s">
        <v>137</v>
      </c>
      <c r="E2" s="38"/>
      <c r="F2" s="38"/>
      <c r="G2" s="38"/>
    </row>
    <row r="6" spans="2:7" ht="50" customHeight="1" x14ac:dyDescent="0.35">
      <c r="B6" s="17" t="s">
        <v>15</v>
      </c>
      <c r="C6" s="17" t="s">
        <v>124</v>
      </c>
      <c r="D6" s="17" t="s">
        <v>125</v>
      </c>
      <c r="E6" s="17" t="s">
        <v>126</v>
      </c>
      <c r="F6" s="17" t="s">
        <v>127</v>
      </c>
    </row>
    <row r="7" spans="2:7" x14ac:dyDescent="0.35">
      <c r="B7" s="15" t="s">
        <v>128</v>
      </c>
      <c r="C7" s="14">
        <v>0.25496129752850999</v>
      </c>
      <c r="D7" s="14">
        <v>0.183872358925565</v>
      </c>
      <c r="E7" s="14">
        <v>0.17230716082349901</v>
      </c>
      <c r="F7" s="14">
        <v>0.22789423324990399</v>
      </c>
    </row>
    <row r="8" spans="2:7" x14ac:dyDescent="0.35">
      <c r="B8" s="15" t="s">
        <v>129</v>
      </c>
      <c r="C8" s="14">
        <v>0.39395920509796201</v>
      </c>
      <c r="D8" s="14">
        <v>0.327376544337937</v>
      </c>
      <c r="E8" s="14">
        <v>0.311729386234673</v>
      </c>
      <c r="F8" s="14">
        <v>0.30222624818586802</v>
      </c>
    </row>
    <row r="9" spans="2:7" x14ac:dyDescent="0.35">
      <c r="B9" s="15" t="s">
        <v>130</v>
      </c>
      <c r="C9" s="14">
        <v>0.187780363007961</v>
      </c>
      <c r="D9" s="14">
        <v>0.244990028242003</v>
      </c>
      <c r="E9" s="14">
        <v>0.249230838386021</v>
      </c>
      <c r="F9" s="14">
        <v>0.16371560551817499</v>
      </c>
    </row>
    <row r="10" spans="2:7" x14ac:dyDescent="0.35">
      <c r="B10" s="15" t="s">
        <v>131</v>
      </c>
      <c r="C10" s="14">
        <v>0.11779544689846599</v>
      </c>
      <c r="D10" s="14">
        <v>0.16418618700093801</v>
      </c>
      <c r="E10" s="14">
        <v>0.203685950411954</v>
      </c>
      <c r="F10" s="14">
        <v>0.201341006038708</v>
      </c>
    </row>
    <row r="11" spans="2:7" x14ac:dyDescent="0.35">
      <c r="B11" s="15" t="s">
        <v>132</v>
      </c>
      <c r="C11" s="14">
        <v>4.14777506425974E-2</v>
      </c>
      <c r="D11" s="14">
        <v>6.0550594818040003E-2</v>
      </c>
      <c r="E11" s="14">
        <v>4.4814951760972603E-2</v>
      </c>
      <c r="F11" s="14">
        <v>0.100200762821814</v>
      </c>
    </row>
    <row r="12" spans="2:7" x14ac:dyDescent="0.35">
      <c r="B12" s="15" t="s">
        <v>133</v>
      </c>
      <c r="C12" s="14">
        <v>4.0259368245021496E-3</v>
      </c>
      <c r="D12" s="14">
        <v>1.90242866755168E-2</v>
      </c>
      <c r="E12" s="14">
        <v>1.82317123828796E-2</v>
      </c>
      <c r="F12" s="14">
        <v>4.6221441855302404E-3</v>
      </c>
    </row>
    <row r="13" spans="2:7" x14ac:dyDescent="0.35">
      <c r="B13" s="23" t="s">
        <v>134</v>
      </c>
      <c r="C13" s="21">
        <v>0.64892050262647305</v>
      </c>
      <c r="D13" s="21">
        <v>0.51124890326350203</v>
      </c>
      <c r="E13" s="21">
        <v>0.48403654705817201</v>
      </c>
      <c r="F13" s="21">
        <v>0.53012048143577295</v>
      </c>
    </row>
    <row r="14" spans="2:7" x14ac:dyDescent="0.35">
      <c r="B14" s="23" t="s">
        <v>135</v>
      </c>
      <c r="C14" s="21">
        <v>0.159273197541064</v>
      </c>
      <c r="D14" s="21">
        <v>0.22473678181897799</v>
      </c>
      <c r="E14" s="21">
        <v>0.248500902172927</v>
      </c>
      <c r="F14" s="21">
        <v>0.30154176886052297</v>
      </c>
    </row>
    <row r="15" spans="2:7" x14ac:dyDescent="0.35">
      <c r="B15" s="23" t="s">
        <v>136</v>
      </c>
      <c r="C15" s="22">
        <v>0.48964730508540899</v>
      </c>
      <c r="D15" s="22">
        <v>0.28651212144452298</v>
      </c>
      <c r="E15" s="22">
        <v>0.235535644885246</v>
      </c>
      <c r="F15" s="22">
        <v>0.22857871257525</v>
      </c>
    </row>
    <row r="16" spans="2:7" x14ac:dyDescent="0.35">
      <c r="B16" s="16"/>
      <c r="C16" s="16"/>
      <c r="D16" s="16"/>
      <c r="E16" s="16"/>
      <c r="F16" s="16"/>
    </row>
    <row r="17" spans="2:2" x14ac:dyDescent="0.35">
      <c r="B17" t="s">
        <v>72</v>
      </c>
    </row>
    <row r="18" spans="2:2" x14ac:dyDescent="0.35">
      <c r="B18" t="s">
        <v>73</v>
      </c>
    </row>
    <row r="22" spans="2:2" x14ac:dyDescent="0.35">
      <c r="B22" s="8" t="str">
        <f>HYPERLINK("#'Contents'!A1", "Return to Contents")</f>
        <v>Return to Contents</v>
      </c>
    </row>
  </sheetData>
  <mergeCells count="1">
    <mergeCell ref="D2:G2"/>
  </mergeCells>
  <pageMargins left="0.7" right="0.7" top="0.75" bottom="0.75" header="0.3" footer="0.3"/>
  <pageSetup paperSize="9" orientation="portrait" horizontalDpi="300" verticalDpi="300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B2:AN22"/>
  <sheetViews>
    <sheetView showGridLines="0" topLeftCell="A9" workbookViewId="0">
      <pane xSplit="2" topLeftCell="C1" activePane="topRight" state="frozen"/>
      <selection pane="topRight" activeCell="B17" sqref="B17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139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2154</v>
      </c>
      <c r="D7" s="10">
        <v>1116</v>
      </c>
      <c r="E7" s="10">
        <v>1031</v>
      </c>
      <c r="F7" s="10"/>
      <c r="G7" s="10">
        <v>429</v>
      </c>
      <c r="H7" s="10">
        <v>509</v>
      </c>
      <c r="I7" s="10">
        <v>1216</v>
      </c>
      <c r="J7" s="10"/>
      <c r="K7" s="10">
        <v>938</v>
      </c>
      <c r="L7" s="10">
        <v>924</v>
      </c>
      <c r="M7" s="10">
        <v>292</v>
      </c>
      <c r="N7" s="10"/>
      <c r="O7" s="10">
        <v>1847</v>
      </c>
      <c r="P7" s="10">
        <v>260</v>
      </c>
      <c r="Q7" s="10"/>
      <c r="R7" s="10">
        <v>311</v>
      </c>
      <c r="S7" s="10">
        <v>370</v>
      </c>
      <c r="T7" s="10">
        <v>196</v>
      </c>
      <c r="U7" s="10">
        <v>211</v>
      </c>
      <c r="V7" s="10">
        <v>191</v>
      </c>
      <c r="W7" s="10">
        <v>273</v>
      </c>
      <c r="X7" s="10">
        <v>143</v>
      </c>
      <c r="Y7" s="10">
        <v>114</v>
      </c>
      <c r="Z7" s="10">
        <v>345</v>
      </c>
      <c r="AA7" s="10"/>
      <c r="AB7" s="10">
        <v>152</v>
      </c>
      <c r="AC7" s="10">
        <v>147</v>
      </c>
      <c r="AD7" s="10">
        <v>152</v>
      </c>
      <c r="AE7" s="10">
        <v>106</v>
      </c>
      <c r="AF7" s="10"/>
      <c r="AG7" s="10">
        <v>95</v>
      </c>
      <c r="AH7" s="10">
        <v>46</v>
      </c>
      <c r="AI7" s="10"/>
      <c r="AJ7" s="10">
        <v>141</v>
      </c>
      <c r="AK7" s="10">
        <v>131</v>
      </c>
      <c r="AL7" s="10"/>
      <c r="AM7" s="10">
        <v>1237</v>
      </c>
      <c r="AN7" s="10">
        <v>479</v>
      </c>
    </row>
    <row r="8" spans="2:40" ht="30" customHeight="1" x14ac:dyDescent="0.35">
      <c r="B8" s="11" t="s">
        <v>20</v>
      </c>
      <c r="C8" s="11">
        <v>2154</v>
      </c>
      <c r="D8" s="11">
        <v>1073</v>
      </c>
      <c r="E8" s="11">
        <v>1074</v>
      </c>
      <c r="F8" s="11"/>
      <c r="G8" s="11">
        <v>559</v>
      </c>
      <c r="H8" s="11">
        <v>459</v>
      </c>
      <c r="I8" s="11">
        <v>1136</v>
      </c>
      <c r="J8" s="11"/>
      <c r="K8" s="11">
        <v>1018</v>
      </c>
      <c r="L8" s="11">
        <v>745</v>
      </c>
      <c r="M8" s="11">
        <v>391</v>
      </c>
      <c r="N8" s="11"/>
      <c r="O8" s="11">
        <v>1847</v>
      </c>
      <c r="P8" s="11">
        <v>261</v>
      </c>
      <c r="Q8" s="11"/>
      <c r="R8" s="11">
        <v>345</v>
      </c>
      <c r="S8" s="11">
        <v>345</v>
      </c>
      <c r="T8" s="11">
        <v>215</v>
      </c>
      <c r="U8" s="11">
        <v>237</v>
      </c>
      <c r="V8" s="11">
        <v>194</v>
      </c>
      <c r="W8" s="11">
        <v>215</v>
      </c>
      <c r="X8" s="11">
        <v>215</v>
      </c>
      <c r="Y8" s="11">
        <v>108</v>
      </c>
      <c r="Z8" s="11">
        <v>280</v>
      </c>
      <c r="AA8" s="11"/>
      <c r="AB8" s="11">
        <v>117</v>
      </c>
      <c r="AC8" s="11">
        <v>117</v>
      </c>
      <c r="AD8" s="11">
        <v>211</v>
      </c>
      <c r="AE8" s="11">
        <v>141</v>
      </c>
      <c r="AF8" s="11"/>
      <c r="AG8" s="11">
        <v>117</v>
      </c>
      <c r="AH8" s="11">
        <v>63</v>
      </c>
      <c r="AI8" s="11"/>
      <c r="AJ8" s="11">
        <v>180</v>
      </c>
      <c r="AK8" s="11">
        <v>185</v>
      </c>
      <c r="AL8" s="11"/>
      <c r="AM8" s="11">
        <v>1240</v>
      </c>
      <c r="AN8" s="11">
        <v>486</v>
      </c>
    </row>
    <row r="9" spans="2:40" x14ac:dyDescent="0.35">
      <c r="B9" s="15" t="s">
        <v>128</v>
      </c>
      <c r="C9" s="14">
        <v>0.183872358925565</v>
      </c>
      <c r="D9" s="14">
        <v>0.21685198941617201</v>
      </c>
      <c r="E9" s="14">
        <v>0.15053496023218099</v>
      </c>
      <c r="F9" s="14"/>
      <c r="G9" s="14">
        <v>0.206141763605802</v>
      </c>
      <c r="H9" s="14">
        <v>0.21208539396994</v>
      </c>
      <c r="I9" s="14">
        <v>0.161514608830189</v>
      </c>
      <c r="J9" s="14"/>
      <c r="K9" s="14">
        <v>0.208822069764066</v>
      </c>
      <c r="L9" s="14">
        <v>0.17621152156775999</v>
      </c>
      <c r="M9" s="14">
        <v>0.13356497000352999</v>
      </c>
      <c r="N9" s="14"/>
      <c r="O9" s="14">
        <v>0.17309760011733299</v>
      </c>
      <c r="P9" s="14">
        <v>0.267907393918416</v>
      </c>
      <c r="Q9" s="14"/>
      <c r="R9" s="14">
        <v>0.241484701538209</v>
      </c>
      <c r="S9" s="14">
        <v>0.13460418382209699</v>
      </c>
      <c r="T9" s="14">
        <v>0.159911813819379</v>
      </c>
      <c r="U9" s="14">
        <v>0.12682088689134899</v>
      </c>
      <c r="V9" s="14">
        <v>0.19843456830306599</v>
      </c>
      <c r="W9" s="14">
        <v>0.19943243867298099</v>
      </c>
      <c r="X9" s="14">
        <v>0.193852181927299</v>
      </c>
      <c r="Y9" s="14">
        <v>0.15751407810823401</v>
      </c>
      <c r="Z9" s="14">
        <v>0.220745663062235</v>
      </c>
      <c r="AA9" s="14"/>
      <c r="AB9" s="14">
        <v>0.10603200413177399</v>
      </c>
      <c r="AC9" s="14">
        <v>0.33265395744984799</v>
      </c>
      <c r="AD9" s="14">
        <v>7.5238261060758302E-2</v>
      </c>
      <c r="AE9" s="14">
        <v>0.20414965754678499</v>
      </c>
      <c r="AF9" s="14"/>
      <c r="AG9" s="14">
        <v>0.27107078173323101</v>
      </c>
      <c r="AH9" s="14">
        <v>0</v>
      </c>
      <c r="AI9" s="14"/>
      <c r="AJ9" s="14">
        <v>0.176331560788514</v>
      </c>
      <c r="AK9" s="14">
        <v>9.1605907155419594E-2</v>
      </c>
      <c r="AL9" s="14"/>
      <c r="AM9" s="14">
        <v>0.31283993129958998</v>
      </c>
      <c r="AN9" s="14">
        <v>6.5741438157370501E-3</v>
      </c>
    </row>
    <row r="10" spans="2:40" x14ac:dyDescent="0.35">
      <c r="B10" s="15" t="s">
        <v>129</v>
      </c>
      <c r="C10" s="14">
        <v>0.327376544337937</v>
      </c>
      <c r="D10" s="14">
        <v>0.365230751412711</v>
      </c>
      <c r="E10" s="14">
        <v>0.29024060393467599</v>
      </c>
      <c r="F10" s="14"/>
      <c r="G10" s="14">
        <v>0.33300335644534201</v>
      </c>
      <c r="H10" s="14">
        <v>0.336671945842834</v>
      </c>
      <c r="I10" s="14">
        <v>0.320851788521194</v>
      </c>
      <c r="J10" s="14"/>
      <c r="K10" s="14">
        <v>0.33465772291024998</v>
      </c>
      <c r="L10" s="14">
        <v>0.33056816914158899</v>
      </c>
      <c r="M10" s="14">
        <v>0.30237380379803802</v>
      </c>
      <c r="N10" s="14"/>
      <c r="O10" s="14">
        <v>0.32371950910905201</v>
      </c>
      <c r="P10" s="14">
        <v>0.36196061395164902</v>
      </c>
      <c r="Q10" s="14"/>
      <c r="R10" s="14">
        <v>0.384286027341951</v>
      </c>
      <c r="S10" s="14">
        <v>0.34257410369373398</v>
      </c>
      <c r="T10" s="14">
        <v>0.361777550921771</v>
      </c>
      <c r="U10" s="14">
        <v>0.28429734420483999</v>
      </c>
      <c r="V10" s="14">
        <v>0.284566549370941</v>
      </c>
      <c r="W10" s="14">
        <v>0.32928671120362102</v>
      </c>
      <c r="X10" s="14">
        <v>0.27079617979890602</v>
      </c>
      <c r="Y10" s="14">
        <v>0.35992697324501599</v>
      </c>
      <c r="Z10" s="14">
        <v>0.30766372360649702</v>
      </c>
      <c r="AA10" s="14"/>
      <c r="AB10" s="14">
        <v>0.21823037208372101</v>
      </c>
      <c r="AC10" s="14">
        <v>0.47565197917263702</v>
      </c>
      <c r="AD10" s="14">
        <v>0.21936627778228501</v>
      </c>
      <c r="AE10" s="14">
        <v>0.44594227622944899</v>
      </c>
      <c r="AF10" s="14"/>
      <c r="AG10" s="14">
        <v>0.39567253730441798</v>
      </c>
      <c r="AH10" s="14">
        <v>0.29028880647171201</v>
      </c>
      <c r="AI10" s="14"/>
      <c r="AJ10" s="14">
        <v>0.35884093009282297</v>
      </c>
      <c r="AK10" s="14">
        <v>0.25648906197346499</v>
      </c>
      <c r="AL10" s="14"/>
      <c r="AM10" s="14">
        <v>0.49345571135885802</v>
      </c>
      <c r="AN10" s="14">
        <v>5.0485268625040602E-2</v>
      </c>
    </row>
    <row r="11" spans="2:40" x14ac:dyDescent="0.35">
      <c r="B11" s="15" t="s">
        <v>130</v>
      </c>
      <c r="C11" s="14">
        <v>0.244990028242003</v>
      </c>
      <c r="D11" s="14">
        <v>0.22041824315341901</v>
      </c>
      <c r="E11" s="14">
        <v>0.269549605896867</v>
      </c>
      <c r="F11" s="14"/>
      <c r="G11" s="14">
        <v>0.25938959269242701</v>
      </c>
      <c r="H11" s="14">
        <v>0.22678416910305299</v>
      </c>
      <c r="I11" s="14">
        <v>0.245262441270647</v>
      </c>
      <c r="J11" s="14"/>
      <c r="K11" s="14">
        <v>0.244686034044719</v>
      </c>
      <c r="L11" s="14">
        <v>0.252257080199703</v>
      </c>
      <c r="M11" s="14">
        <v>0.23196048899803001</v>
      </c>
      <c r="N11" s="14"/>
      <c r="O11" s="14">
        <v>0.24895838343246399</v>
      </c>
      <c r="P11" s="14">
        <v>0.23112979367745701</v>
      </c>
      <c r="Q11" s="14"/>
      <c r="R11" s="14">
        <v>0.224350536866462</v>
      </c>
      <c r="S11" s="14">
        <v>0.22413377251170899</v>
      </c>
      <c r="T11" s="14">
        <v>0.20649424976672201</v>
      </c>
      <c r="U11" s="14">
        <v>0.29921182030677401</v>
      </c>
      <c r="V11" s="14">
        <v>0.23667465756988601</v>
      </c>
      <c r="W11" s="14">
        <v>0.23485959600329201</v>
      </c>
      <c r="X11" s="14">
        <v>0.272107862445083</v>
      </c>
      <c r="Y11" s="14">
        <v>0.33001289295745601</v>
      </c>
      <c r="Z11" s="14">
        <v>0.23970603184709499</v>
      </c>
      <c r="AA11" s="14"/>
      <c r="AB11" s="14">
        <v>0.310892746933571</v>
      </c>
      <c r="AC11" s="14">
        <v>0.124818955400049</v>
      </c>
      <c r="AD11" s="14">
        <v>0.235326217581043</v>
      </c>
      <c r="AE11" s="14">
        <v>0.24889369687528101</v>
      </c>
      <c r="AF11" s="14"/>
      <c r="AG11" s="14">
        <v>0.19311643522672101</v>
      </c>
      <c r="AH11" s="14">
        <v>0.18899874345426099</v>
      </c>
      <c r="AI11" s="14"/>
      <c r="AJ11" s="14">
        <v>0.191677302214601</v>
      </c>
      <c r="AK11" s="14">
        <v>0.286057253640356</v>
      </c>
      <c r="AL11" s="14"/>
      <c r="AM11" s="14">
        <v>0.15579621758255099</v>
      </c>
      <c r="AN11" s="14">
        <v>0.10363579521637301</v>
      </c>
    </row>
    <row r="12" spans="2:40" x14ac:dyDescent="0.35">
      <c r="B12" s="15" t="s">
        <v>131</v>
      </c>
      <c r="C12" s="14">
        <v>0.16418618700093801</v>
      </c>
      <c r="D12" s="14">
        <v>0.132379832866304</v>
      </c>
      <c r="E12" s="14">
        <v>0.196323140220481</v>
      </c>
      <c r="F12" s="14"/>
      <c r="G12" s="14">
        <v>0.115413775795183</v>
      </c>
      <c r="H12" s="14">
        <v>0.17140760740643601</v>
      </c>
      <c r="I12" s="14">
        <v>0.18526432113854699</v>
      </c>
      <c r="J12" s="14"/>
      <c r="K12" s="14">
        <v>0.14066443953059399</v>
      </c>
      <c r="L12" s="14">
        <v>0.164581049273409</v>
      </c>
      <c r="M12" s="14">
        <v>0.22459843087347101</v>
      </c>
      <c r="N12" s="14"/>
      <c r="O12" s="14">
        <v>0.16912399397142799</v>
      </c>
      <c r="P12" s="14">
        <v>0.12082012586108699</v>
      </c>
      <c r="Q12" s="14"/>
      <c r="R12" s="14">
        <v>0.11238701944366</v>
      </c>
      <c r="S12" s="14">
        <v>0.20263693112117601</v>
      </c>
      <c r="T12" s="14">
        <v>0.17278643113824699</v>
      </c>
      <c r="U12" s="14">
        <v>0.200309766036989</v>
      </c>
      <c r="V12" s="14">
        <v>0.19756035883710399</v>
      </c>
      <c r="W12" s="14">
        <v>0.15501553774071</v>
      </c>
      <c r="X12" s="14">
        <v>0.135309521299217</v>
      </c>
      <c r="Y12" s="14">
        <v>0.105851258535072</v>
      </c>
      <c r="Z12" s="14">
        <v>0.172045548138541</v>
      </c>
      <c r="AA12" s="14"/>
      <c r="AB12" s="14">
        <v>0.238537445502435</v>
      </c>
      <c r="AC12" s="14">
        <v>5.2455010987124399E-2</v>
      </c>
      <c r="AD12" s="14">
        <v>0.335715952235357</v>
      </c>
      <c r="AE12" s="14">
        <v>6.9515973434750106E-2</v>
      </c>
      <c r="AF12" s="14"/>
      <c r="AG12" s="14">
        <v>0.110116071749876</v>
      </c>
      <c r="AH12" s="14">
        <v>0.26958387845436299</v>
      </c>
      <c r="AI12" s="14"/>
      <c r="AJ12" s="14">
        <v>0.165850060032737</v>
      </c>
      <c r="AK12" s="14">
        <v>0.26415151469559101</v>
      </c>
      <c r="AL12" s="14"/>
      <c r="AM12" s="14">
        <v>2.19370977847455E-2</v>
      </c>
      <c r="AN12" s="14">
        <v>0.56669967893200202</v>
      </c>
    </row>
    <row r="13" spans="2:40" x14ac:dyDescent="0.35">
      <c r="B13" s="15" t="s">
        <v>132</v>
      </c>
      <c r="C13" s="14">
        <v>6.0550594818040003E-2</v>
      </c>
      <c r="D13" s="14">
        <v>4.3336430967915097E-2</v>
      </c>
      <c r="E13" s="14">
        <v>7.8127881243443803E-2</v>
      </c>
      <c r="F13" s="14"/>
      <c r="G13" s="14">
        <v>3.2003482425754799E-2</v>
      </c>
      <c r="H13" s="14">
        <v>4.88020823917713E-2</v>
      </c>
      <c r="I13" s="14">
        <v>7.9343608375278707E-2</v>
      </c>
      <c r="J13" s="14"/>
      <c r="K13" s="14">
        <v>3.9578884693499197E-2</v>
      </c>
      <c r="L13" s="14">
        <v>7.1166357296892302E-2</v>
      </c>
      <c r="M13" s="14">
        <v>9.4894576004796394E-2</v>
      </c>
      <c r="N13" s="14"/>
      <c r="O13" s="14">
        <v>6.5803404474604102E-2</v>
      </c>
      <c r="P13" s="14">
        <v>1.1357608882218101E-2</v>
      </c>
      <c r="Q13" s="14"/>
      <c r="R13" s="14">
        <v>3.4176603751400497E-2</v>
      </c>
      <c r="S13" s="14">
        <v>7.5889522977312898E-2</v>
      </c>
      <c r="T13" s="14">
        <v>8.7230273805628297E-2</v>
      </c>
      <c r="U13" s="14">
        <v>6.8122122125327297E-2</v>
      </c>
      <c r="V13" s="14">
        <v>8.2763865919003005E-2</v>
      </c>
      <c r="W13" s="14">
        <v>5.25470755836644E-2</v>
      </c>
      <c r="X13" s="14">
        <v>8.2422062423201395E-2</v>
      </c>
      <c r="Y13" s="14">
        <v>3.11568434731457E-2</v>
      </c>
      <c r="Z13" s="14">
        <v>3.2550792144965701E-2</v>
      </c>
      <c r="AA13" s="14"/>
      <c r="AB13" s="14">
        <v>0.1263074313485</v>
      </c>
      <c r="AC13" s="14">
        <v>1.44200969903429E-2</v>
      </c>
      <c r="AD13" s="14">
        <v>0.122007089710259</v>
      </c>
      <c r="AE13" s="14">
        <v>2.53474394406802E-2</v>
      </c>
      <c r="AF13" s="14"/>
      <c r="AG13" s="14">
        <v>2.26393335219063E-2</v>
      </c>
      <c r="AH13" s="14">
        <v>0.233147097195746</v>
      </c>
      <c r="AI13" s="14"/>
      <c r="AJ13" s="14">
        <v>9.6211783513587806E-2</v>
      </c>
      <c r="AK13" s="14">
        <v>8.5795938485715803E-2</v>
      </c>
      <c r="AL13" s="14"/>
      <c r="AM13" s="14">
        <v>7.0155103799133004E-4</v>
      </c>
      <c r="AN13" s="14">
        <v>0.26491056177792399</v>
      </c>
    </row>
    <row r="14" spans="2:40" x14ac:dyDescent="0.35">
      <c r="B14" s="15" t="s">
        <v>133</v>
      </c>
      <c r="C14" s="14">
        <v>1.90242866755168E-2</v>
      </c>
      <c r="D14" s="14">
        <v>2.1782752183479401E-2</v>
      </c>
      <c r="E14" s="14">
        <v>1.5223808472351E-2</v>
      </c>
      <c r="F14" s="14"/>
      <c r="G14" s="14">
        <v>5.4048029035491697E-2</v>
      </c>
      <c r="H14" s="14">
        <v>4.2488012859653902E-3</v>
      </c>
      <c r="I14" s="14">
        <v>7.7632318641437797E-3</v>
      </c>
      <c r="J14" s="14"/>
      <c r="K14" s="14">
        <v>3.1590849056871199E-2</v>
      </c>
      <c r="L14" s="14">
        <v>5.2158225206467004E-3</v>
      </c>
      <c r="M14" s="14">
        <v>1.26077303221356E-2</v>
      </c>
      <c r="N14" s="14"/>
      <c r="O14" s="14">
        <v>1.92971088951185E-2</v>
      </c>
      <c r="P14" s="14">
        <v>6.8244637091731597E-3</v>
      </c>
      <c r="Q14" s="14"/>
      <c r="R14" s="14">
        <v>3.3151110583172099E-3</v>
      </c>
      <c r="S14" s="14">
        <v>2.0161485873971201E-2</v>
      </c>
      <c r="T14" s="14">
        <v>1.1799680548253E-2</v>
      </c>
      <c r="U14" s="14">
        <v>2.12380604347201E-2</v>
      </c>
      <c r="V14" s="14">
        <v>0</v>
      </c>
      <c r="W14" s="14">
        <v>2.8858640795731801E-2</v>
      </c>
      <c r="X14" s="14">
        <v>4.5512192106293502E-2</v>
      </c>
      <c r="Y14" s="14">
        <v>1.5537953681076201E-2</v>
      </c>
      <c r="Z14" s="14">
        <v>2.7288241200666401E-2</v>
      </c>
      <c r="AA14" s="14"/>
      <c r="AB14" s="14">
        <v>0</v>
      </c>
      <c r="AC14" s="14">
        <v>0</v>
      </c>
      <c r="AD14" s="14">
        <v>1.2346201630297199E-2</v>
      </c>
      <c r="AE14" s="14">
        <v>6.1509564730547802E-3</v>
      </c>
      <c r="AF14" s="14"/>
      <c r="AG14" s="14">
        <v>7.38484046384785E-3</v>
      </c>
      <c r="AH14" s="14">
        <v>1.7981474423918599E-2</v>
      </c>
      <c r="AI14" s="14"/>
      <c r="AJ14" s="14">
        <v>1.10883633577369E-2</v>
      </c>
      <c r="AK14" s="14">
        <v>1.59003240494523E-2</v>
      </c>
      <c r="AL14" s="14"/>
      <c r="AM14" s="14">
        <v>1.52694909362642E-2</v>
      </c>
      <c r="AN14" s="14">
        <v>7.6945516329243301E-3</v>
      </c>
    </row>
    <row r="15" spans="2:40" x14ac:dyDescent="0.35">
      <c r="B15" s="15" t="s">
        <v>134</v>
      </c>
      <c r="C15" s="21">
        <v>0.51124890326350203</v>
      </c>
      <c r="D15" s="21">
        <v>0.58208274082888301</v>
      </c>
      <c r="E15" s="21">
        <v>0.44077556416685698</v>
      </c>
      <c r="F15" s="21"/>
      <c r="G15" s="21">
        <v>0.53914512005114401</v>
      </c>
      <c r="H15" s="21">
        <v>0.54875733981277397</v>
      </c>
      <c r="I15" s="21">
        <v>0.48236639735138298</v>
      </c>
      <c r="J15" s="21"/>
      <c r="K15" s="21">
        <v>0.54347979267431601</v>
      </c>
      <c r="L15" s="21">
        <v>0.50677969070934903</v>
      </c>
      <c r="M15" s="21">
        <v>0.43593877380156798</v>
      </c>
      <c r="N15" s="21"/>
      <c r="O15" s="21">
        <v>0.496817109226385</v>
      </c>
      <c r="P15" s="21">
        <v>0.62986800787006503</v>
      </c>
      <c r="Q15" s="21"/>
      <c r="R15" s="21">
        <v>0.62577072888016005</v>
      </c>
      <c r="S15" s="21">
        <v>0.47717828751583102</v>
      </c>
      <c r="T15" s="21">
        <v>0.52168936474114902</v>
      </c>
      <c r="U15" s="21">
        <v>0.411118231096189</v>
      </c>
      <c r="V15" s="21">
        <v>0.483001117674007</v>
      </c>
      <c r="W15" s="21">
        <v>0.52871914987660196</v>
      </c>
      <c r="X15" s="21">
        <v>0.46464836172620499</v>
      </c>
      <c r="Y15" s="21">
        <v>0.51744105135325003</v>
      </c>
      <c r="Z15" s="21">
        <v>0.52840938666873205</v>
      </c>
      <c r="AA15" s="21"/>
      <c r="AB15" s="21">
        <v>0.32426237621549497</v>
      </c>
      <c r="AC15" s="21">
        <v>0.80830593662248396</v>
      </c>
      <c r="AD15" s="21">
        <v>0.29460453884304399</v>
      </c>
      <c r="AE15" s="21">
        <v>0.65009193377623398</v>
      </c>
      <c r="AF15" s="21"/>
      <c r="AG15" s="21">
        <v>0.66674331903764905</v>
      </c>
      <c r="AH15" s="21">
        <v>0.29028880647171201</v>
      </c>
      <c r="AI15" s="21"/>
      <c r="AJ15" s="21">
        <v>0.535172490881337</v>
      </c>
      <c r="AK15" s="21">
        <v>0.34809496912888499</v>
      </c>
      <c r="AL15" s="21"/>
      <c r="AM15" s="21">
        <v>0.806295642658448</v>
      </c>
      <c r="AN15" s="21">
        <v>5.7059412440777703E-2</v>
      </c>
    </row>
    <row r="16" spans="2:40" x14ac:dyDescent="0.35">
      <c r="B16" s="15" t="s">
        <v>135</v>
      </c>
      <c r="C16" s="21">
        <v>0.22473678181897799</v>
      </c>
      <c r="D16" s="21">
        <v>0.17571626383421901</v>
      </c>
      <c r="E16" s="21">
        <v>0.27445102146392503</v>
      </c>
      <c r="F16" s="21"/>
      <c r="G16" s="21">
        <v>0.14741725822093699</v>
      </c>
      <c r="H16" s="21">
        <v>0.22020968979820699</v>
      </c>
      <c r="I16" s="21">
        <v>0.264607929513826</v>
      </c>
      <c r="J16" s="21"/>
      <c r="K16" s="21">
        <v>0.180243324224094</v>
      </c>
      <c r="L16" s="21">
        <v>0.23574740657030199</v>
      </c>
      <c r="M16" s="21">
        <v>0.31949300687826698</v>
      </c>
      <c r="N16" s="21"/>
      <c r="O16" s="21">
        <v>0.234927398446032</v>
      </c>
      <c r="P16" s="21">
        <v>0.13217773474330499</v>
      </c>
      <c r="Q16" s="21"/>
      <c r="R16" s="21">
        <v>0.14656362319506</v>
      </c>
      <c r="S16" s="21">
        <v>0.27852645409848897</v>
      </c>
      <c r="T16" s="21">
        <v>0.26001670494387602</v>
      </c>
      <c r="U16" s="21">
        <v>0.268431888162317</v>
      </c>
      <c r="V16" s="21">
        <v>0.28032422475610702</v>
      </c>
      <c r="W16" s="21">
        <v>0.20756261332437401</v>
      </c>
      <c r="X16" s="21">
        <v>0.21773158372241799</v>
      </c>
      <c r="Y16" s="21">
        <v>0.137008102008218</v>
      </c>
      <c r="Z16" s="21">
        <v>0.20459634028350701</v>
      </c>
      <c r="AA16" s="21"/>
      <c r="AB16" s="21">
        <v>0.36484487685093497</v>
      </c>
      <c r="AC16" s="21">
        <v>6.6875107977467305E-2</v>
      </c>
      <c r="AD16" s="21">
        <v>0.45772304194561603</v>
      </c>
      <c r="AE16" s="21">
        <v>9.4863412875430195E-2</v>
      </c>
      <c r="AF16" s="21"/>
      <c r="AG16" s="21">
        <v>0.13275540527178201</v>
      </c>
      <c r="AH16" s="21">
        <v>0.50273097565010805</v>
      </c>
      <c r="AI16" s="21"/>
      <c r="AJ16" s="21">
        <v>0.262061843546325</v>
      </c>
      <c r="AK16" s="21">
        <v>0.34994745318130699</v>
      </c>
      <c r="AL16" s="21"/>
      <c r="AM16" s="21">
        <v>2.26386488227369E-2</v>
      </c>
      <c r="AN16" s="21">
        <v>0.83161024070992595</v>
      </c>
    </row>
    <row r="17" spans="2:40" x14ac:dyDescent="0.35">
      <c r="B17" s="15" t="s">
        <v>136</v>
      </c>
      <c r="C17" s="22">
        <v>0.28651212144452298</v>
      </c>
      <c r="D17" s="22">
        <v>0.40636647699466399</v>
      </c>
      <c r="E17" s="22">
        <v>0.16632454270293101</v>
      </c>
      <c r="F17" s="22"/>
      <c r="G17" s="22">
        <v>0.39172786183020603</v>
      </c>
      <c r="H17" s="22">
        <v>0.32854765001456698</v>
      </c>
      <c r="I17" s="22">
        <v>0.21775846783755801</v>
      </c>
      <c r="J17" s="22"/>
      <c r="K17" s="22">
        <v>0.36323646845022201</v>
      </c>
      <c r="L17" s="22">
        <v>0.27103228413904701</v>
      </c>
      <c r="M17" s="22">
        <v>0.116445766923301</v>
      </c>
      <c r="N17" s="22"/>
      <c r="O17" s="22">
        <v>0.261889710780353</v>
      </c>
      <c r="P17" s="22">
        <v>0.49769027312676001</v>
      </c>
      <c r="Q17" s="22"/>
      <c r="R17" s="22">
        <v>0.4792071056851</v>
      </c>
      <c r="S17" s="22">
        <v>0.19865183341734199</v>
      </c>
      <c r="T17" s="22">
        <v>0.261672659797274</v>
      </c>
      <c r="U17" s="22">
        <v>0.142686342933872</v>
      </c>
      <c r="V17" s="22">
        <v>0.2026768929179</v>
      </c>
      <c r="W17" s="22">
        <v>0.32115653655222798</v>
      </c>
      <c r="X17" s="22">
        <v>0.246916778003786</v>
      </c>
      <c r="Y17" s="22">
        <v>0.38043294934503202</v>
      </c>
      <c r="Z17" s="22">
        <v>0.32381304638522601</v>
      </c>
      <c r="AA17" s="22"/>
      <c r="AB17" s="22">
        <v>-4.0582500635440097E-2</v>
      </c>
      <c r="AC17" s="22">
        <v>0.74143082864501697</v>
      </c>
      <c r="AD17" s="22">
        <v>-0.163118503102573</v>
      </c>
      <c r="AE17" s="22">
        <v>0.55522852090080399</v>
      </c>
      <c r="AF17" s="22"/>
      <c r="AG17" s="22">
        <v>0.53398791376586696</v>
      </c>
      <c r="AH17" s="22">
        <v>-0.21244216917839601</v>
      </c>
      <c r="AI17" s="22"/>
      <c r="AJ17" s="22">
        <v>0.273110647335013</v>
      </c>
      <c r="AK17" s="22">
        <v>-1.8524840524220499E-3</v>
      </c>
      <c r="AL17" s="22"/>
      <c r="AM17" s="22">
        <v>0.78365699383571097</v>
      </c>
      <c r="AN17" s="22">
        <v>-0.77455082826914801</v>
      </c>
    </row>
    <row r="18" spans="2:40" x14ac:dyDescent="0.35">
      <c r="B18" s="16"/>
    </row>
    <row r="19" spans="2:40" x14ac:dyDescent="0.35">
      <c r="B19" t="s">
        <v>72</v>
      </c>
    </row>
    <row r="20" spans="2:40" x14ac:dyDescent="0.35">
      <c r="B20" t="s">
        <v>73</v>
      </c>
    </row>
    <row r="22" spans="2:40" x14ac:dyDescent="0.35">
      <c r="B22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B2:AN22"/>
  <sheetViews>
    <sheetView showGridLines="0" topLeftCell="A9" workbookViewId="0">
      <pane xSplit="2" topLeftCell="C1" activePane="topRight" state="frozen"/>
      <selection pane="topRight" activeCell="B17" sqref="B17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140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2154</v>
      </c>
      <c r="D7" s="10">
        <v>1116</v>
      </c>
      <c r="E7" s="10">
        <v>1031</v>
      </c>
      <c r="F7" s="10"/>
      <c r="G7" s="10">
        <v>429</v>
      </c>
      <c r="H7" s="10">
        <v>509</v>
      </c>
      <c r="I7" s="10">
        <v>1216</v>
      </c>
      <c r="J7" s="10"/>
      <c r="K7" s="10">
        <v>938</v>
      </c>
      <c r="L7" s="10">
        <v>924</v>
      </c>
      <c r="M7" s="10">
        <v>292</v>
      </c>
      <c r="N7" s="10"/>
      <c r="O7" s="10">
        <v>1847</v>
      </c>
      <c r="P7" s="10">
        <v>260</v>
      </c>
      <c r="Q7" s="10"/>
      <c r="R7" s="10">
        <v>311</v>
      </c>
      <c r="S7" s="10">
        <v>370</v>
      </c>
      <c r="T7" s="10">
        <v>196</v>
      </c>
      <c r="U7" s="10">
        <v>211</v>
      </c>
      <c r="V7" s="10">
        <v>191</v>
      </c>
      <c r="W7" s="10">
        <v>273</v>
      </c>
      <c r="X7" s="10">
        <v>143</v>
      </c>
      <c r="Y7" s="10">
        <v>114</v>
      </c>
      <c r="Z7" s="10">
        <v>345</v>
      </c>
      <c r="AA7" s="10"/>
      <c r="AB7" s="10">
        <v>152</v>
      </c>
      <c r="AC7" s="10">
        <v>147</v>
      </c>
      <c r="AD7" s="10">
        <v>152</v>
      </c>
      <c r="AE7" s="10">
        <v>106</v>
      </c>
      <c r="AF7" s="10"/>
      <c r="AG7" s="10">
        <v>95</v>
      </c>
      <c r="AH7" s="10">
        <v>46</v>
      </c>
      <c r="AI7" s="10"/>
      <c r="AJ7" s="10">
        <v>141</v>
      </c>
      <c r="AK7" s="10">
        <v>131</v>
      </c>
      <c r="AL7" s="10"/>
      <c r="AM7" s="10">
        <v>1237</v>
      </c>
      <c r="AN7" s="10">
        <v>479</v>
      </c>
    </row>
    <row r="8" spans="2:40" ht="30" customHeight="1" x14ac:dyDescent="0.35">
      <c r="B8" s="11" t="s">
        <v>20</v>
      </c>
      <c r="C8" s="11">
        <v>2154</v>
      </c>
      <c r="D8" s="11">
        <v>1073</v>
      </c>
      <c r="E8" s="11">
        <v>1074</v>
      </c>
      <c r="F8" s="11"/>
      <c r="G8" s="11">
        <v>559</v>
      </c>
      <c r="H8" s="11">
        <v>459</v>
      </c>
      <c r="I8" s="11">
        <v>1136</v>
      </c>
      <c r="J8" s="11"/>
      <c r="K8" s="11">
        <v>1018</v>
      </c>
      <c r="L8" s="11">
        <v>745</v>
      </c>
      <c r="M8" s="11">
        <v>391</v>
      </c>
      <c r="N8" s="11"/>
      <c r="O8" s="11">
        <v>1847</v>
      </c>
      <c r="P8" s="11">
        <v>261</v>
      </c>
      <c r="Q8" s="11"/>
      <c r="R8" s="11">
        <v>345</v>
      </c>
      <c r="S8" s="11">
        <v>345</v>
      </c>
      <c r="T8" s="11">
        <v>215</v>
      </c>
      <c r="U8" s="11">
        <v>237</v>
      </c>
      <c r="V8" s="11">
        <v>194</v>
      </c>
      <c r="W8" s="11">
        <v>215</v>
      </c>
      <c r="X8" s="11">
        <v>215</v>
      </c>
      <c r="Y8" s="11">
        <v>108</v>
      </c>
      <c r="Z8" s="11">
        <v>280</v>
      </c>
      <c r="AA8" s="11"/>
      <c r="AB8" s="11">
        <v>117</v>
      </c>
      <c r="AC8" s="11">
        <v>117</v>
      </c>
      <c r="AD8" s="11">
        <v>211</v>
      </c>
      <c r="AE8" s="11">
        <v>141</v>
      </c>
      <c r="AF8" s="11"/>
      <c r="AG8" s="11">
        <v>117</v>
      </c>
      <c r="AH8" s="11">
        <v>63</v>
      </c>
      <c r="AI8" s="11"/>
      <c r="AJ8" s="11">
        <v>180</v>
      </c>
      <c r="AK8" s="11">
        <v>185</v>
      </c>
      <c r="AL8" s="11"/>
      <c r="AM8" s="11">
        <v>1240</v>
      </c>
      <c r="AN8" s="11">
        <v>486</v>
      </c>
    </row>
    <row r="9" spans="2:40" x14ac:dyDescent="0.35">
      <c r="B9" s="15" t="s">
        <v>128</v>
      </c>
      <c r="C9" s="14">
        <v>0.22789423324990399</v>
      </c>
      <c r="D9" s="14">
        <v>0.26346026535196998</v>
      </c>
      <c r="E9" s="14">
        <v>0.19226120516415199</v>
      </c>
      <c r="F9" s="14"/>
      <c r="G9" s="14">
        <v>0.30006322382364198</v>
      </c>
      <c r="H9" s="14">
        <v>0.25432799654185501</v>
      </c>
      <c r="I9" s="14">
        <v>0.18170456714149799</v>
      </c>
      <c r="J9" s="14"/>
      <c r="K9" s="14">
        <v>0.27943872266478598</v>
      </c>
      <c r="L9" s="14">
        <v>0.20235954326757</v>
      </c>
      <c r="M9" s="14">
        <v>0.14242426841446101</v>
      </c>
      <c r="N9" s="14"/>
      <c r="O9" s="14">
        <v>0.21988001155657799</v>
      </c>
      <c r="P9" s="14">
        <v>0.301207246482255</v>
      </c>
      <c r="Q9" s="14"/>
      <c r="R9" s="14">
        <v>0.32238817145561899</v>
      </c>
      <c r="S9" s="14">
        <v>0.18465312082060301</v>
      </c>
      <c r="T9" s="14">
        <v>0.21120345787314301</v>
      </c>
      <c r="U9" s="14">
        <v>0.21286361513794999</v>
      </c>
      <c r="V9" s="14">
        <v>0.18514995098666201</v>
      </c>
      <c r="W9" s="14">
        <v>0.19056204561377901</v>
      </c>
      <c r="X9" s="14">
        <v>0.25468762630833602</v>
      </c>
      <c r="Y9" s="14">
        <v>0.22685725126263601</v>
      </c>
      <c r="Z9" s="14">
        <v>0.22838985372107501</v>
      </c>
      <c r="AA9" s="14"/>
      <c r="AB9" s="14">
        <v>0.125321162148606</v>
      </c>
      <c r="AC9" s="14">
        <v>0.339167009091496</v>
      </c>
      <c r="AD9" s="14">
        <v>6.7926549139856102E-2</v>
      </c>
      <c r="AE9" s="14">
        <v>0.221575500963856</v>
      </c>
      <c r="AF9" s="14"/>
      <c r="AG9" s="14">
        <v>0.35665143523363702</v>
      </c>
      <c r="AH9" s="14">
        <v>3.2218630305755801E-2</v>
      </c>
      <c r="AI9" s="14"/>
      <c r="AJ9" s="14">
        <v>0.243262190582306</v>
      </c>
      <c r="AK9" s="14">
        <v>4.8401326648690901E-2</v>
      </c>
      <c r="AL9" s="14"/>
      <c r="AM9" s="14">
        <v>0.392322045981366</v>
      </c>
      <c r="AN9" s="14">
        <v>3.3517116707848702E-3</v>
      </c>
    </row>
    <row r="10" spans="2:40" x14ac:dyDescent="0.35">
      <c r="B10" s="15" t="s">
        <v>129</v>
      </c>
      <c r="C10" s="14">
        <v>0.30222624818586802</v>
      </c>
      <c r="D10" s="14">
        <v>0.34074824149320099</v>
      </c>
      <c r="E10" s="14">
        <v>0.26305587207693698</v>
      </c>
      <c r="F10" s="14"/>
      <c r="G10" s="14">
        <v>0.36609274665835001</v>
      </c>
      <c r="H10" s="14">
        <v>0.29261587680757301</v>
      </c>
      <c r="I10" s="14">
        <v>0.27468711127668499</v>
      </c>
      <c r="J10" s="14"/>
      <c r="K10" s="14">
        <v>0.33295803021648201</v>
      </c>
      <c r="L10" s="14">
        <v>0.28957716841308601</v>
      </c>
      <c r="M10" s="14">
        <v>0.246370162914678</v>
      </c>
      <c r="N10" s="14"/>
      <c r="O10" s="14">
        <v>0.29450241526586401</v>
      </c>
      <c r="P10" s="14">
        <v>0.347827062854356</v>
      </c>
      <c r="Q10" s="14"/>
      <c r="R10" s="14">
        <v>0.32221137347561402</v>
      </c>
      <c r="S10" s="14">
        <v>0.29746278627116202</v>
      </c>
      <c r="T10" s="14">
        <v>0.25280010426358501</v>
      </c>
      <c r="U10" s="14">
        <v>0.26831878675256599</v>
      </c>
      <c r="V10" s="14">
        <v>0.30296007492244897</v>
      </c>
      <c r="W10" s="14">
        <v>0.32299039246727002</v>
      </c>
      <c r="X10" s="14">
        <v>0.27073039875999699</v>
      </c>
      <c r="Y10" s="14">
        <v>0.34159837198856802</v>
      </c>
      <c r="Z10" s="14">
        <v>0.34266903670464</v>
      </c>
      <c r="AA10" s="14"/>
      <c r="AB10" s="14">
        <v>0.15399967132734299</v>
      </c>
      <c r="AC10" s="14">
        <v>0.38947956091673702</v>
      </c>
      <c r="AD10" s="14">
        <v>0.194866814004374</v>
      </c>
      <c r="AE10" s="14">
        <v>0.34501098396222701</v>
      </c>
      <c r="AF10" s="14"/>
      <c r="AG10" s="14">
        <v>0.42295410068938299</v>
      </c>
      <c r="AH10" s="14">
        <v>0.19047327758076099</v>
      </c>
      <c r="AI10" s="14"/>
      <c r="AJ10" s="14">
        <v>0.34170206782523999</v>
      </c>
      <c r="AK10" s="14">
        <v>0.14249685425726699</v>
      </c>
      <c r="AL10" s="14"/>
      <c r="AM10" s="14">
        <v>0.50342416819729996</v>
      </c>
      <c r="AN10" s="14">
        <v>5.4372161636681397E-3</v>
      </c>
    </row>
    <row r="11" spans="2:40" x14ac:dyDescent="0.35">
      <c r="B11" s="15" t="s">
        <v>130</v>
      </c>
      <c r="C11" s="14">
        <v>0.16371560551817499</v>
      </c>
      <c r="D11" s="14">
        <v>0.14809887562104801</v>
      </c>
      <c r="E11" s="14">
        <v>0.180368967471008</v>
      </c>
      <c r="F11" s="14"/>
      <c r="G11" s="14">
        <v>0.137532140521579</v>
      </c>
      <c r="H11" s="14">
        <v>0.17597900073489101</v>
      </c>
      <c r="I11" s="14">
        <v>0.17164233516333</v>
      </c>
      <c r="J11" s="14"/>
      <c r="K11" s="14">
        <v>0.154869920612585</v>
      </c>
      <c r="L11" s="14">
        <v>0.17826820044781999</v>
      </c>
      <c r="M11" s="14">
        <v>0.159041692775206</v>
      </c>
      <c r="N11" s="14"/>
      <c r="O11" s="14">
        <v>0.16645296061920301</v>
      </c>
      <c r="P11" s="14">
        <v>0.158408459196579</v>
      </c>
      <c r="Q11" s="14"/>
      <c r="R11" s="14">
        <v>0.157099598530898</v>
      </c>
      <c r="S11" s="14">
        <v>0.18025583768458101</v>
      </c>
      <c r="T11" s="14">
        <v>0.154315778894762</v>
      </c>
      <c r="U11" s="14">
        <v>0.18280184648894099</v>
      </c>
      <c r="V11" s="14">
        <v>0.129195210565063</v>
      </c>
      <c r="W11" s="14">
        <v>0.165387661077597</v>
      </c>
      <c r="X11" s="14">
        <v>0.16263448246540299</v>
      </c>
      <c r="Y11" s="14">
        <v>0.13481579840275101</v>
      </c>
      <c r="Z11" s="14">
        <v>0.17716114504143399</v>
      </c>
      <c r="AA11" s="14"/>
      <c r="AB11" s="14">
        <v>0.24206443586854801</v>
      </c>
      <c r="AC11" s="14">
        <v>0.15915728119425701</v>
      </c>
      <c r="AD11" s="14">
        <v>0.177547107615186</v>
      </c>
      <c r="AE11" s="14">
        <v>0.15429116571109999</v>
      </c>
      <c r="AF11" s="14"/>
      <c r="AG11" s="14">
        <v>7.1516642904005501E-2</v>
      </c>
      <c r="AH11" s="14">
        <v>0.109386403692664</v>
      </c>
      <c r="AI11" s="14"/>
      <c r="AJ11" s="14">
        <v>8.4752121886801798E-2</v>
      </c>
      <c r="AK11" s="14">
        <v>0.250055675787765</v>
      </c>
      <c r="AL11" s="14"/>
      <c r="AM11" s="14">
        <v>7.8753056043129099E-2</v>
      </c>
      <c r="AN11" s="14">
        <v>2.7308783355635899E-2</v>
      </c>
    </row>
    <row r="12" spans="2:40" x14ac:dyDescent="0.35">
      <c r="B12" s="15" t="s">
        <v>131</v>
      </c>
      <c r="C12" s="14">
        <v>0.201341006038708</v>
      </c>
      <c r="D12" s="14">
        <v>0.16938788790880899</v>
      </c>
      <c r="E12" s="14">
        <v>0.233018818443223</v>
      </c>
      <c r="F12" s="14"/>
      <c r="G12" s="14">
        <v>0.142818538141816</v>
      </c>
      <c r="H12" s="14">
        <v>0.20254230683029301</v>
      </c>
      <c r="I12" s="14">
        <v>0.22964899918457901</v>
      </c>
      <c r="J12" s="14"/>
      <c r="K12" s="14">
        <v>0.16975123334714201</v>
      </c>
      <c r="L12" s="14">
        <v>0.20726350945639199</v>
      </c>
      <c r="M12" s="14">
        <v>0.27222027684218397</v>
      </c>
      <c r="N12" s="14"/>
      <c r="O12" s="14">
        <v>0.21116685103022301</v>
      </c>
      <c r="P12" s="14">
        <v>0.13437265016817501</v>
      </c>
      <c r="Q12" s="14"/>
      <c r="R12" s="14">
        <v>0.130872492351432</v>
      </c>
      <c r="S12" s="14">
        <v>0.22283833900383301</v>
      </c>
      <c r="T12" s="14">
        <v>0.249027943556311</v>
      </c>
      <c r="U12" s="14">
        <v>0.24386687644747099</v>
      </c>
      <c r="V12" s="14">
        <v>0.22826350214727401</v>
      </c>
      <c r="W12" s="14">
        <v>0.213297644275033</v>
      </c>
      <c r="X12" s="14">
        <v>0.20201443791062601</v>
      </c>
      <c r="Y12" s="14">
        <v>0.19375940166115099</v>
      </c>
      <c r="Z12" s="14">
        <v>0.16364142842260401</v>
      </c>
      <c r="AA12" s="14"/>
      <c r="AB12" s="14">
        <v>0.26438831259922302</v>
      </c>
      <c r="AC12" s="14">
        <v>6.6544933034748302E-2</v>
      </c>
      <c r="AD12" s="14">
        <v>0.34492321853377</v>
      </c>
      <c r="AE12" s="14">
        <v>0.19666062384490801</v>
      </c>
      <c r="AF12" s="14"/>
      <c r="AG12" s="14">
        <v>8.0027011754168306E-2</v>
      </c>
      <c r="AH12" s="14">
        <v>0.30566655457999697</v>
      </c>
      <c r="AI12" s="14"/>
      <c r="AJ12" s="14">
        <v>0.158888017595361</v>
      </c>
      <c r="AK12" s="14">
        <v>0.39378098170841502</v>
      </c>
      <c r="AL12" s="14"/>
      <c r="AM12" s="14">
        <v>2.0865877071291301E-2</v>
      </c>
      <c r="AN12" s="14">
        <v>0.54051650709742705</v>
      </c>
    </row>
    <row r="13" spans="2:40" x14ac:dyDescent="0.35">
      <c r="B13" s="15" t="s">
        <v>132</v>
      </c>
      <c r="C13" s="14">
        <v>0.100200762821814</v>
      </c>
      <c r="D13" s="14">
        <v>7.0780472483024395E-2</v>
      </c>
      <c r="E13" s="14">
        <v>0.12953991200968601</v>
      </c>
      <c r="F13" s="14"/>
      <c r="G13" s="14">
        <v>4.1812904609358402E-2</v>
      </c>
      <c r="H13" s="14">
        <v>7.0956064770402699E-2</v>
      </c>
      <c r="I13" s="14">
        <v>0.14074593489781301</v>
      </c>
      <c r="J13" s="14"/>
      <c r="K13" s="14">
        <v>5.4955140392092199E-2</v>
      </c>
      <c r="L13" s="14">
        <v>0.121737026724884</v>
      </c>
      <c r="M13" s="14">
        <v>0.17689584797202601</v>
      </c>
      <c r="N13" s="14"/>
      <c r="O13" s="14">
        <v>0.103767788030858</v>
      </c>
      <c r="P13" s="14">
        <v>4.9977642897021703E-2</v>
      </c>
      <c r="Q13" s="14"/>
      <c r="R13" s="14">
        <v>6.4674321965531703E-2</v>
      </c>
      <c r="S13" s="14">
        <v>0.114789916219821</v>
      </c>
      <c r="T13" s="14">
        <v>0.124564441096228</v>
      </c>
      <c r="U13" s="14">
        <v>9.2148875173072506E-2</v>
      </c>
      <c r="V13" s="14">
        <v>0.149096467409606</v>
      </c>
      <c r="W13" s="14">
        <v>9.5792575839497698E-2</v>
      </c>
      <c r="X13" s="14">
        <v>9.2916572721497601E-2</v>
      </c>
      <c r="Y13" s="14">
        <v>0.102969176684893</v>
      </c>
      <c r="Z13" s="14">
        <v>8.8138536110246593E-2</v>
      </c>
      <c r="AA13" s="14"/>
      <c r="AB13" s="14">
        <v>0.209185457766769</v>
      </c>
      <c r="AC13" s="14">
        <v>4.56512157627613E-2</v>
      </c>
      <c r="AD13" s="14">
        <v>0.21473631070681401</v>
      </c>
      <c r="AE13" s="14">
        <v>8.2461725517908799E-2</v>
      </c>
      <c r="AF13" s="14"/>
      <c r="AG13" s="14">
        <v>6.8850809418806794E-2</v>
      </c>
      <c r="AH13" s="14">
        <v>0.36225513384082197</v>
      </c>
      <c r="AI13" s="14"/>
      <c r="AJ13" s="14">
        <v>0.17139560211029101</v>
      </c>
      <c r="AK13" s="14">
        <v>0.165265161597863</v>
      </c>
      <c r="AL13" s="14"/>
      <c r="AM13" s="14">
        <v>3.0342285447518E-3</v>
      </c>
      <c r="AN13" s="14">
        <v>0.419503460861683</v>
      </c>
    </row>
    <row r="14" spans="2:40" x14ac:dyDescent="0.35">
      <c r="B14" s="15" t="s">
        <v>133</v>
      </c>
      <c r="C14" s="14">
        <v>4.6221441855302404E-3</v>
      </c>
      <c r="D14" s="14">
        <v>7.5242571419478297E-3</v>
      </c>
      <c r="E14" s="14">
        <v>1.75522483499315E-3</v>
      </c>
      <c r="F14" s="14"/>
      <c r="G14" s="14">
        <v>1.16804462452537E-2</v>
      </c>
      <c r="H14" s="14">
        <v>3.5787543149860602E-3</v>
      </c>
      <c r="I14" s="14">
        <v>1.5710523360949499E-3</v>
      </c>
      <c r="J14" s="14"/>
      <c r="K14" s="14">
        <v>8.0269527669118001E-3</v>
      </c>
      <c r="L14" s="14">
        <v>7.9455169024814499E-4</v>
      </c>
      <c r="M14" s="14">
        <v>3.0477510814447299E-3</v>
      </c>
      <c r="N14" s="14"/>
      <c r="O14" s="14">
        <v>4.2299734972740099E-3</v>
      </c>
      <c r="P14" s="14">
        <v>8.2069384016132899E-3</v>
      </c>
      <c r="Q14" s="14"/>
      <c r="R14" s="14">
        <v>2.7540422209049301E-3</v>
      </c>
      <c r="S14" s="14">
        <v>0</v>
      </c>
      <c r="T14" s="14">
        <v>8.0882743159715106E-3</v>
      </c>
      <c r="U14" s="14">
        <v>0</v>
      </c>
      <c r="V14" s="14">
        <v>5.3347939689473199E-3</v>
      </c>
      <c r="W14" s="14">
        <v>1.1969680726824E-2</v>
      </c>
      <c r="X14" s="14">
        <v>1.7016481834140899E-2</v>
      </c>
      <c r="Y14" s="14">
        <v>0</v>
      </c>
      <c r="Z14" s="14">
        <v>0</v>
      </c>
      <c r="AA14" s="14"/>
      <c r="AB14" s="14">
        <v>5.0409602895109696E-3</v>
      </c>
      <c r="AC14" s="14">
        <v>0</v>
      </c>
      <c r="AD14" s="14">
        <v>0</v>
      </c>
      <c r="AE14" s="14">
        <v>0</v>
      </c>
      <c r="AF14" s="14"/>
      <c r="AG14" s="14">
        <v>0</v>
      </c>
      <c r="AH14" s="14">
        <v>0</v>
      </c>
      <c r="AI14" s="14"/>
      <c r="AJ14" s="14">
        <v>0</v>
      </c>
      <c r="AK14" s="14">
        <v>0</v>
      </c>
      <c r="AL14" s="14"/>
      <c r="AM14" s="14">
        <v>1.60062416216129E-3</v>
      </c>
      <c r="AN14" s="14">
        <v>3.8823208508012002E-3</v>
      </c>
    </row>
    <row r="15" spans="2:40" x14ac:dyDescent="0.35">
      <c r="B15" s="15" t="s">
        <v>134</v>
      </c>
      <c r="C15" s="21">
        <v>0.53012048143577295</v>
      </c>
      <c r="D15" s="21">
        <v>0.60420850684517102</v>
      </c>
      <c r="E15" s="21">
        <v>0.45531707724109</v>
      </c>
      <c r="F15" s="21"/>
      <c r="G15" s="21">
        <v>0.66615597048199204</v>
      </c>
      <c r="H15" s="21">
        <v>0.54694387334942696</v>
      </c>
      <c r="I15" s="21">
        <v>0.45639167841818401</v>
      </c>
      <c r="J15" s="21"/>
      <c r="K15" s="21">
        <v>0.61239675288126805</v>
      </c>
      <c r="L15" s="21">
        <v>0.491936711680656</v>
      </c>
      <c r="M15" s="21">
        <v>0.38879443132913899</v>
      </c>
      <c r="N15" s="21"/>
      <c r="O15" s="21">
        <v>0.51438242682244195</v>
      </c>
      <c r="P15" s="21">
        <v>0.64903430933661099</v>
      </c>
      <c r="Q15" s="21"/>
      <c r="R15" s="21">
        <v>0.64459954493123295</v>
      </c>
      <c r="S15" s="21">
        <v>0.48211590709176499</v>
      </c>
      <c r="T15" s="21">
        <v>0.464003562136727</v>
      </c>
      <c r="U15" s="21">
        <v>0.48118240189051598</v>
      </c>
      <c r="V15" s="21">
        <v>0.48811002590911101</v>
      </c>
      <c r="W15" s="21">
        <v>0.513552438081049</v>
      </c>
      <c r="X15" s="21">
        <v>0.52541802506833302</v>
      </c>
      <c r="Y15" s="21">
        <v>0.56845562325120402</v>
      </c>
      <c r="Z15" s="21">
        <v>0.571058890425715</v>
      </c>
      <c r="AA15" s="21"/>
      <c r="AB15" s="21">
        <v>0.27932083347594899</v>
      </c>
      <c r="AC15" s="21">
        <v>0.72864657000823296</v>
      </c>
      <c r="AD15" s="21">
        <v>0.26279336314423002</v>
      </c>
      <c r="AE15" s="21">
        <v>0.56658648492608299</v>
      </c>
      <c r="AF15" s="21"/>
      <c r="AG15" s="21">
        <v>0.77960553592301995</v>
      </c>
      <c r="AH15" s="21">
        <v>0.22269190788651699</v>
      </c>
      <c r="AI15" s="21"/>
      <c r="AJ15" s="21">
        <v>0.58496425840754596</v>
      </c>
      <c r="AK15" s="21">
        <v>0.190898180905958</v>
      </c>
      <c r="AL15" s="21"/>
      <c r="AM15" s="21">
        <v>0.89574621417866696</v>
      </c>
      <c r="AN15" s="21">
        <v>8.7889278344530208E-3</v>
      </c>
    </row>
    <row r="16" spans="2:40" x14ac:dyDescent="0.35">
      <c r="B16" s="15" t="s">
        <v>135</v>
      </c>
      <c r="C16" s="21">
        <v>0.30154176886052297</v>
      </c>
      <c r="D16" s="21">
        <v>0.24016836039183301</v>
      </c>
      <c r="E16" s="21">
        <v>0.36255873045290898</v>
      </c>
      <c r="F16" s="21"/>
      <c r="G16" s="21">
        <v>0.18463144275117499</v>
      </c>
      <c r="H16" s="21">
        <v>0.27349837160069501</v>
      </c>
      <c r="I16" s="21">
        <v>0.37039493408239199</v>
      </c>
      <c r="J16" s="21"/>
      <c r="K16" s="21">
        <v>0.22470637373923499</v>
      </c>
      <c r="L16" s="21">
        <v>0.329000536181277</v>
      </c>
      <c r="M16" s="21">
        <v>0.44911612481420998</v>
      </c>
      <c r="N16" s="21"/>
      <c r="O16" s="21">
        <v>0.31493463906108099</v>
      </c>
      <c r="P16" s="21">
        <v>0.18435029306519701</v>
      </c>
      <c r="Q16" s="21"/>
      <c r="R16" s="21">
        <v>0.195546814316963</v>
      </c>
      <c r="S16" s="21">
        <v>0.33762825522365397</v>
      </c>
      <c r="T16" s="21">
        <v>0.37359238465253902</v>
      </c>
      <c r="U16" s="21">
        <v>0.33601575162054298</v>
      </c>
      <c r="V16" s="21">
        <v>0.377359969556879</v>
      </c>
      <c r="W16" s="21">
        <v>0.30909022011453002</v>
      </c>
      <c r="X16" s="21">
        <v>0.29493101063212301</v>
      </c>
      <c r="Y16" s="21">
        <v>0.29672857834604399</v>
      </c>
      <c r="Z16" s="21">
        <v>0.25177996453285101</v>
      </c>
      <c r="AA16" s="21"/>
      <c r="AB16" s="21">
        <v>0.47357377036599202</v>
      </c>
      <c r="AC16" s="21">
        <v>0.11219614879751</v>
      </c>
      <c r="AD16" s="21">
        <v>0.55965952924058404</v>
      </c>
      <c r="AE16" s="21">
        <v>0.27912234936281699</v>
      </c>
      <c r="AF16" s="21"/>
      <c r="AG16" s="21">
        <v>0.14887782117297499</v>
      </c>
      <c r="AH16" s="21">
        <v>0.667921688420818</v>
      </c>
      <c r="AI16" s="21"/>
      <c r="AJ16" s="21">
        <v>0.33028361970565201</v>
      </c>
      <c r="AK16" s="21">
        <v>0.559046143306278</v>
      </c>
      <c r="AL16" s="21"/>
      <c r="AM16" s="21">
        <v>2.39001056160431E-2</v>
      </c>
      <c r="AN16" s="21">
        <v>0.96001996795911004</v>
      </c>
    </row>
    <row r="17" spans="2:40" x14ac:dyDescent="0.35">
      <c r="B17" s="15" t="s">
        <v>136</v>
      </c>
      <c r="C17" s="22">
        <v>0.22857871257525</v>
      </c>
      <c r="D17" s="22">
        <v>0.36404014645333799</v>
      </c>
      <c r="E17" s="22">
        <v>9.2758346788180498E-2</v>
      </c>
      <c r="F17" s="22"/>
      <c r="G17" s="22">
        <v>0.481524527730817</v>
      </c>
      <c r="H17" s="22">
        <v>0.273445501748732</v>
      </c>
      <c r="I17" s="22">
        <v>8.5996744335792005E-2</v>
      </c>
      <c r="J17" s="22"/>
      <c r="K17" s="22">
        <v>0.38769037914203403</v>
      </c>
      <c r="L17" s="22">
        <v>0.162936175499379</v>
      </c>
      <c r="M17" s="22">
        <v>-6.0321693485070903E-2</v>
      </c>
      <c r="N17" s="22"/>
      <c r="O17" s="22">
        <v>0.19944778776136199</v>
      </c>
      <c r="P17" s="22">
        <v>0.46468401627141398</v>
      </c>
      <c r="Q17" s="22"/>
      <c r="R17" s="22">
        <v>0.44905273061426998</v>
      </c>
      <c r="S17" s="22">
        <v>0.14448765186811</v>
      </c>
      <c r="T17" s="22">
        <v>9.0411177484188601E-2</v>
      </c>
      <c r="U17" s="22">
        <v>0.145166650269973</v>
      </c>
      <c r="V17" s="22">
        <v>0.11075005635223199</v>
      </c>
      <c r="W17" s="22">
        <v>0.20446221796651901</v>
      </c>
      <c r="X17" s="22">
        <v>0.23048701443621</v>
      </c>
      <c r="Y17" s="22">
        <v>0.27172704490515998</v>
      </c>
      <c r="Z17" s="22">
        <v>0.319278925892864</v>
      </c>
      <c r="AA17" s="22"/>
      <c r="AB17" s="22">
        <v>-0.194252936890042</v>
      </c>
      <c r="AC17" s="22">
        <v>0.61645042121072302</v>
      </c>
      <c r="AD17" s="22">
        <v>-0.29686616609635402</v>
      </c>
      <c r="AE17" s="22">
        <v>0.287464135563266</v>
      </c>
      <c r="AF17" s="22"/>
      <c r="AG17" s="22">
        <v>0.63072771475004497</v>
      </c>
      <c r="AH17" s="22">
        <v>-0.44522978053430101</v>
      </c>
      <c r="AI17" s="22"/>
      <c r="AJ17" s="22">
        <v>0.254680638701894</v>
      </c>
      <c r="AK17" s="22">
        <v>-0.36814796240031999</v>
      </c>
      <c r="AL17" s="22"/>
      <c r="AM17" s="22">
        <v>0.87184610856262301</v>
      </c>
      <c r="AN17" s="22">
        <v>-0.95123104012465698</v>
      </c>
    </row>
    <row r="18" spans="2:40" x14ac:dyDescent="0.35">
      <c r="B18" s="16"/>
    </row>
    <row r="19" spans="2:40" x14ac:dyDescent="0.35">
      <c r="B19" t="s">
        <v>72</v>
      </c>
    </row>
    <row r="20" spans="2:40" x14ac:dyDescent="0.35">
      <c r="B20" t="s">
        <v>73</v>
      </c>
    </row>
    <row r="22" spans="2:40" x14ac:dyDescent="0.35">
      <c r="B22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B2:AN22"/>
  <sheetViews>
    <sheetView showGridLines="0" topLeftCell="A9" workbookViewId="0">
      <pane xSplit="2" topLeftCell="C1" activePane="topRight" state="frozen"/>
      <selection pane="topRight" activeCell="B17" sqref="B17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141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2154</v>
      </c>
      <c r="D7" s="10">
        <v>1116</v>
      </c>
      <c r="E7" s="10">
        <v>1031</v>
      </c>
      <c r="F7" s="10"/>
      <c r="G7" s="10">
        <v>429</v>
      </c>
      <c r="H7" s="10">
        <v>509</v>
      </c>
      <c r="I7" s="10">
        <v>1216</v>
      </c>
      <c r="J7" s="10"/>
      <c r="K7" s="10">
        <v>938</v>
      </c>
      <c r="L7" s="10">
        <v>924</v>
      </c>
      <c r="M7" s="10">
        <v>292</v>
      </c>
      <c r="N7" s="10"/>
      <c r="O7" s="10">
        <v>1847</v>
      </c>
      <c r="P7" s="10">
        <v>260</v>
      </c>
      <c r="Q7" s="10"/>
      <c r="R7" s="10">
        <v>311</v>
      </c>
      <c r="S7" s="10">
        <v>370</v>
      </c>
      <c r="T7" s="10">
        <v>196</v>
      </c>
      <c r="U7" s="10">
        <v>211</v>
      </c>
      <c r="V7" s="10">
        <v>191</v>
      </c>
      <c r="W7" s="10">
        <v>273</v>
      </c>
      <c r="X7" s="10">
        <v>143</v>
      </c>
      <c r="Y7" s="10">
        <v>114</v>
      </c>
      <c r="Z7" s="10">
        <v>345</v>
      </c>
      <c r="AA7" s="10"/>
      <c r="AB7" s="10">
        <v>152</v>
      </c>
      <c r="AC7" s="10">
        <v>147</v>
      </c>
      <c r="AD7" s="10">
        <v>152</v>
      </c>
      <c r="AE7" s="10">
        <v>106</v>
      </c>
      <c r="AF7" s="10"/>
      <c r="AG7" s="10">
        <v>95</v>
      </c>
      <c r="AH7" s="10">
        <v>46</v>
      </c>
      <c r="AI7" s="10"/>
      <c r="AJ7" s="10">
        <v>141</v>
      </c>
      <c r="AK7" s="10">
        <v>131</v>
      </c>
      <c r="AL7" s="10"/>
      <c r="AM7" s="10">
        <v>1237</v>
      </c>
      <c r="AN7" s="10">
        <v>479</v>
      </c>
    </row>
    <row r="8" spans="2:40" ht="30" customHeight="1" x14ac:dyDescent="0.35">
      <c r="B8" s="11" t="s">
        <v>20</v>
      </c>
      <c r="C8" s="11">
        <v>2154</v>
      </c>
      <c r="D8" s="11">
        <v>1073</v>
      </c>
      <c r="E8" s="11">
        <v>1074</v>
      </c>
      <c r="F8" s="11"/>
      <c r="G8" s="11">
        <v>559</v>
      </c>
      <c r="H8" s="11">
        <v>459</v>
      </c>
      <c r="I8" s="11">
        <v>1136</v>
      </c>
      <c r="J8" s="11"/>
      <c r="K8" s="11">
        <v>1018</v>
      </c>
      <c r="L8" s="11">
        <v>745</v>
      </c>
      <c r="M8" s="11">
        <v>391</v>
      </c>
      <c r="N8" s="11"/>
      <c r="O8" s="11">
        <v>1847</v>
      </c>
      <c r="P8" s="11">
        <v>261</v>
      </c>
      <c r="Q8" s="11"/>
      <c r="R8" s="11">
        <v>345</v>
      </c>
      <c r="S8" s="11">
        <v>345</v>
      </c>
      <c r="T8" s="11">
        <v>215</v>
      </c>
      <c r="U8" s="11">
        <v>237</v>
      </c>
      <c r="V8" s="11">
        <v>194</v>
      </c>
      <c r="W8" s="11">
        <v>215</v>
      </c>
      <c r="X8" s="11">
        <v>215</v>
      </c>
      <c r="Y8" s="11">
        <v>108</v>
      </c>
      <c r="Z8" s="11">
        <v>280</v>
      </c>
      <c r="AA8" s="11"/>
      <c r="AB8" s="11">
        <v>117</v>
      </c>
      <c r="AC8" s="11">
        <v>117</v>
      </c>
      <c r="AD8" s="11">
        <v>211</v>
      </c>
      <c r="AE8" s="11">
        <v>141</v>
      </c>
      <c r="AF8" s="11"/>
      <c r="AG8" s="11">
        <v>117</v>
      </c>
      <c r="AH8" s="11">
        <v>63</v>
      </c>
      <c r="AI8" s="11"/>
      <c r="AJ8" s="11">
        <v>180</v>
      </c>
      <c r="AK8" s="11">
        <v>185</v>
      </c>
      <c r="AL8" s="11"/>
      <c r="AM8" s="11">
        <v>1240</v>
      </c>
      <c r="AN8" s="11">
        <v>486</v>
      </c>
    </row>
    <row r="9" spans="2:40" x14ac:dyDescent="0.35">
      <c r="B9" s="15" t="s">
        <v>128</v>
      </c>
      <c r="C9" s="14">
        <v>0.25496129752850999</v>
      </c>
      <c r="D9" s="14">
        <v>0.30693885788070502</v>
      </c>
      <c r="E9" s="14">
        <v>0.203121799572378</v>
      </c>
      <c r="F9" s="14"/>
      <c r="G9" s="14">
        <v>0.31551930781903398</v>
      </c>
      <c r="H9" s="14">
        <v>0.29610627979777099</v>
      </c>
      <c r="I9" s="14">
        <v>0.208539421029106</v>
      </c>
      <c r="J9" s="14"/>
      <c r="K9" s="14">
        <v>0.306764917763103</v>
      </c>
      <c r="L9" s="14">
        <v>0.215744765610934</v>
      </c>
      <c r="M9" s="14">
        <v>0.19483676236332501</v>
      </c>
      <c r="N9" s="14"/>
      <c r="O9" s="14">
        <v>0.246350716525256</v>
      </c>
      <c r="P9" s="14">
        <v>0.32064242621689798</v>
      </c>
      <c r="Q9" s="14"/>
      <c r="R9" s="14">
        <v>0.35325830630722099</v>
      </c>
      <c r="S9" s="14">
        <v>0.21237501442315901</v>
      </c>
      <c r="T9" s="14">
        <v>0.25714844611614901</v>
      </c>
      <c r="U9" s="14">
        <v>0.218440594396241</v>
      </c>
      <c r="V9" s="14">
        <v>0.23468046093579001</v>
      </c>
      <c r="W9" s="14">
        <v>0.28348316580810401</v>
      </c>
      <c r="X9" s="14">
        <v>0.21586295229246399</v>
      </c>
      <c r="Y9" s="14">
        <v>0.25206303242004502</v>
      </c>
      <c r="Z9" s="14">
        <v>0.238841324781707</v>
      </c>
      <c r="AA9" s="14"/>
      <c r="AB9" s="14">
        <v>0.134625424226051</v>
      </c>
      <c r="AC9" s="14">
        <v>0.33070904841237703</v>
      </c>
      <c r="AD9" s="14">
        <v>0.11085088056659</v>
      </c>
      <c r="AE9" s="14">
        <v>0.301313589449001</v>
      </c>
      <c r="AF9" s="14"/>
      <c r="AG9" s="14">
        <v>0.43835890600808702</v>
      </c>
      <c r="AH9" s="14">
        <v>7.4158741524430097E-2</v>
      </c>
      <c r="AI9" s="14"/>
      <c r="AJ9" s="14">
        <v>0.31107097172575598</v>
      </c>
      <c r="AK9" s="14">
        <v>8.6324740477365006E-2</v>
      </c>
      <c r="AL9" s="14"/>
      <c r="AM9" s="14">
        <v>0.43778427046901802</v>
      </c>
      <c r="AN9" s="14">
        <v>5.3730689762767399E-3</v>
      </c>
    </row>
    <row r="10" spans="2:40" x14ac:dyDescent="0.35">
      <c r="B10" s="15" t="s">
        <v>129</v>
      </c>
      <c r="C10" s="14">
        <v>0.39395920509796201</v>
      </c>
      <c r="D10" s="14">
        <v>0.40770050448842199</v>
      </c>
      <c r="E10" s="14">
        <v>0.38129252855038398</v>
      </c>
      <c r="F10" s="14"/>
      <c r="G10" s="14">
        <v>0.45400657396657301</v>
      </c>
      <c r="H10" s="14">
        <v>0.40167067326269701</v>
      </c>
      <c r="I10" s="14">
        <v>0.361299247938208</v>
      </c>
      <c r="J10" s="14"/>
      <c r="K10" s="14">
        <v>0.43040547020324499</v>
      </c>
      <c r="L10" s="14">
        <v>0.38240549875473101</v>
      </c>
      <c r="M10" s="14">
        <v>0.32116074416940699</v>
      </c>
      <c r="N10" s="14"/>
      <c r="O10" s="14">
        <v>0.39243842380308103</v>
      </c>
      <c r="P10" s="14">
        <v>0.41597526109736499</v>
      </c>
      <c r="Q10" s="14"/>
      <c r="R10" s="14">
        <v>0.38982117092046897</v>
      </c>
      <c r="S10" s="14">
        <v>0.39505665501099202</v>
      </c>
      <c r="T10" s="14">
        <v>0.34200696232952699</v>
      </c>
      <c r="U10" s="14">
        <v>0.38074397769243001</v>
      </c>
      <c r="V10" s="14">
        <v>0.445977922610647</v>
      </c>
      <c r="W10" s="14">
        <v>0.372303903996834</v>
      </c>
      <c r="X10" s="14">
        <v>0.39925165493456899</v>
      </c>
      <c r="Y10" s="14">
        <v>0.41362749283740302</v>
      </c>
      <c r="Z10" s="14">
        <v>0.41771973933852702</v>
      </c>
      <c r="AA10" s="14"/>
      <c r="AB10" s="14">
        <v>0.32786814262579</v>
      </c>
      <c r="AC10" s="14">
        <v>0.50244760436406199</v>
      </c>
      <c r="AD10" s="14">
        <v>0.276942337585736</v>
      </c>
      <c r="AE10" s="14">
        <v>0.398441047936552</v>
      </c>
      <c r="AF10" s="14"/>
      <c r="AG10" s="14">
        <v>0.38121648953285098</v>
      </c>
      <c r="AH10" s="14">
        <v>0.25576738851726699</v>
      </c>
      <c r="AI10" s="14"/>
      <c r="AJ10" s="14">
        <v>0.33737203672078903</v>
      </c>
      <c r="AK10" s="14">
        <v>0.30792498516439198</v>
      </c>
      <c r="AL10" s="14"/>
      <c r="AM10" s="14">
        <v>0.53494639396394505</v>
      </c>
      <c r="AN10" s="14">
        <v>7.6258133813702306E-2</v>
      </c>
    </row>
    <row r="11" spans="2:40" x14ac:dyDescent="0.35">
      <c r="B11" s="15" t="s">
        <v>130</v>
      </c>
      <c r="C11" s="14">
        <v>0.187780363007961</v>
      </c>
      <c r="D11" s="14">
        <v>0.16177367895761599</v>
      </c>
      <c r="E11" s="14">
        <v>0.21347542094782401</v>
      </c>
      <c r="F11" s="14"/>
      <c r="G11" s="14">
        <v>0.12963831878561599</v>
      </c>
      <c r="H11" s="14">
        <v>0.168813429154167</v>
      </c>
      <c r="I11" s="14">
        <v>0.22405128779379299</v>
      </c>
      <c r="J11" s="14"/>
      <c r="K11" s="14">
        <v>0.14730450647538901</v>
      </c>
      <c r="L11" s="14">
        <v>0.22030668776057999</v>
      </c>
      <c r="M11" s="14">
        <v>0.231172526134621</v>
      </c>
      <c r="N11" s="14"/>
      <c r="O11" s="14">
        <v>0.19202144504461199</v>
      </c>
      <c r="P11" s="14">
        <v>0.17199674133854201</v>
      </c>
      <c r="Q11" s="14"/>
      <c r="R11" s="14">
        <v>0.16944191861782701</v>
      </c>
      <c r="S11" s="14">
        <v>0.20300159393013401</v>
      </c>
      <c r="T11" s="14">
        <v>0.22078254005949199</v>
      </c>
      <c r="U11" s="14">
        <v>0.19449631692616101</v>
      </c>
      <c r="V11" s="14">
        <v>0.122673727704217</v>
      </c>
      <c r="W11" s="14">
        <v>0.17977858460197099</v>
      </c>
      <c r="X11" s="14">
        <v>0.23758423553958699</v>
      </c>
      <c r="Y11" s="14">
        <v>0.170004660254339</v>
      </c>
      <c r="Z11" s="14">
        <v>0.180463582896911</v>
      </c>
      <c r="AA11" s="14"/>
      <c r="AB11" s="14">
        <v>0.27363597051724597</v>
      </c>
      <c r="AC11" s="14">
        <v>0.134884155205269</v>
      </c>
      <c r="AD11" s="14">
        <v>0.26458290148637997</v>
      </c>
      <c r="AE11" s="14">
        <v>0.20571727290893299</v>
      </c>
      <c r="AF11" s="14"/>
      <c r="AG11" s="14">
        <v>0.12407858022807799</v>
      </c>
      <c r="AH11" s="14">
        <v>0.18704789997605301</v>
      </c>
      <c r="AI11" s="14"/>
      <c r="AJ11" s="14">
        <v>0.14608635346795801</v>
      </c>
      <c r="AK11" s="14">
        <v>0.33101352176869903</v>
      </c>
      <c r="AL11" s="14"/>
      <c r="AM11" s="14">
        <v>2.2995563611835902E-2</v>
      </c>
      <c r="AN11" s="14">
        <v>0.233029983423653</v>
      </c>
    </row>
    <row r="12" spans="2:40" x14ac:dyDescent="0.35">
      <c r="B12" s="15" t="s">
        <v>131</v>
      </c>
      <c r="C12" s="14">
        <v>0.11779544689846599</v>
      </c>
      <c r="D12" s="14">
        <v>8.7533748980638898E-2</v>
      </c>
      <c r="E12" s="14">
        <v>0.146877019578564</v>
      </c>
      <c r="F12" s="14"/>
      <c r="G12" s="14">
        <v>6.7896787136035502E-2</v>
      </c>
      <c r="H12" s="14">
        <v>0.110346509462678</v>
      </c>
      <c r="I12" s="14">
        <v>0.145356081037884</v>
      </c>
      <c r="J12" s="14"/>
      <c r="K12" s="14">
        <v>8.7039675437971906E-2</v>
      </c>
      <c r="L12" s="14">
        <v>0.129515044034269</v>
      </c>
      <c r="M12" s="14">
        <v>0.175481541452368</v>
      </c>
      <c r="N12" s="14"/>
      <c r="O12" s="14">
        <v>0.12513332893333801</v>
      </c>
      <c r="P12" s="14">
        <v>6.3582619508069302E-2</v>
      </c>
      <c r="Q12" s="14"/>
      <c r="R12" s="14">
        <v>5.8386081313721E-2</v>
      </c>
      <c r="S12" s="14">
        <v>0.117257221610315</v>
      </c>
      <c r="T12" s="14">
        <v>0.15031837430321199</v>
      </c>
      <c r="U12" s="14">
        <v>0.157166332168198</v>
      </c>
      <c r="V12" s="14">
        <v>0.160357695780207</v>
      </c>
      <c r="W12" s="14">
        <v>0.112916849947758</v>
      </c>
      <c r="X12" s="14">
        <v>8.3713073738299296E-2</v>
      </c>
      <c r="Y12" s="14">
        <v>0.11971572751611</v>
      </c>
      <c r="Z12" s="14">
        <v>0.133048059338576</v>
      </c>
      <c r="AA12" s="14"/>
      <c r="AB12" s="14">
        <v>0.17604724192058799</v>
      </c>
      <c r="AC12" s="14">
        <v>2.5357963381616999E-2</v>
      </c>
      <c r="AD12" s="14">
        <v>0.23733551105693701</v>
      </c>
      <c r="AE12" s="14">
        <v>6.96162590769695E-2</v>
      </c>
      <c r="AF12" s="14"/>
      <c r="AG12" s="14">
        <v>4.9370927232070601E-2</v>
      </c>
      <c r="AH12" s="14">
        <v>0.300540365289583</v>
      </c>
      <c r="AI12" s="14"/>
      <c r="AJ12" s="14">
        <v>0.137154629830121</v>
      </c>
      <c r="AK12" s="14">
        <v>0.187971327649156</v>
      </c>
      <c r="AL12" s="14"/>
      <c r="AM12" s="14">
        <v>2.2634327899354501E-3</v>
      </c>
      <c r="AN12" s="14">
        <v>0.50115155089566898</v>
      </c>
    </row>
    <row r="13" spans="2:40" x14ac:dyDescent="0.35">
      <c r="B13" s="15" t="s">
        <v>132</v>
      </c>
      <c r="C13" s="14">
        <v>4.14777506425974E-2</v>
      </c>
      <c r="D13" s="14">
        <v>3.0126752590461998E-2</v>
      </c>
      <c r="E13" s="14">
        <v>5.3078272811001997E-2</v>
      </c>
      <c r="F13" s="14"/>
      <c r="G13" s="14">
        <v>2.1437133889482599E-2</v>
      </c>
      <c r="H13" s="14">
        <v>2.30631083226869E-2</v>
      </c>
      <c r="I13" s="14">
        <v>5.8779333840235197E-2</v>
      </c>
      <c r="J13" s="14"/>
      <c r="K13" s="14">
        <v>2.2170374185311301E-2</v>
      </c>
      <c r="L13" s="14">
        <v>4.9015045756908703E-2</v>
      </c>
      <c r="M13" s="14">
        <v>7.7348425880278196E-2</v>
      </c>
      <c r="N13" s="14"/>
      <c r="O13" s="14">
        <v>4.0198354064890501E-2</v>
      </c>
      <c r="P13" s="14">
        <v>2.1880819877716801E-2</v>
      </c>
      <c r="Q13" s="14"/>
      <c r="R13" s="14">
        <v>2.9092522840762299E-2</v>
      </c>
      <c r="S13" s="14">
        <v>5.8874726581978801E-2</v>
      </c>
      <c r="T13" s="14">
        <v>2.97436771916199E-2</v>
      </c>
      <c r="U13" s="14">
        <v>4.9152778816969799E-2</v>
      </c>
      <c r="V13" s="14">
        <v>3.6310192969138601E-2</v>
      </c>
      <c r="W13" s="14">
        <v>4.8255025775203603E-2</v>
      </c>
      <c r="X13" s="14">
        <v>5.2121241401752297E-2</v>
      </c>
      <c r="Y13" s="14">
        <v>4.4589086972103301E-2</v>
      </c>
      <c r="Z13" s="14">
        <v>2.68199229117781E-2</v>
      </c>
      <c r="AA13" s="14"/>
      <c r="AB13" s="14">
        <v>8.7823220710324904E-2</v>
      </c>
      <c r="AC13" s="14">
        <v>6.6012286366745696E-3</v>
      </c>
      <c r="AD13" s="14">
        <v>0.11028836930435799</v>
      </c>
      <c r="AE13" s="14">
        <v>2.4911830628544102E-2</v>
      </c>
      <c r="AF13" s="14"/>
      <c r="AG13" s="14">
        <v>6.9750969989137096E-3</v>
      </c>
      <c r="AH13" s="14">
        <v>0.182485604692668</v>
      </c>
      <c r="AI13" s="14"/>
      <c r="AJ13" s="14">
        <v>6.8316008255376107E-2</v>
      </c>
      <c r="AK13" s="14">
        <v>8.6765424940388206E-2</v>
      </c>
      <c r="AL13" s="14"/>
      <c r="AM13" s="14">
        <v>2.0103391652660199E-3</v>
      </c>
      <c r="AN13" s="14">
        <v>0.17756989488083999</v>
      </c>
    </row>
    <row r="14" spans="2:40" x14ac:dyDescent="0.35">
      <c r="B14" s="15" t="s">
        <v>133</v>
      </c>
      <c r="C14" s="14">
        <v>4.0259368245021496E-3</v>
      </c>
      <c r="D14" s="14">
        <v>5.9264571021556403E-3</v>
      </c>
      <c r="E14" s="14">
        <v>2.1549585398488499E-3</v>
      </c>
      <c r="F14" s="14"/>
      <c r="G14" s="14">
        <v>1.1501878403258999E-2</v>
      </c>
      <c r="H14" s="14">
        <v>0</v>
      </c>
      <c r="I14" s="14">
        <v>1.9746283607732199E-3</v>
      </c>
      <c r="J14" s="14"/>
      <c r="K14" s="14">
        <v>6.3150559349798002E-3</v>
      </c>
      <c r="L14" s="14">
        <v>3.0129580825775299E-3</v>
      </c>
      <c r="M14" s="14">
        <v>0</v>
      </c>
      <c r="N14" s="14"/>
      <c r="O14" s="14">
        <v>3.8577316288222999E-3</v>
      </c>
      <c r="P14" s="14">
        <v>5.9221319614083901E-3</v>
      </c>
      <c r="Q14" s="14"/>
      <c r="R14" s="14">
        <v>0</v>
      </c>
      <c r="S14" s="14">
        <v>1.3434788443421299E-2</v>
      </c>
      <c r="T14" s="14">
        <v>0</v>
      </c>
      <c r="U14" s="14">
        <v>0</v>
      </c>
      <c r="V14" s="14">
        <v>0</v>
      </c>
      <c r="W14" s="14">
        <v>3.26246987012941E-3</v>
      </c>
      <c r="X14" s="14">
        <v>1.1466842093329301E-2</v>
      </c>
      <c r="Y14" s="14">
        <v>0</v>
      </c>
      <c r="Z14" s="14">
        <v>3.1073707324997899E-3</v>
      </c>
      <c r="AA14" s="14"/>
      <c r="AB14" s="14">
        <v>0</v>
      </c>
      <c r="AC14" s="14">
        <v>0</v>
      </c>
      <c r="AD14" s="14">
        <v>0</v>
      </c>
      <c r="AE14" s="14">
        <v>0</v>
      </c>
      <c r="AF14" s="14"/>
      <c r="AG14" s="14">
        <v>0</v>
      </c>
      <c r="AH14" s="14">
        <v>0</v>
      </c>
      <c r="AI14" s="14"/>
      <c r="AJ14" s="14">
        <v>0</v>
      </c>
      <c r="AK14" s="14">
        <v>0</v>
      </c>
      <c r="AL14" s="14"/>
      <c r="AM14" s="14">
        <v>0</v>
      </c>
      <c r="AN14" s="14">
        <v>6.6173680098580304E-3</v>
      </c>
    </row>
    <row r="15" spans="2:40" x14ac:dyDescent="0.35">
      <c r="B15" s="15" t="s">
        <v>134</v>
      </c>
      <c r="C15" s="21">
        <v>0.64892050262647305</v>
      </c>
      <c r="D15" s="21">
        <v>0.71463936236912695</v>
      </c>
      <c r="E15" s="21">
        <v>0.58441432812276195</v>
      </c>
      <c r="F15" s="21"/>
      <c r="G15" s="21">
        <v>0.76952588178560699</v>
      </c>
      <c r="H15" s="21">
        <v>0.69777695306046805</v>
      </c>
      <c r="I15" s="21">
        <v>0.56983866896731405</v>
      </c>
      <c r="J15" s="21"/>
      <c r="K15" s="21">
        <v>0.73717038796634804</v>
      </c>
      <c r="L15" s="21">
        <v>0.59815026436566499</v>
      </c>
      <c r="M15" s="21">
        <v>0.51599750653273202</v>
      </c>
      <c r="N15" s="21"/>
      <c r="O15" s="21">
        <v>0.638789140328337</v>
      </c>
      <c r="P15" s="21">
        <v>0.73661768731426402</v>
      </c>
      <c r="Q15" s="21"/>
      <c r="R15" s="21">
        <v>0.74307947722768997</v>
      </c>
      <c r="S15" s="21">
        <v>0.60743166943415094</v>
      </c>
      <c r="T15" s="21">
        <v>0.59915540844567605</v>
      </c>
      <c r="U15" s="21">
        <v>0.59918457208867104</v>
      </c>
      <c r="V15" s="21">
        <v>0.68065838354643704</v>
      </c>
      <c r="W15" s="21">
        <v>0.65578706980493795</v>
      </c>
      <c r="X15" s="21">
        <v>0.61511460722703204</v>
      </c>
      <c r="Y15" s="21">
        <v>0.66569052525744798</v>
      </c>
      <c r="Z15" s="21">
        <v>0.65656106412023496</v>
      </c>
      <c r="AA15" s="21"/>
      <c r="AB15" s="21">
        <v>0.46249356685184101</v>
      </c>
      <c r="AC15" s="21">
        <v>0.83315665277644002</v>
      </c>
      <c r="AD15" s="21">
        <v>0.38779321815232598</v>
      </c>
      <c r="AE15" s="21">
        <v>0.69975463738555299</v>
      </c>
      <c r="AF15" s="21"/>
      <c r="AG15" s="21">
        <v>0.81957539554093795</v>
      </c>
      <c r="AH15" s="21">
        <v>0.32992613004169702</v>
      </c>
      <c r="AI15" s="21"/>
      <c r="AJ15" s="21">
        <v>0.64844300844654501</v>
      </c>
      <c r="AK15" s="21">
        <v>0.39424972564175698</v>
      </c>
      <c r="AL15" s="21"/>
      <c r="AM15" s="21">
        <v>0.97273066443296297</v>
      </c>
      <c r="AN15" s="21">
        <v>8.1631202789978999E-2</v>
      </c>
    </row>
    <row r="16" spans="2:40" x14ac:dyDescent="0.35">
      <c r="B16" s="15" t="s">
        <v>135</v>
      </c>
      <c r="C16" s="21">
        <v>0.159273197541064</v>
      </c>
      <c r="D16" s="21">
        <v>0.117660501571101</v>
      </c>
      <c r="E16" s="21">
        <v>0.199955292389566</v>
      </c>
      <c r="F16" s="21"/>
      <c r="G16" s="21">
        <v>8.9333921025518098E-2</v>
      </c>
      <c r="H16" s="21">
        <v>0.133409617785365</v>
      </c>
      <c r="I16" s="21">
        <v>0.20413541487812001</v>
      </c>
      <c r="J16" s="21"/>
      <c r="K16" s="21">
        <v>0.109210049623283</v>
      </c>
      <c r="L16" s="21">
        <v>0.17853008979117699</v>
      </c>
      <c r="M16" s="21">
        <v>0.25282996733264601</v>
      </c>
      <c r="N16" s="21"/>
      <c r="O16" s="21">
        <v>0.16533168299822801</v>
      </c>
      <c r="P16" s="21">
        <v>8.54634393857861E-2</v>
      </c>
      <c r="Q16" s="21"/>
      <c r="R16" s="21">
        <v>8.7478604154483205E-2</v>
      </c>
      <c r="S16" s="21">
        <v>0.176131948192294</v>
      </c>
      <c r="T16" s="21">
        <v>0.18006205149483201</v>
      </c>
      <c r="U16" s="21">
        <v>0.206319110985168</v>
      </c>
      <c r="V16" s="21">
        <v>0.19666788874934599</v>
      </c>
      <c r="W16" s="21">
        <v>0.16117187572296099</v>
      </c>
      <c r="X16" s="21">
        <v>0.13583431514005201</v>
      </c>
      <c r="Y16" s="21">
        <v>0.16430481448821299</v>
      </c>
      <c r="Z16" s="21">
        <v>0.15986798225035401</v>
      </c>
      <c r="AA16" s="21"/>
      <c r="AB16" s="21">
        <v>0.26387046263091302</v>
      </c>
      <c r="AC16" s="21">
        <v>3.1959192018291602E-2</v>
      </c>
      <c r="AD16" s="21">
        <v>0.34762388036129399</v>
      </c>
      <c r="AE16" s="21">
        <v>9.4528089705513602E-2</v>
      </c>
      <c r="AF16" s="21"/>
      <c r="AG16" s="21">
        <v>5.6346024230984303E-2</v>
      </c>
      <c r="AH16" s="21">
        <v>0.48302596998225</v>
      </c>
      <c r="AI16" s="21"/>
      <c r="AJ16" s="21">
        <v>0.20547063808549701</v>
      </c>
      <c r="AK16" s="21">
        <v>0.274736752589544</v>
      </c>
      <c r="AL16" s="21"/>
      <c r="AM16" s="21">
        <v>4.27377195520147E-3</v>
      </c>
      <c r="AN16" s="21">
        <v>0.67872144577650995</v>
      </c>
    </row>
    <row r="17" spans="2:40" x14ac:dyDescent="0.35">
      <c r="B17" s="15" t="s">
        <v>136</v>
      </c>
      <c r="C17" s="22">
        <v>0.48964730508540899</v>
      </c>
      <c r="D17" s="22">
        <v>0.59697886079802598</v>
      </c>
      <c r="E17" s="22">
        <v>0.38445903573319601</v>
      </c>
      <c r="F17" s="22"/>
      <c r="G17" s="22">
        <v>0.68019196076008903</v>
      </c>
      <c r="H17" s="22">
        <v>0.56436733527510297</v>
      </c>
      <c r="I17" s="22">
        <v>0.36570325408919402</v>
      </c>
      <c r="J17" s="22"/>
      <c r="K17" s="22">
        <v>0.62796033834306497</v>
      </c>
      <c r="L17" s="22">
        <v>0.41962017457448703</v>
      </c>
      <c r="M17" s="22">
        <v>0.26316753920008601</v>
      </c>
      <c r="N17" s="22"/>
      <c r="O17" s="22">
        <v>0.47345745733010802</v>
      </c>
      <c r="P17" s="22">
        <v>0.65115424792847698</v>
      </c>
      <c r="Q17" s="22"/>
      <c r="R17" s="22">
        <v>0.65560087307320702</v>
      </c>
      <c r="S17" s="22">
        <v>0.431299721241857</v>
      </c>
      <c r="T17" s="22">
        <v>0.41909335695084399</v>
      </c>
      <c r="U17" s="22">
        <v>0.39286546110350301</v>
      </c>
      <c r="V17" s="22">
        <v>0.483990494797091</v>
      </c>
      <c r="W17" s="22">
        <v>0.49461519408197602</v>
      </c>
      <c r="X17" s="22">
        <v>0.47928029208698097</v>
      </c>
      <c r="Y17" s="22">
        <v>0.50138571076923499</v>
      </c>
      <c r="Z17" s="22">
        <v>0.49669308186988098</v>
      </c>
      <c r="AA17" s="22"/>
      <c r="AB17" s="22">
        <v>0.19862310422092799</v>
      </c>
      <c r="AC17" s="22">
        <v>0.80119746075814802</v>
      </c>
      <c r="AD17" s="22">
        <v>4.01693377910314E-2</v>
      </c>
      <c r="AE17" s="22">
        <v>0.60522654768003903</v>
      </c>
      <c r="AF17" s="22"/>
      <c r="AG17" s="22">
        <v>0.76322937130995305</v>
      </c>
      <c r="AH17" s="22">
        <v>-0.15309983994055301</v>
      </c>
      <c r="AI17" s="22"/>
      <c r="AJ17" s="22">
        <v>0.44297237036104697</v>
      </c>
      <c r="AK17" s="22">
        <v>0.11951297305221301</v>
      </c>
      <c r="AL17" s="22"/>
      <c r="AM17" s="22">
        <v>0.96845689247776101</v>
      </c>
      <c r="AN17" s="22">
        <v>-0.59709024298653102</v>
      </c>
    </row>
    <row r="18" spans="2:40" x14ac:dyDescent="0.35">
      <c r="B18" s="16"/>
    </row>
    <row r="19" spans="2:40" x14ac:dyDescent="0.35">
      <c r="B19" t="s">
        <v>72</v>
      </c>
    </row>
    <row r="20" spans="2:40" x14ac:dyDescent="0.35">
      <c r="B20" t="s">
        <v>73</v>
      </c>
    </row>
    <row r="22" spans="2:40" x14ac:dyDescent="0.35">
      <c r="B22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B2:AN22"/>
  <sheetViews>
    <sheetView showGridLines="0" topLeftCell="A6" workbookViewId="0">
      <pane xSplit="2" topLeftCell="C1" activePane="topRight" state="frozen"/>
      <selection pane="topRight" activeCell="B22" sqref="B22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142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2154</v>
      </c>
      <c r="D7" s="10">
        <v>1116</v>
      </c>
      <c r="E7" s="10">
        <v>1031</v>
      </c>
      <c r="F7" s="10"/>
      <c r="G7" s="10">
        <v>429</v>
      </c>
      <c r="H7" s="10">
        <v>509</v>
      </c>
      <c r="I7" s="10">
        <v>1216</v>
      </c>
      <c r="J7" s="10"/>
      <c r="K7" s="10">
        <v>938</v>
      </c>
      <c r="L7" s="10">
        <v>924</v>
      </c>
      <c r="M7" s="10">
        <v>292</v>
      </c>
      <c r="N7" s="10"/>
      <c r="O7" s="10">
        <v>1847</v>
      </c>
      <c r="P7" s="10">
        <v>260</v>
      </c>
      <c r="Q7" s="10"/>
      <c r="R7" s="10">
        <v>311</v>
      </c>
      <c r="S7" s="10">
        <v>370</v>
      </c>
      <c r="T7" s="10">
        <v>196</v>
      </c>
      <c r="U7" s="10">
        <v>211</v>
      </c>
      <c r="V7" s="10">
        <v>191</v>
      </c>
      <c r="W7" s="10">
        <v>273</v>
      </c>
      <c r="X7" s="10">
        <v>143</v>
      </c>
      <c r="Y7" s="10">
        <v>114</v>
      </c>
      <c r="Z7" s="10">
        <v>345</v>
      </c>
      <c r="AA7" s="10"/>
      <c r="AB7" s="10">
        <v>152</v>
      </c>
      <c r="AC7" s="10">
        <v>147</v>
      </c>
      <c r="AD7" s="10">
        <v>152</v>
      </c>
      <c r="AE7" s="10">
        <v>106</v>
      </c>
      <c r="AF7" s="10"/>
      <c r="AG7" s="10">
        <v>95</v>
      </c>
      <c r="AH7" s="10">
        <v>46</v>
      </c>
      <c r="AI7" s="10"/>
      <c r="AJ7" s="10">
        <v>141</v>
      </c>
      <c r="AK7" s="10">
        <v>131</v>
      </c>
      <c r="AL7" s="10"/>
      <c r="AM7" s="10">
        <v>1237</v>
      </c>
      <c r="AN7" s="10">
        <v>479</v>
      </c>
    </row>
    <row r="8" spans="2:40" ht="30" customHeight="1" x14ac:dyDescent="0.35">
      <c r="B8" s="11" t="s">
        <v>20</v>
      </c>
      <c r="C8" s="11">
        <v>2154</v>
      </c>
      <c r="D8" s="11">
        <v>1073</v>
      </c>
      <c r="E8" s="11">
        <v>1074</v>
      </c>
      <c r="F8" s="11"/>
      <c r="G8" s="11">
        <v>559</v>
      </c>
      <c r="H8" s="11">
        <v>459</v>
      </c>
      <c r="I8" s="11">
        <v>1136</v>
      </c>
      <c r="J8" s="11"/>
      <c r="K8" s="11">
        <v>1018</v>
      </c>
      <c r="L8" s="11">
        <v>745</v>
      </c>
      <c r="M8" s="11">
        <v>391</v>
      </c>
      <c r="N8" s="11"/>
      <c r="O8" s="11">
        <v>1847</v>
      </c>
      <c r="P8" s="11">
        <v>261</v>
      </c>
      <c r="Q8" s="11"/>
      <c r="R8" s="11">
        <v>345</v>
      </c>
      <c r="S8" s="11">
        <v>345</v>
      </c>
      <c r="T8" s="11">
        <v>215</v>
      </c>
      <c r="U8" s="11">
        <v>237</v>
      </c>
      <c r="V8" s="11">
        <v>194</v>
      </c>
      <c r="W8" s="11">
        <v>215</v>
      </c>
      <c r="X8" s="11">
        <v>215</v>
      </c>
      <c r="Y8" s="11">
        <v>108</v>
      </c>
      <c r="Z8" s="11">
        <v>280</v>
      </c>
      <c r="AA8" s="11"/>
      <c r="AB8" s="11">
        <v>117</v>
      </c>
      <c r="AC8" s="11">
        <v>117</v>
      </c>
      <c r="AD8" s="11">
        <v>211</v>
      </c>
      <c r="AE8" s="11">
        <v>141</v>
      </c>
      <c r="AF8" s="11"/>
      <c r="AG8" s="11">
        <v>117</v>
      </c>
      <c r="AH8" s="11">
        <v>63</v>
      </c>
      <c r="AI8" s="11"/>
      <c r="AJ8" s="11">
        <v>180</v>
      </c>
      <c r="AK8" s="11">
        <v>185</v>
      </c>
      <c r="AL8" s="11"/>
      <c r="AM8" s="11">
        <v>1240</v>
      </c>
      <c r="AN8" s="11">
        <v>486</v>
      </c>
    </row>
    <row r="9" spans="2:40" x14ac:dyDescent="0.35">
      <c r="B9" s="15" t="s">
        <v>128</v>
      </c>
      <c r="C9" s="14">
        <v>0.17230716082349901</v>
      </c>
      <c r="D9" s="14">
        <v>0.13167190038267601</v>
      </c>
      <c r="E9" s="14">
        <v>0.21326886720411301</v>
      </c>
      <c r="F9" s="14"/>
      <c r="G9" s="14">
        <v>0.168877179042703</v>
      </c>
      <c r="H9" s="14">
        <v>0.178854379668345</v>
      </c>
      <c r="I9" s="14">
        <v>0.17134896504518499</v>
      </c>
      <c r="J9" s="14"/>
      <c r="K9" s="14">
        <v>0.17337644138588201</v>
      </c>
      <c r="L9" s="14">
        <v>0.16616183823411501</v>
      </c>
      <c r="M9" s="14">
        <v>0.18121350758593699</v>
      </c>
      <c r="N9" s="14"/>
      <c r="O9" s="14">
        <v>0.167933796218735</v>
      </c>
      <c r="P9" s="14">
        <v>0.19972219509682801</v>
      </c>
      <c r="Q9" s="14"/>
      <c r="R9" s="14">
        <v>0.19034636360873</v>
      </c>
      <c r="S9" s="14">
        <v>0.159343236483585</v>
      </c>
      <c r="T9" s="14">
        <v>0.18988510052194299</v>
      </c>
      <c r="U9" s="14">
        <v>0.18634851924557799</v>
      </c>
      <c r="V9" s="14">
        <v>0.103089155544469</v>
      </c>
      <c r="W9" s="14">
        <v>0.198066199914432</v>
      </c>
      <c r="X9" s="14">
        <v>0.15225349337688901</v>
      </c>
      <c r="Y9" s="14">
        <v>0.22980833807173001</v>
      </c>
      <c r="Z9" s="14">
        <v>0.16206959241525601</v>
      </c>
      <c r="AA9" s="14"/>
      <c r="AB9" s="14">
        <v>0.27052111620647201</v>
      </c>
      <c r="AC9" s="14">
        <v>0.13603557606613001</v>
      </c>
      <c r="AD9" s="14">
        <v>0.202454808632061</v>
      </c>
      <c r="AE9" s="14">
        <v>0.10783773314230199</v>
      </c>
      <c r="AF9" s="14"/>
      <c r="AG9" s="14">
        <v>0.110807369480036</v>
      </c>
      <c r="AH9" s="14">
        <v>0.154872160131176</v>
      </c>
      <c r="AI9" s="14"/>
      <c r="AJ9" s="14">
        <v>0.12620801100505799</v>
      </c>
      <c r="AK9" s="14">
        <v>0.214147067824525</v>
      </c>
      <c r="AL9" s="14"/>
      <c r="AM9" s="14">
        <v>0.13693896146402201</v>
      </c>
      <c r="AN9" s="14">
        <v>0.29887875138533199</v>
      </c>
    </row>
    <row r="10" spans="2:40" x14ac:dyDescent="0.35">
      <c r="B10" s="15" t="s">
        <v>129</v>
      </c>
      <c r="C10" s="14">
        <v>0.311729386234673</v>
      </c>
      <c r="D10" s="14">
        <v>0.27984867838378202</v>
      </c>
      <c r="E10" s="14">
        <v>0.34333841215504302</v>
      </c>
      <c r="F10" s="14"/>
      <c r="G10" s="14">
        <v>0.27328616085897001</v>
      </c>
      <c r="H10" s="14">
        <v>0.33674164071547702</v>
      </c>
      <c r="I10" s="14">
        <v>0.32053611077826299</v>
      </c>
      <c r="J10" s="14"/>
      <c r="K10" s="14">
        <v>0.30190168756823399</v>
      </c>
      <c r="L10" s="14">
        <v>0.32090946586312702</v>
      </c>
      <c r="M10" s="14">
        <v>0.319826088206695</v>
      </c>
      <c r="N10" s="14"/>
      <c r="O10" s="14">
        <v>0.31343979018625301</v>
      </c>
      <c r="P10" s="14">
        <v>0.31188923428166898</v>
      </c>
      <c r="Q10" s="14"/>
      <c r="R10" s="14">
        <v>0.27652714118113297</v>
      </c>
      <c r="S10" s="14">
        <v>0.32736941220586302</v>
      </c>
      <c r="T10" s="14">
        <v>0.33548783649480102</v>
      </c>
      <c r="U10" s="14">
        <v>0.32116928584854798</v>
      </c>
      <c r="V10" s="14">
        <v>0.34107831553244</v>
      </c>
      <c r="W10" s="14">
        <v>0.32655292595096902</v>
      </c>
      <c r="X10" s="14">
        <v>0.30088285043086299</v>
      </c>
      <c r="Y10" s="14">
        <v>0.278767611454936</v>
      </c>
      <c r="Z10" s="14">
        <v>0.29892498008062501</v>
      </c>
      <c r="AA10" s="14"/>
      <c r="AB10" s="14">
        <v>0.37510679914870998</v>
      </c>
      <c r="AC10" s="14">
        <v>0.30716808111473298</v>
      </c>
      <c r="AD10" s="14">
        <v>0.39644942156833601</v>
      </c>
      <c r="AE10" s="14">
        <v>0.20709561790710301</v>
      </c>
      <c r="AF10" s="14"/>
      <c r="AG10" s="14">
        <v>0.20899170997709099</v>
      </c>
      <c r="AH10" s="14">
        <v>0.38713084328027603</v>
      </c>
      <c r="AI10" s="14"/>
      <c r="AJ10" s="14">
        <v>0.27125132571656901</v>
      </c>
      <c r="AK10" s="14">
        <v>0.367384386333514</v>
      </c>
      <c r="AL10" s="14"/>
      <c r="AM10" s="14">
        <v>0.225853246955632</v>
      </c>
      <c r="AN10" s="14">
        <v>0.44323974982339298</v>
      </c>
    </row>
    <row r="11" spans="2:40" x14ac:dyDescent="0.35">
      <c r="B11" s="15" t="s">
        <v>130</v>
      </c>
      <c r="C11" s="14">
        <v>0.249230838386021</v>
      </c>
      <c r="D11" s="14">
        <v>0.25970416383739398</v>
      </c>
      <c r="E11" s="14">
        <v>0.23802930448709</v>
      </c>
      <c r="F11" s="14"/>
      <c r="G11" s="14">
        <v>0.25612840316368501</v>
      </c>
      <c r="H11" s="14">
        <v>0.19440677520118599</v>
      </c>
      <c r="I11" s="14">
        <v>0.26799191780383802</v>
      </c>
      <c r="J11" s="14"/>
      <c r="K11" s="14">
        <v>0.228294764563928</v>
      </c>
      <c r="L11" s="14">
        <v>0.269528293429035</v>
      </c>
      <c r="M11" s="14">
        <v>0.26507013793121398</v>
      </c>
      <c r="N11" s="14"/>
      <c r="O11" s="14">
        <v>0.24715162456885201</v>
      </c>
      <c r="P11" s="14">
        <v>0.2647763307514</v>
      </c>
      <c r="Q11" s="14"/>
      <c r="R11" s="14">
        <v>0.27509362522750402</v>
      </c>
      <c r="S11" s="14">
        <v>0.25195734414239901</v>
      </c>
      <c r="T11" s="14">
        <v>0.254138511659531</v>
      </c>
      <c r="U11" s="14">
        <v>0.19500861423515201</v>
      </c>
      <c r="V11" s="14">
        <v>0.247479175328368</v>
      </c>
      <c r="W11" s="14">
        <v>0.241270628926327</v>
      </c>
      <c r="X11" s="14">
        <v>0.23863319175252301</v>
      </c>
      <c r="Y11" s="14">
        <v>0.291692376285975</v>
      </c>
      <c r="Z11" s="14">
        <v>0.255217007096608</v>
      </c>
      <c r="AA11" s="14"/>
      <c r="AB11" s="14">
        <v>0.207268909555898</v>
      </c>
      <c r="AC11" s="14">
        <v>0.27722336872926601</v>
      </c>
      <c r="AD11" s="14">
        <v>0.24995481904957301</v>
      </c>
      <c r="AE11" s="14">
        <v>0.30805009259717198</v>
      </c>
      <c r="AF11" s="14"/>
      <c r="AG11" s="14">
        <v>0.31763223981139499</v>
      </c>
      <c r="AH11" s="14">
        <v>0.289529147903895</v>
      </c>
      <c r="AI11" s="14"/>
      <c r="AJ11" s="14">
        <v>0.30781021098028899</v>
      </c>
      <c r="AK11" s="14">
        <v>0.23808488860642199</v>
      </c>
      <c r="AL11" s="14"/>
      <c r="AM11" s="14">
        <v>0.28561372770193399</v>
      </c>
      <c r="AN11" s="14">
        <v>0.123482244244547</v>
      </c>
    </row>
    <row r="12" spans="2:40" x14ac:dyDescent="0.35">
      <c r="B12" s="15" t="s">
        <v>131</v>
      </c>
      <c r="C12" s="14">
        <v>0.203685950411954</v>
      </c>
      <c r="D12" s="14">
        <v>0.248048186644904</v>
      </c>
      <c r="E12" s="14">
        <v>0.159555946733304</v>
      </c>
      <c r="F12" s="14"/>
      <c r="G12" s="14">
        <v>0.221867440367576</v>
      </c>
      <c r="H12" s="14">
        <v>0.22924563531689901</v>
      </c>
      <c r="I12" s="14">
        <v>0.18441171616959501</v>
      </c>
      <c r="J12" s="14"/>
      <c r="K12" s="14">
        <v>0.225194669711928</v>
      </c>
      <c r="L12" s="14">
        <v>0.18805457077461801</v>
      </c>
      <c r="M12" s="14">
        <v>0.17748397070859401</v>
      </c>
      <c r="N12" s="14"/>
      <c r="O12" s="14">
        <v>0.20428898615709501</v>
      </c>
      <c r="P12" s="14">
        <v>0.19384007953684701</v>
      </c>
      <c r="Q12" s="14"/>
      <c r="R12" s="14">
        <v>0.21823696953382801</v>
      </c>
      <c r="S12" s="14">
        <v>0.19055806230809999</v>
      </c>
      <c r="T12" s="14">
        <v>0.175675452359705</v>
      </c>
      <c r="U12" s="14">
        <v>0.245377649213564</v>
      </c>
      <c r="V12" s="14">
        <v>0.234101396581188</v>
      </c>
      <c r="W12" s="14">
        <v>0.16385534286793799</v>
      </c>
      <c r="X12" s="14">
        <v>0.206573852367997</v>
      </c>
      <c r="Y12" s="14">
        <v>0.19171623716199501</v>
      </c>
      <c r="Z12" s="14">
        <v>0.20006151606375</v>
      </c>
      <c r="AA12" s="14"/>
      <c r="AB12" s="14">
        <v>0.14184345253901501</v>
      </c>
      <c r="AC12" s="14">
        <v>0.194903340431021</v>
      </c>
      <c r="AD12" s="14">
        <v>0.11699383471451801</v>
      </c>
      <c r="AE12" s="14">
        <v>0.28166935886274602</v>
      </c>
      <c r="AF12" s="14"/>
      <c r="AG12" s="14">
        <v>0.273569669800662</v>
      </c>
      <c r="AH12" s="14">
        <v>0.100647968842667</v>
      </c>
      <c r="AI12" s="14"/>
      <c r="AJ12" s="14">
        <v>0.21313354633340301</v>
      </c>
      <c r="AK12" s="14">
        <v>0.140389794797215</v>
      </c>
      <c r="AL12" s="14"/>
      <c r="AM12" s="14">
        <v>0.27471436478422601</v>
      </c>
      <c r="AN12" s="14">
        <v>7.8638864676394096E-2</v>
      </c>
    </row>
    <row r="13" spans="2:40" x14ac:dyDescent="0.35">
      <c r="B13" s="15" t="s">
        <v>132</v>
      </c>
      <c r="C13" s="14">
        <v>4.4814951760972603E-2</v>
      </c>
      <c r="D13" s="14">
        <v>5.5492338104050597E-2</v>
      </c>
      <c r="E13" s="14">
        <v>3.4447837428684597E-2</v>
      </c>
      <c r="F13" s="14"/>
      <c r="G13" s="14">
        <v>4.2813445064071698E-2</v>
      </c>
      <c r="H13" s="14">
        <v>4.8104254183096197E-2</v>
      </c>
      <c r="I13" s="14">
        <v>4.4470479932425103E-2</v>
      </c>
      <c r="J13" s="14"/>
      <c r="K13" s="14">
        <v>4.5199358621126597E-2</v>
      </c>
      <c r="L13" s="14">
        <v>4.5287213049996201E-2</v>
      </c>
      <c r="M13" s="14">
        <v>4.2917269672454898E-2</v>
      </c>
      <c r="N13" s="14"/>
      <c r="O13" s="14">
        <v>4.8084175827748002E-2</v>
      </c>
      <c r="P13" s="14">
        <v>2.6337194833966699E-2</v>
      </c>
      <c r="Q13" s="14"/>
      <c r="R13" s="14">
        <v>2.5252300391628402E-2</v>
      </c>
      <c r="S13" s="14">
        <v>5.1484250020344603E-2</v>
      </c>
      <c r="T13" s="14">
        <v>2.4517527595870701E-2</v>
      </c>
      <c r="U13" s="14">
        <v>3.9884617175165303E-2</v>
      </c>
      <c r="V13" s="14">
        <v>5.50314348857519E-2</v>
      </c>
      <c r="W13" s="14">
        <v>4.6270176004010698E-2</v>
      </c>
      <c r="X13" s="14">
        <v>7.1305863118697105E-2</v>
      </c>
      <c r="Y13" s="14">
        <v>8.0154370253643897E-3</v>
      </c>
      <c r="Z13" s="14">
        <v>6.6116997625270096E-2</v>
      </c>
      <c r="AA13" s="14"/>
      <c r="AB13" s="14">
        <v>5.25972254990471E-3</v>
      </c>
      <c r="AC13" s="14">
        <v>8.4669633658849802E-2</v>
      </c>
      <c r="AD13" s="14">
        <v>2.40307505264672E-2</v>
      </c>
      <c r="AE13" s="14">
        <v>8.3390127335153705E-2</v>
      </c>
      <c r="AF13" s="14"/>
      <c r="AG13" s="14">
        <v>8.8999010930816302E-2</v>
      </c>
      <c r="AH13" s="14">
        <v>3.3838157907967598E-2</v>
      </c>
      <c r="AI13" s="14"/>
      <c r="AJ13" s="14">
        <v>6.9720296313858093E-2</v>
      </c>
      <c r="AK13" s="14">
        <v>2.2994895365555001E-2</v>
      </c>
      <c r="AL13" s="14"/>
      <c r="AM13" s="14">
        <v>6.0471395542529699E-2</v>
      </c>
      <c r="AN13" s="14">
        <v>3.6024337491484197E-2</v>
      </c>
    </row>
    <row r="14" spans="2:40" x14ac:dyDescent="0.35">
      <c r="B14" s="15" t="s">
        <v>133</v>
      </c>
      <c r="C14" s="14">
        <v>1.82317123828796E-2</v>
      </c>
      <c r="D14" s="14">
        <v>2.52347326471931E-2</v>
      </c>
      <c r="E14" s="14">
        <v>1.13596319917655E-2</v>
      </c>
      <c r="F14" s="14"/>
      <c r="G14" s="14">
        <v>3.7027371502994198E-2</v>
      </c>
      <c r="H14" s="14">
        <v>1.26473149149964E-2</v>
      </c>
      <c r="I14" s="14">
        <v>1.1240810270693499E-2</v>
      </c>
      <c r="J14" s="14"/>
      <c r="K14" s="14">
        <v>2.6033078148900501E-2</v>
      </c>
      <c r="L14" s="14">
        <v>1.0058618649107801E-2</v>
      </c>
      <c r="M14" s="14">
        <v>1.34890258951052E-2</v>
      </c>
      <c r="N14" s="14"/>
      <c r="O14" s="14">
        <v>1.9101627041316401E-2</v>
      </c>
      <c r="P14" s="14">
        <v>3.4349654992893199E-3</v>
      </c>
      <c r="Q14" s="14"/>
      <c r="R14" s="14">
        <v>1.45436000571762E-2</v>
      </c>
      <c r="S14" s="14">
        <v>1.92876948397082E-2</v>
      </c>
      <c r="T14" s="14">
        <v>2.0295571368149998E-2</v>
      </c>
      <c r="U14" s="14">
        <v>1.2211314281992401E-2</v>
      </c>
      <c r="V14" s="14">
        <v>1.9220522127784301E-2</v>
      </c>
      <c r="W14" s="14">
        <v>2.3984726336324199E-2</v>
      </c>
      <c r="X14" s="14">
        <v>3.03507489530307E-2</v>
      </c>
      <c r="Y14" s="14">
        <v>0</v>
      </c>
      <c r="Z14" s="14">
        <v>1.76099067184897E-2</v>
      </c>
      <c r="AA14" s="14"/>
      <c r="AB14" s="14">
        <v>0</v>
      </c>
      <c r="AC14" s="14">
        <v>0</v>
      </c>
      <c r="AD14" s="14">
        <v>1.0116365509044699E-2</v>
      </c>
      <c r="AE14" s="14">
        <v>1.19570701555228E-2</v>
      </c>
      <c r="AF14" s="14"/>
      <c r="AG14" s="14">
        <v>0</v>
      </c>
      <c r="AH14" s="14">
        <v>3.3981721934019098E-2</v>
      </c>
      <c r="AI14" s="14"/>
      <c r="AJ14" s="14">
        <v>1.18766096508228E-2</v>
      </c>
      <c r="AK14" s="14">
        <v>1.6998967072768201E-2</v>
      </c>
      <c r="AL14" s="14"/>
      <c r="AM14" s="14">
        <v>1.6408303551656199E-2</v>
      </c>
      <c r="AN14" s="14">
        <v>1.97360523788494E-2</v>
      </c>
    </row>
    <row r="15" spans="2:40" x14ac:dyDescent="0.35">
      <c r="B15" s="15" t="s">
        <v>134</v>
      </c>
      <c r="C15" s="21">
        <v>0.48403654705817201</v>
      </c>
      <c r="D15" s="21">
        <v>0.41152057876645898</v>
      </c>
      <c r="E15" s="21">
        <v>0.55660727935915599</v>
      </c>
      <c r="F15" s="21"/>
      <c r="G15" s="21">
        <v>0.442163339901673</v>
      </c>
      <c r="H15" s="21">
        <v>0.51559602038382202</v>
      </c>
      <c r="I15" s="21">
        <v>0.49188507582344798</v>
      </c>
      <c r="J15" s="21"/>
      <c r="K15" s="21">
        <v>0.47527812895411697</v>
      </c>
      <c r="L15" s="21">
        <v>0.48707130409724197</v>
      </c>
      <c r="M15" s="21">
        <v>0.50103959579263102</v>
      </c>
      <c r="N15" s="21"/>
      <c r="O15" s="21">
        <v>0.48137358640498901</v>
      </c>
      <c r="P15" s="21">
        <v>0.51161142937849702</v>
      </c>
      <c r="Q15" s="21"/>
      <c r="R15" s="21">
        <v>0.466873504789863</v>
      </c>
      <c r="S15" s="21">
        <v>0.48671264868944802</v>
      </c>
      <c r="T15" s="21">
        <v>0.52537293701674304</v>
      </c>
      <c r="U15" s="21">
        <v>0.50751780509412703</v>
      </c>
      <c r="V15" s="21">
        <v>0.44416747107690802</v>
      </c>
      <c r="W15" s="21">
        <v>0.52461912586540005</v>
      </c>
      <c r="X15" s="21">
        <v>0.45313634380775197</v>
      </c>
      <c r="Y15" s="21">
        <v>0.50857594952666596</v>
      </c>
      <c r="Z15" s="21">
        <v>0.46099457249588099</v>
      </c>
      <c r="AA15" s="21"/>
      <c r="AB15" s="21">
        <v>0.64562791535518205</v>
      </c>
      <c r="AC15" s="21">
        <v>0.44320365718086302</v>
      </c>
      <c r="AD15" s="21">
        <v>0.59890423020039696</v>
      </c>
      <c r="AE15" s="21">
        <v>0.31493335104940501</v>
      </c>
      <c r="AF15" s="21"/>
      <c r="AG15" s="21">
        <v>0.31979907945712699</v>
      </c>
      <c r="AH15" s="21">
        <v>0.54200300341145202</v>
      </c>
      <c r="AI15" s="21"/>
      <c r="AJ15" s="21">
        <v>0.39745933672162698</v>
      </c>
      <c r="AK15" s="21">
        <v>0.58153145415803897</v>
      </c>
      <c r="AL15" s="21"/>
      <c r="AM15" s="21">
        <v>0.36279220841965398</v>
      </c>
      <c r="AN15" s="21">
        <v>0.74211850120872502</v>
      </c>
    </row>
    <row r="16" spans="2:40" x14ac:dyDescent="0.35">
      <c r="B16" s="15" t="s">
        <v>135</v>
      </c>
      <c r="C16" s="21">
        <v>0.248500902172927</v>
      </c>
      <c r="D16" s="21">
        <v>0.30354052474895399</v>
      </c>
      <c r="E16" s="21">
        <v>0.19400378416198899</v>
      </c>
      <c r="F16" s="21"/>
      <c r="G16" s="21">
        <v>0.26468088543164803</v>
      </c>
      <c r="H16" s="21">
        <v>0.27734988949999601</v>
      </c>
      <c r="I16" s="21">
        <v>0.22888219610202001</v>
      </c>
      <c r="J16" s="21"/>
      <c r="K16" s="21">
        <v>0.27039402833305498</v>
      </c>
      <c r="L16" s="21">
        <v>0.23334178382461501</v>
      </c>
      <c r="M16" s="21">
        <v>0.220401240381049</v>
      </c>
      <c r="N16" s="21"/>
      <c r="O16" s="21">
        <v>0.252373161984843</v>
      </c>
      <c r="P16" s="21">
        <v>0.220177274370814</v>
      </c>
      <c r="Q16" s="21"/>
      <c r="R16" s="21">
        <v>0.243489269925457</v>
      </c>
      <c r="S16" s="21">
        <v>0.242042312328445</v>
      </c>
      <c r="T16" s="21">
        <v>0.200192979955575</v>
      </c>
      <c r="U16" s="21">
        <v>0.28526226638872898</v>
      </c>
      <c r="V16" s="21">
        <v>0.28913283146693902</v>
      </c>
      <c r="W16" s="21">
        <v>0.210125518871949</v>
      </c>
      <c r="X16" s="21">
        <v>0.27787971548669399</v>
      </c>
      <c r="Y16" s="21">
        <v>0.19973167418735899</v>
      </c>
      <c r="Z16" s="21">
        <v>0.26617851368902101</v>
      </c>
      <c r="AA16" s="21"/>
      <c r="AB16" s="21">
        <v>0.14710317508892001</v>
      </c>
      <c r="AC16" s="21">
        <v>0.27957297408987097</v>
      </c>
      <c r="AD16" s="21">
        <v>0.14102458524098499</v>
      </c>
      <c r="AE16" s="21">
        <v>0.36505948619790002</v>
      </c>
      <c r="AF16" s="21"/>
      <c r="AG16" s="21">
        <v>0.36256868073147802</v>
      </c>
      <c r="AH16" s="21">
        <v>0.13448612675063401</v>
      </c>
      <c r="AI16" s="21"/>
      <c r="AJ16" s="21">
        <v>0.28285384264726099</v>
      </c>
      <c r="AK16" s="21">
        <v>0.16338469016276999</v>
      </c>
      <c r="AL16" s="21"/>
      <c r="AM16" s="21">
        <v>0.33518576032675501</v>
      </c>
      <c r="AN16" s="21">
        <v>0.114663202167878</v>
      </c>
    </row>
    <row r="17" spans="2:40" x14ac:dyDescent="0.35">
      <c r="B17" s="15" t="s">
        <v>136</v>
      </c>
      <c r="C17" s="22">
        <v>0.235535644885246</v>
      </c>
      <c r="D17" s="22">
        <v>0.107980054017505</v>
      </c>
      <c r="E17" s="22">
        <v>0.362603495197167</v>
      </c>
      <c r="F17" s="22"/>
      <c r="G17" s="22">
        <v>0.177482454470026</v>
      </c>
      <c r="H17" s="22">
        <v>0.23824613088382701</v>
      </c>
      <c r="I17" s="22">
        <v>0.263002879721428</v>
      </c>
      <c r="J17" s="22"/>
      <c r="K17" s="22">
        <v>0.20488410062106199</v>
      </c>
      <c r="L17" s="22">
        <v>0.25372952027262702</v>
      </c>
      <c r="M17" s="22">
        <v>0.280638355411582</v>
      </c>
      <c r="N17" s="22"/>
      <c r="O17" s="22">
        <v>0.22900042442014601</v>
      </c>
      <c r="P17" s="22">
        <v>0.29143415500768299</v>
      </c>
      <c r="Q17" s="22"/>
      <c r="R17" s="22">
        <v>0.22338423486440601</v>
      </c>
      <c r="S17" s="22">
        <v>0.24467033636100299</v>
      </c>
      <c r="T17" s="22">
        <v>0.32517995706116798</v>
      </c>
      <c r="U17" s="22">
        <v>0.22225553870539699</v>
      </c>
      <c r="V17" s="22">
        <v>0.15503463960996899</v>
      </c>
      <c r="W17" s="22">
        <v>0.31449360699345202</v>
      </c>
      <c r="X17" s="22">
        <v>0.17525662832105801</v>
      </c>
      <c r="Y17" s="22">
        <v>0.30884427533930597</v>
      </c>
      <c r="Z17" s="22">
        <v>0.19481605880686101</v>
      </c>
      <c r="AA17" s="22"/>
      <c r="AB17" s="22">
        <v>0.49852474026626298</v>
      </c>
      <c r="AC17" s="22">
        <v>0.16363068309099099</v>
      </c>
      <c r="AD17" s="22">
        <v>0.45787964495941202</v>
      </c>
      <c r="AE17" s="22">
        <v>-5.0126135148495399E-2</v>
      </c>
      <c r="AF17" s="22"/>
      <c r="AG17" s="22">
        <v>-4.2769601274350998E-2</v>
      </c>
      <c r="AH17" s="22">
        <v>0.40751687666081698</v>
      </c>
      <c r="AI17" s="22"/>
      <c r="AJ17" s="22">
        <v>0.114605494074366</v>
      </c>
      <c r="AK17" s="22">
        <v>0.41814676399526901</v>
      </c>
      <c r="AL17" s="22"/>
      <c r="AM17" s="22">
        <v>2.7606448092899E-2</v>
      </c>
      <c r="AN17" s="22">
        <v>0.62745529904084696</v>
      </c>
    </row>
    <row r="18" spans="2:40" x14ac:dyDescent="0.35">
      <c r="B18" s="16"/>
    </row>
    <row r="19" spans="2:40" x14ac:dyDescent="0.35">
      <c r="B19" t="s">
        <v>72</v>
      </c>
    </row>
    <row r="20" spans="2:40" x14ac:dyDescent="0.35">
      <c r="B20" t="s">
        <v>73</v>
      </c>
    </row>
    <row r="22" spans="2:40" x14ac:dyDescent="0.35">
      <c r="B22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B2:AN1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146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2154</v>
      </c>
      <c r="D7" s="10">
        <v>1116</v>
      </c>
      <c r="E7" s="10">
        <v>1031</v>
      </c>
      <c r="F7" s="10"/>
      <c r="G7" s="10">
        <v>429</v>
      </c>
      <c r="H7" s="10">
        <v>509</v>
      </c>
      <c r="I7" s="10">
        <v>1216</v>
      </c>
      <c r="J7" s="10"/>
      <c r="K7" s="10">
        <v>938</v>
      </c>
      <c r="L7" s="10">
        <v>924</v>
      </c>
      <c r="M7" s="10">
        <v>292</v>
      </c>
      <c r="N7" s="10"/>
      <c r="O7" s="10">
        <v>1847</v>
      </c>
      <c r="P7" s="10">
        <v>260</v>
      </c>
      <c r="Q7" s="10"/>
      <c r="R7" s="10">
        <v>311</v>
      </c>
      <c r="S7" s="10">
        <v>370</v>
      </c>
      <c r="T7" s="10">
        <v>196</v>
      </c>
      <c r="U7" s="10">
        <v>211</v>
      </c>
      <c r="V7" s="10">
        <v>191</v>
      </c>
      <c r="W7" s="10">
        <v>273</v>
      </c>
      <c r="X7" s="10">
        <v>143</v>
      </c>
      <c r="Y7" s="10">
        <v>114</v>
      </c>
      <c r="Z7" s="10">
        <v>345</v>
      </c>
      <c r="AA7" s="10"/>
      <c r="AB7" s="10">
        <v>152</v>
      </c>
      <c r="AC7" s="10">
        <v>147</v>
      </c>
      <c r="AD7" s="10">
        <v>152</v>
      </c>
      <c r="AE7" s="10">
        <v>106</v>
      </c>
      <c r="AF7" s="10"/>
      <c r="AG7" s="10">
        <v>95</v>
      </c>
      <c r="AH7" s="10">
        <v>46</v>
      </c>
      <c r="AI7" s="10"/>
      <c r="AJ7" s="10">
        <v>141</v>
      </c>
      <c r="AK7" s="10">
        <v>131</v>
      </c>
      <c r="AL7" s="10"/>
      <c r="AM7" s="10">
        <v>1237</v>
      </c>
      <c r="AN7" s="10">
        <v>479</v>
      </c>
    </row>
    <row r="8" spans="2:40" ht="30" customHeight="1" x14ac:dyDescent="0.35">
      <c r="B8" s="11" t="s">
        <v>20</v>
      </c>
      <c r="C8" s="11">
        <v>2154</v>
      </c>
      <c r="D8" s="11">
        <v>1073</v>
      </c>
      <c r="E8" s="11">
        <v>1074</v>
      </c>
      <c r="F8" s="11"/>
      <c r="G8" s="11">
        <v>559</v>
      </c>
      <c r="H8" s="11">
        <v>459</v>
      </c>
      <c r="I8" s="11">
        <v>1136</v>
      </c>
      <c r="J8" s="11"/>
      <c r="K8" s="11">
        <v>1018</v>
      </c>
      <c r="L8" s="11">
        <v>745</v>
      </c>
      <c r="M8" s="11">
        <v>391</v>
      </c>
      <c r="N8" s="11"/>
      <c r="O8" s="11">
        <v>1847</v>
      </c>
      <c r="P8" s="11">
        <v>261</v>
      </c>
      <c r="Q8" s="11"/>
      <c r="R8" s="11">
        <v>345</v>
      </c>
      <c r="S8" s="11">
        <v>345</v>
      </c>
      <c r="T8" s="11">
        <v>215</v>
      </c>
      <c r="U8" s="11">
        <v>237</v>
      </c>
      <c r="V8" s="11">
        <v>194</v>
      </c>
      <c r="W8" s="11">
        <v>215</v>
      </c>
      <c r="X8" s="11">
        <v>215</v>
      </c>
      <c r="Y8" s="11">
        <v>108</v>
      </c>
      <c r="Z8" s="11">
        <v>280</v>
      </c>
      <c r="AA8" s="11"/>
      <c r="AB8" s="11">
        <v>117</v>
      </c>
      <c r="AC8" s="11">
        <v>117</v>
      </c>
      <c r="AD8" s="11">
        <v>211</v>
      </c>
      <c r="AE8" s="11">
        <v>141</v>
      </c>
      <c r="AF8" s="11"/>
      <c r="AG8" s="11">
        <v>117</v>
      </c>
      <c r="AH8" s="11">
        <v>63</v>
      </c>
      <c r="AI8" s="11"/>
      <c r="AJ8" s="11">
        <v>180</v>
      </c>
      <c r="AK8" s="11">
        <v>185</v>
      </c>
      <c r="AL8" s="11"/>
      <c r="AM8" s="11">
        <v>1240</v>
      </c>
      <c r="AN8" s="11">
        <v>486</v>
      </c>
    </row>
    <row r="9" spans="2:40" ht="29" x14ac:dyDescent="0.35">
      <c r="B9" s="15" t="s">
        <v>143</v>
      </c>
      <c r="C9" s="14">
        <v>0.210233374765909</v>
      </c>
      <c r="D9" s="14">
        <v>0.17325575377868499</v>
      </c>
      <c r="E9" s="14">
        <v>0.247110094353135</v>
      </c>
      <c r="F9" s="14"/>
      <c r="G9" s="14">
        <v>0.147351160458741</v>
      </c>
      <c r="H9" s="14">
        <v>0.203692595856138</v>
      </c>
      <c r="I9" s="14">
        <v>0.243815012418273</v>
      </c>
      <c r="J9" s="14"/>
      <c r="K9" s="14">
        <v>0.172758577644747</v>
      </c>
      <c r="L9" s="14">
        <v>0.23413584473269999</v>
      </c>
      <c r="M9" s="14">
        <v>0.262222227986946</v>
      </c>
      <c r="N9" s="14"/>
      <c r="O9" s="14">
        <v>0.218183234077648</v>
      </c>
      <c r="P9" s="14">
        <v>0.14334744271314301</v>
      </c>
      <c r="Q9" s="14"/>
      <c r="R9" s="14">
        <v>0.16856055780811099</v>
      </c>
      <c r="S9" s="14">
        <v>0.204995353653425</v>
      </c>
      <c r="T9" s="14">
        <v>0.25469894119389802</v>
      </c>
      <c r="U9" s="14">
        <v>0.23981051169731599</v>
      </c>
      <c r="V9" s="14">
        <v>0.22122669749335699</v>
      </c>
      <c r="W9" s="14">
        <v>0.18372868219937299</v>
      </c>
      <c r="X9" s="14">
        <v>0.23368662062110099</v>
      </c>
      <c r="Y9" s="14">
        <v>0.275614398305358</v>
      </c>
      <c r="Z9" s="14">
        <v>0.178363968166696</v>
      </c>
      <c r="AA9" s="14"/>
      <c r="AB9" s="14">
        <v>0.31013362564035302</v>
      </c>
      <c r="AC9" s="14">
        <v>0.13614741520611401</v>
      </c>
      <c r="AD9" s="14">
        <v>0.28100169451018803</v>
      </c>
      <c r="AE9" s="14">
        <v>0.229773811145906</v>
      </c>
      <c r="AF9" s="14"/>
      <c r="AG9" s="14">
        <v>0.23528676469641499</v>
      </c>
      <c r="AH9" s="14">
        <v>0.30478038365709798</v>
      </c>
      <c r="AI9" s="14"/>
      <c r="AJ9" s="14">
        <v>0.25957478009544599</v>
      </c>
      <c r="AK9" s="14">
        <v>0.24088472707646899</v>
      </c>
      <c r="AL9" s="14"/>
      <c r="AM9" s="14">
        <v>9.5463796495497993E-2</v>
      </c>
      <c r="AN9" s="14">
        <v>0.46752711677850201</v>
      </c>
    </row>
    <row r="10" spans="2:40" ht="43.5" x14ac:dyDescent="0.35">
      <c r="B10" s="15" t="s">
        <v>144</v>
      </c>
      <c r="C10" s="14">
        <v>0.18517239018550399</v>
      </c>
      <c r="D10" s="14">
        <v>0.17855734763460099</v>
      </c>
      <c r="E10" s="14">
        <v>0.19297951422238399</v>
      </c>
      <c r="F10" s="14"/>
      <c r="G10" s="14">
        <v>0.19013953266605099</v>
      </c>
      <c r="H10" s="14">
        <v>0.193942016318745</v>
      </c>
      <c r="I10" s="14">
        <v>0.179184665170527</v>
      </c>
      <c r="J10" s="14"/>
      <c r="K10" s="14">
        <v>0.19185427933207899</v>
      </c>
      <c r="L10" s="14">
        <v>0.183355509252176</v>
      </c>
      <c r="M10" s="14">
        <v>0.17125282344526399</v>
      </c>
      <c r="N10" s="14"/>
      <c r="O10" s="14">
        <v>0.17903174596576299</v>
      </c>
      <c r="P10" s="14">
        <v>0.23122598290166299</v>
      </c>
      <c r="Q10" s="14"/>
      <c r="R10" s="14">
        <v>0.175305121528359</v>
      </c>
      <c r="S10" s="14">
        <v>0.175622712640877</v>
      </c>
      <c r="T10" s="14">
        <v>0.15484840539082001</v>
      </c>
      <c r="U10" s="14">
        <v>0.17419011399197801</v>
      </c>
      <c r="V10" s="14">
        <v>0.18005193366762501</v>
      </c>
      <c r="W10" s="14">
        <v>0.190602988392265</v>
      </c>
      <c r="X10" s="14">
        <v>0.188693787620478</v>
      </c>
      <c r="Y10" s="14">
        <v>0.16768864704365699</v>
      </c>
      <c r="Z10" s="14">
        <v>0.245094662265924</v>
      </c>
      <c r="AA10" s="14"/>
      <c r="AB10" s="14">
        <v>0.17569827357703</v>
      </c>
      <c r="AC10" s="14">
        <v>0.243193883689447</v>
      </c>
      <c r="AD10" s="14">
        <v>0.150549299158276</v>
      </c>
      <c r="AE10" s="14">
        <v>0.20468593028901999</v>
      </c>
      <c r="AF10" s="14"/>
      <c r="AG10" s="14">
        <v>0.26363973093291798</v>
      </c>
      <c r="AH10" s="14">
        <v>0.167377489054301</v>
      </c>
      <c r="AI10" s="14"/>
      <c r="AJ10" s="14">
        <v>0.22999608352960901</v>
      </c>
      <c r="AK10" s="14">
        <v>0.10982090583585601</v>
      </c>
      <c r="AL10" s="14"/>
      <c r="AM10" s="14">
        <v>0.24410816463728999</v>
      </c>
      <c r="AN10" s="14">
        <v>6.9496007721531305E-2</v>
      </c>
    </row>
    <row r="11" spans="2:40" ht="29" x14ac:dyDescent="0.35">
      <c r="B11" s="15" t="s">
        <v>145</v>
      </c>
      <c r="C11" s="14">
        <v>0.54289092554931195</v>
      </c>
      <c r="D11" s="14">
        <v>0.58803828014979298</v>
      </c>
      <c r="E11" s="14">
        <v>0.49742459301841502</v>
      </c>
      <c r="F11" s="14"/>
      <c r="G11" s="14">
        <v>0.567883535772157</v>
      </c>
      <c r="H11" s="14">
        <v>0.53857304350039803</v>
      </c>
      <c r="I11" s="14">
        <v>0.53233927566502803</v>
      </c>
      <c r="J11" s="14"/>
      <c r="K11" s="14">
        <v>0.55466584084083104</v>
      </c>
      <c r="L11" s="14">
        <v>0.53828184642432297</v>
      </c>
      <c r="M11" s="14">
        <v>0.52103807864563101</v>
      </c>
      <c r="N11" s="14"/>
      <c r="O11" s="14">
        <v>0.53863032467540894</v>
      </c>
      <c r="P11" s="14">
        <v>0.58819201236312901</v>
      </c>
      <c r="Q11" s="14"/>
      <c r="R11" s="14">
        <v>0.62358101335885097</v>
      </c>
      <c r="S11" s="14">
        <v>0.54751591532973598</v>
      </c>
      <c r="T11" s="14">
        <v>0.50979531402861999</v>
      </c>
      <c r="U11" s="14">
        <v>0.514010086343475</v>
      </c>
      <c r="V11" s="14">
        <v>0.52022643086454901</v>
      </c>
      <c r="W11" s="14">
        <v>0.53727868305239401</v>
      </c>
      <c r="X11" s="14">
        <v>0.53456564295984699</v>
      </c>
      <c r="Y11" s="14">
        <v>0.49354309412502001</v>
      </c>
      <c r="Z11" s="14">
        <v>0.53306828217367297</v>
      </c>
      <c r="AA11" s="14"/>
      <c r="AB11" s="14">
        <v>0.49120116740082798</v>
      </c>
      <c r="AC11" s="14">
        <v>0.60920986802411903</v>
      </c>
      <c r="AD11" s="14">
        <v>0.51399101268499303</v>
      </c>
      <c r="AE11" s="14">
        <v>0.56554025856507395</v>
      </c>
      <c r="AF11" s="14"/>
      <c r="AG11" s="14">
        <v>0.47757698677799698</v>
      </c>
      <c r="AH11" s="14">
        <v>0.48165870895189</v>
      </c>
      <c r="AI11" s="14"/>
      <c r="AJ11" s="14">
        <v>0.47900354841770898</v>
      </c>
      <c r="AK11" s="14">
        <v>0.61412972741841698</v>
      </c>
      <c r="AL11" s="14"/>
      <c r="AM11" s="14">
        <v>0.61665060951566397</v>
      </c>
      <c r="AN11" s="14">
        <v>0.373850031614538</v>
      </c>
    </row>
    <row r="12" spans="2:40" x14ac:dyDescent="0.35">
      <c r="B12" s="15" t="s">
        <v>70</v>
      </c>
      <c r="C12" s="20">
        <v>6.17033094992753E-2</v>
      </c>
      <c r="D12" s="20">
        <v>6.0148618436920501E-2</v>
      </c>
      <c r="E12" s="20">
        <v>6.24857984060661E-2</v>
      </c>
      <c r="F12" s="20"/>
      <c r="G12" s="20">
        <v>9.4625771103052106E-2</v>
      </c>
      <c r="H12" s="20">
        <v>6.3792344324718905E-2</v>
      </c>
      <c r="I12" s="20">
        <v>4.4661046746172002E-2</v>
      </c>
      <c r="J12" s="20"/>
      <c r="K12" s="20">
        <v>8.0721302182342206E-2</v>
      </c>
      <c r="L12" s="20">
        <v>4.4226799590800503E-2</v>
      </c>
      <c r="M12" s="20">
        <v>4.5486869922158599E-2</v>
      </c>
      <c r="N12" s="20"/>
      <c r="O12" s="20">
        <v>6.4154695281180896E-2</v>
      </c>
      <c r="P12" s="20">
        <v>3.7234562022064897E-2</v>
      </c>
      <c r="Q12" s="20"/>
      <c r="R12" s="20">
        <v>3.2553307304679098E-2</v>
      </c>
      <c r="S12" s="20">
        <v>7.1866018375962598E-2</v>
      </c>
      <c r="T12" s="20">
        <v>8.0657339386662294E-2</v>
      </c>
      <c r="U12" s="20">
        <v>7.1989287967231794E-2</v>
      </c>
      <c r="V12" s="20">
        <v>7.8494937974469395E-2</v>
      </c>
      <c r="W12" s="20">
        <v>8.8389646355968493E-2</v>
      </c>
      <c r="X12" s="20">
        <v>4.3053948798574999E-2</v>
      </c>
      <c r="Y12" s="20">
        <v>6.3153860525965E-2</v>
      </c>
      <c r="Z12" s="20">
        <v>4.3473087393707699E-2</v>
      </c>
      <c r="AA12" s="20"/>
      <c r="AB12" s="20">
        <v>2.2966933381789501E-2</v>
      </c>
      <c r="AC12" s="20">
        <v>1.14488330803207E-2</v>
      </c>
      <c r="AD12" s="20">
        <v>5.44579936465426E-2</v>
      </c>
      <c r="AE12" s="20">
        <v>0</v>
      </c>
      <c r="AF12" s="20"/>
      <c r="AG12" s="20">
        <v>2.3496517592670799E-2</v>
      </c>
      <c r="AH12" s="20">
        <v>4.6183418336712197E-2</v>
      </c>
      <c r="AI12" s="20"/>
      <c r="AJ12" s="20">
        <v>3.1425587957236503E-2</v>
      </c>
      <c r="AK12" s="20">
        <v>3.51646396692585E-2</v>
      </c>
      <c r="AL12" s="20"/>
      <c r="AM12" s="20">
        <v>4.3777429351548297E-2</v>
      </c>
      <c r="AN12" s="20">
        <v>8.91268438854287E-2</v>
      </c>
    </row>
    <row r="13" spans="2:40" x14ac:dyDescent="0.35">
      <c r="B13" s="16"/>
    </row>
    <row r="14" spans="2:40" x14ac:dyDescent="0.35">
      <c r="B14" t="s">
        <v>72</v>
      </c>
    </row>
    <row r="15" spans="2:40" x14ac:dyDescent="0.35">
      <c r="B15" t="s">
        <v>73</v>
      </c>
    </row>
    <row r="17" spans="2:2" x14ac:dyDescent="0.35">
      <c r="B17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B2:E16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20.7265625" customWidth="1"/>
  </cols>
  <sheetData>
    <row r="2" spans="2:5" ht="40" customHeight="1" x14ac:dyDescent="0.35">
      <c r="D2" s="41" t="s">
        <v>151</v>
      </c>
      <c r="E2" s="38"/>
    </row>
    <row r="6" spans="2:5" ht="50" customHeight="1" x14ac:dyDescent="0.35">
      <c r="B6" s="17" t="s">
        <v>15</v>
      </c>
      <c r="C6" s="17" t="s">
        <v>147</v>
      </c>
      <c r="D6" s="17" t="s">
        <v>148</v>
      </c>
    </row>
    <row r="7" spans="2:5" ht="29" x14ac:dyDescent="0.35">
      <c r="B7" s="15" t="s">
        <v>149</v>
      </c>
      <c r="C7" s="14">
        <v>0.58269352814749498</v>
      </c>
      <c r="D7" s="14">
        <v>0.486048175950269</v>
      </c>
    </row>
    <row r="8" spans="2:5" ht="29" x14ac:dyDescent="0.35">
      <c r="B8" s="15" t="s">
        <v>150</v>
      </c>
      <c r="C8" s="14">
        <v>0.38048226222119003</v>
      </c>
      <c r="D8" s="14">
        <v>0.48110502257931298</v>
      </c>
    </row>
    <row r="9" spans="2:5" x14ac:dyDescent="0.35">
      <c r="B9" s="15" t="s">
        <v>70</v>
      </c>
      <c r="C9" s="14">
        <v>3.6824209631315899E-2</v>
      </c>
      <c r="D9" s="14">
        <v>3.2846801470418102E-2</v>
      </c>
    </row>
    <row r="10" spans="2:5" x14ac:dyDescent="0.35">
      <c r="B10" s="16"/>
      <c r="C10" s="16"/>
      <c r="D10" s="16"/>
    </row>
    <row r="11" spans="2:5" x14ac:dyDescent="0.35">
      <c r="B11" t="s">
        <v>72</v>
      </c>
    </row>
    <row r="12" spans="2:5" x14ac:dyDescent="0.35">
      <c r="B12" t="s">
        <v>73</v>
      </c>
    </row>
    <row r="16" spans="2:5" x14ac:dyDescent="0.35">
      <c r="B16" s="8" t="str">
        <f>HYPERLINK("#'Contents'!A1", "Return to Contents")</f>
        <v>Return to Contents</v>
      </c>
    </row>
  </sheetData>
  <mergeCells count="1">
    <mergeCell ref="D2:E2"/>
  </mergeCells>
  <pageMargins left="0.7" right="0.7" top="0.75" bottom="0.75" header="0.3" footer="0.3"/>
  <pageSetup paperSize="9" orientation="portrait" horizontalDpi="300" verticalDpi="300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B2:AN16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152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2154</v>
      </c>
      <c r="D7" s="10">
        <v>1116</v>
      </c>
      <c r="E7" s="10">
        <v>1031</v>
      </c>
      <c r="F7" s="10"/>
      <c r="G7" s="10">
        <v>429</v>
      </c>
      <c r="H7" s="10">
        <v>509</v>
      </c>
      <c r="I7" s="10">
        <v>1216</v>
      </c>
      <c r="J7" s="10"/>
      <c r="K7" s="10">
        <v>938</v>
      </c>
      <c r="L7" s="10">
        <v>924</v>
      </c>
      <c r="M7" s="10">
        <v>292</v>
      </c>
      <c r="N7" s="10"/>
      <c r="O7" s="10">
        <v>1847</v>
      </c>
      <c r="P7" s="10">
        <v>260</v>
      </c>
      <c r="Q7" s="10"/>
      <c r="R7" s="10">
        <v>311</v>
      </c>
      <c r="S7" s="10">
        <v>370</v>
      </c>
      <c r="T7" s="10">
        <v>196</v>
      </c>
      <c r="U7" s="10">
        <v>211</v>
      </c>
      <c r="V7" s="10">
        <v>191</v>
      </c>
      <c r="W7" s="10">
        <v>273</v>
      </c>
      <c r="X7" s="10">
        <v>143</v>
      </c>
      <c r="Y7" s="10">
        <v>114</v>
      </c>
      <c r="Z7" s="10">
        <v>345</v>
      </c>
      <c r="AA7" s="10"/>
      <c r="AB7" s="10">
        <v>152</v>
      </c>
      <c r="AC7" s="10">
        <v>147</v>
      </c>
      <c r="AD7" s="10">
        <v>152</v>
      </c>
      <c r="AE7" s="10">
        <v>106</v>
      </c>
      <c r="AF7" s="10"/>
      <c r="AG7" s="10">
        <v>95</v>
      </c>
      <c r="AH7" s="10">
        <v>46</v>
      </c>
      <c r="AI7" s="10"/>
      <c r="AJ7" s="10">
        <v>141</v>
      </c>
      <c r="AK7" s="10">
        <v>131</v>
      </c>
      <c r="AL7" s="10"/>
      <c r="AM7" s="10">
        <v>1237</v>
      </c>
      <c r="AN7" s="10">
        <v>479</v>
      </c>
    </row>
    <row r="8" spans="2:40" ht="30" customHeight="1" x14ac:dyDescent="0.35">
      <c r="B8" s="11" t="s">
        <v>20</v>
      </c>
      <c r="C8" s="11">
        <v>2154</v>
      </c>
      <c r="D8" s="11">
        <v>1073</v>
      </c>
      <c r="E8" s="11">
        <v>1074</v>
      </c>
      <c r="F8" s="11"/>
      <c r="G8" s="11">
        <v>559</v>
      </c>
      <c r="H8" s="11">
        <v>459</v>
      </c>
      <c r="I8" s="11">
        <v>1136</v>
      </c>
      <c r="J8" s="11"/>
      <c r="K8" s="11">
        <v>1018</v>
      </c>
      <c r="L8" s="11">
        <v>745</v>
      </c>
      <c r="M8" s="11">
        <v>391</v>
      </c>
      <c r="N8" s="11"/>
      <c r="O8" s="11">
        <v>1847</v>
      </c>
      <c r="P8" s="11">
        <v>261</v>
      </c>
      <c r="Q8" s="11"/>
      <c r="R8" s="11">
        <v>345</v>
      </c>
      <c r="S8" s="11">
        <v>345</v>
      </c>
      <c r="T8" s="11">
        <v>215</v>
      </c>
      <c r="U8" s="11">
        <v>237</v>
      </c>
      <c r="V8" s="11">
        <v>194</v>
      </c>
      <c r="W8" s="11">
        <v>215</v>
      </c>
      <c r="X8" s="11">
        <v>215</v>
      </c>
      <c r="Y8" s="11">
        <v>108</v>
      </c>
      <c r="Z8" s="11">
        <v>280</v>
      </c>
      <c r="AA8" s="11"/>
      <c r="AB8" s="11">
        <v>117</v>
      </c>
      <c r="AC8" s="11">
        <v>117</v>
      </c>
      <c r="AD8" s="11">
        <v>211</v>
      </c>
      <c r="AE8" s="11">
        <v>141</v>
      </c>
      <c r="AF8" s="11"/>
      <c r="AG8" s="11">
        <v>117</v>
      </c>
      <c r="AH8" s="11">
        <v>63</v>
      </c>
      <c r="AI8" s="11"/>
      <c r="AJ8" s="11">
        <v>180</v>
      </c>
      <c r="AK8" s="11">
        <v>185</v>
      </c>
      <c r="AL8" s="11"/>
      <c r="AM8" s="11">
        <v>1240</v>
      </c>
      <c r="AN8" s="11">
        <v>486</v>
      </c>
    </row>
    <row r="9" spans="2:40" ht="29" x14ac:dyDescent="0.35">
      <c r="B9" s="15" t="s">
        <v>149</v>
      </c>
      <c r="C9" s="14">
        <v>0.58269352814749498</v>
      </c>
      <c r="D9" s="14">
        <v>0.55820321900395098</v>
      </c>
      <c r="E9" s="14">
        <v>0.60868679981631901</v>
      </c>
      <c r="F9" s="14"/>
      <c r="G9" s="14">
        <v>0.59388082929497399</v>
      </c>
      <c r="H9" s="14">
        <v>0.63947228093179098</v>
      </c>
      <c r="I9" s="14">
        <v>0.55424467205418104</v>
      </c>
      <c r="J9" s="14"/>
      <c r="K9" s="14">
        <v>0.614440494196692</v>
      </c>
      <c r="L9" s="14">
        <v>0.62852956356423195</v>
      </c>
      <c r="M9" s="14">
        <v>0.41297446619143002</v>
      </c>
      <c r="N9" s="14"/>
      <c r="O9" s="14">
        <v>0.59082135830999605</v>
      </c>
      <c r="P9" s="14">
        <v>0.53880574855150198</v>
      </c>
      <c r="Q9" s="14"/>
      <c r="R9" s="14">
        <v>0.52153773005722304</v>
      </c>
      <c r="S9" s="14">
        <v>0.58533363950702999</v>
      </c>
      <c r="T9" s="14">
        <v>0.59851056506297196</v>
      </c>
      <c r="U9" s="14">
        <v>0.633163672933022</v>
      </c>
      <c r="V9" s="14">
        <v>0.61472234744912302</v>
      </c>
      <c r="W9" s="14">
        <v>0.59798470306142304</v>
      </c>
      <c r="X9" s="14">
        <v>0.57371114667717804</v>
      </c>
      <c r="Y9" s="14">
        <v>0.57334055932834405</v>
      </c>
      <c r="Z9" s="14">
        <v>0.576500541147141</v>
      </c>
      <c r="AA9" s="14"/>
      <c r="AB9" s="14">
        <v>0.774204654947522</v>
      </c>
      <c r="AC9" s="14">
        <v>0.53336728376916098</v>
      </c>
      <c r="AD9" s="14">
        <v>0.39439208550063598</v>
      </c>
      <c r="AE9" s="14">
        <v>0.40373073681649901</v>
      </c>
      <c r="AF9" s="14"/>
      <c r="AG9" s="14">
        <v>0.51532905828786602</v>
      </c>
      <c r="AH9" s="14">
        <v>0.72273336759541396</v>
      </c>
      <c r="AI9" s="14"/>
      <c r="AJ9" s="14">
        <v>0.58781685117626203</v>
      </c>
      <c r="AK9" s="14">
        <v>0.230294851673498</v>
      </c>
      <c r="AL9" s="14"/>
      <c r="AM9" s="14">
        <v>0.493964746846911</v>
      </c>
      <c r="AN9" s="14">
        <v>0.77303128912876795</v>
      </c>
    </row>
    <row r="10" spans="2:40" ht="29" x14ac:dyDescent="0.35">
      <c r="B10" s="15" t="s">
        <v>150</v>
      </c>
      <c r="C10" s="14">
        <v>0.38048226222119003</v>
      </c>
      <c r="D10" s="14">
        <v>0.40453576668619401</v>
      </c>
      <c r="E10" s="14">
        <v>0.35468562603360199</v>
      </c>
      <c r="F10" s="14"/>
      <c r="G10" s="14">
        <v>0.35781627927588999</v>
      </c>
      <c r="H10" s="14">
        <v>0.32011517339206902</v>
      </c>
      <c r="I10" s="14">
        <v>0.41602877435426</v>
      </c>
      <c r="J10" s="14"/>
      <c r="K10" s="14">
        <v>0.34081480036773498</v>
      </c>
      <c r="L10" s="14">
        <v>0.34334300888546099</v>
      </c>
      <c r="M10" s="14">
        <v>0.55425786565850499</v>
      </c>
      <c r="N10" s="14"/>
      <c r="O10" s="14">
        <v>0.373882146550297</v>
      </c>
      <c r="P10" s="14">
        <v>0.42620251862986602</v>
      </c>
      <c r="Q10" s="14"/>
      <c r="R10" s="14">
        <v>0.45711226080124601</v>
      </c>
      <c r="S10" s="14">
        <v>0.36096635078248301</v>
      </c>
      <c r="T10" s="14">
        <v>0.349204753536282</v>
      </c>
      <c r="U10" s="14">
        <v>0.32385328786998702</v>
      </c>
      <c r="V10" s="14">
        <v>0.37641384726404697</v>
      </c>
      <c r="W10" s="14">
        <v>0.35589900101836502</v>
      </c>
      <c r="X10" s="14">
        <v>0.379565168307195</v>
      </c>
      <c r="Y10" s="14">
        <v>0.40310605041792702</v>
      </c>
      <c r="Z10" s="14">
        <v>0.39573173102693099</v>
      </c>
      <c r="AA10" s="14"/>
      <c r="AB10" s="14">
        <v>0.21033187733620301</v>
      </c>
      <c r="AC10" s="14">
        <v>0.43978976668320202</v>
      </c>
      <c r="AD10" s="14">
        <v>0.56272776226664201</v>
      </c>
      <c r="AE10" s="14">
        <v>0.59626926318350104</v>
      </c>
      <c r="AF10" s="14"/>
      <c r="AG10" s="14">
        <v>0.47934257378388201</v>
      </c>
      <c r="AH10" s="14">
        <v>0.21739891038282499</v>
      </c>
      <c r="AI10" s="14"/>
      <c r="AJ10" s="14">
        <v>0.38779328011473302</v>
      </c>
      <c r="AK10" s="14">
        <v>0.72406801480328797</v>
      </c>
      <c r="AL10" s="14"/>
      <c r="AM10" s="14">
        <v>0.48085111910059403</v>
      </c>
      <c r="AN10" s="14">
        <v>0.17315781049537801</v>
      </c>
    </row>
    <row r="11" spans="2:40" x14ac:dyDescent="0.35">
      <c r="B11" s="15" t="s">
        <v>70</v>
      </c>
      <c r="C11" s="20">
        <v>3.6824209631315899E-2</v>
      </c>
      <c r="D11" s="20">
        <v>3.7261014309855303E-2</v>
      </c>
      <c r="E11" s="20">
        <v>3.66275741500795E-2</v>
      </c>
      <c r="F11" s="20"/>
      <c r="G11" s="20">
        <v>4.83028914291352E-2</v>
      </c>
      <c r="H11" s="20">
        <v>4.0412545676140402E-2</v>
      </c>
      <c r="I11" s="20">
        <v>2.9726553591559499E-2</v>
      </c>
      <c r="J11" s="20"/>
      <c r="K11" s="20">
        <v>4.4744705435573601E-2</v>
      </c>
      <c r="L11" s="20">
        <v>2.8127427550306901E-2</v>
      </c>
      <c r="M11" s="20">
        <v>3.2767668150065203E-2</v>
      </c>
      <c r="N11" s="20"/>
      <c r="O11" s="20">
        <v>3.5296495139707298E-2</v>
      </c>
      <c r="P11" s="20">
        <v>3.49917328186315E-2</v>
      </c>
      <c r="Q11" s="20"/>
      <c r="R11" s="20">
        <v>2.1350009141531401E-2</v>
      </c>
      <c r="S11" s="20">
        <v>5.37000097104866E-2</v>
      </c>
      <c r="T11" s="20">
        <v>5.2284681400745998E-2</v>
      </c>
      <c r="U11" s="20">
        <v>4.2983039196991098E-2</v>
      </c>
      <c r="V11" s="20">
        <v>8.8638052868293994E-3</v>
      </c>
      <c r="W11" s="20">
        <v>4.6116295920212498E-2</v>
      </c>
      <c r="X11" s="20">
        <v>4.6723685015627098E-2</v>
      </c>
      <c r="Y11" s="20">
        <v>2.35533902537296E-2</v>
      </c>
      <c r="Z11" s="20">
        <v>2.77677278259282E-2</v>
      </c>
      <c r="AA11" s="20"/>
      <c r="AB11" s="20">
        <v>1.5463467716274701E-2</v>
      </c>
      <c r="AC11" s="20">
        <v>2.6842949547637E-2</v>
      </c>
      <c r="AD11" s="20">
        <v>4.2880152232721402E-2</v>
      </c>
      <c r="AE11" s="20">
        <v>0</v>
      </c>
      <c r="AF11" s="20"/>
      <c r="AG11" s="20">
        <v>5.3283679282518396E-3</v>
      </c>
      <c r="AH11" s="20">
        <v>5.9867722021761001E-2</v>
      </c>
      <c r="AI11" s="20"/>
      <c r="AJ11" s="20">
        <v>2.4389868709004101E-2</v>
      </c>
      <c r="AK11" s="20">
        <v>4.5637133523214399E-2</v>
      </c>
      <c r="AL11" s="20"/>
      <c r="AM11" s="20">
        <v>2.5184134052495099E-2</v>
      </c>
      <c r="AN11" s="20">
        <v>5.3810900375853801E-2</v>
      </c>
    </row>
    <row r="12" spans="2:40" x14ac:dyDescent="0.35">
      <c r="B12" s="16"/>
    </row>
    <row r="13" spans="2:40" x14ac:dyDescent="0.35">
      <c r="B13" t="s">
        <v>72</v>
      </c>
    </row>
    <row r="14" spans="2:40" x14ac:dyDescent="0.35">
      <c r="B14" t="s">
        <v>73</v>
      </c>
    </row>
    <row r="16" spans="2:40" x14ac:dyDescent="0.35">
      <c r="B16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B2:AN16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153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2154</v>
      </c>
      <c r="D7" s="10">
        <v>1116</v>
      </c>
      <c r="E7" s="10">
        <v>1031</v>
      </c>
      <c r="F7" s="10"/>
      <c r="G7" s="10">
        <v>429</v>
      </c>
      <c r="H7" s="10">
        <v>509</v>
      </c>
      <c r="I7" s="10">
        <v>1216</v>
      </c>
      <c r="J7" s="10"/>
      <c r="K7" s="10">
        <v>938</v>
      </c>
      <c r="L7" s="10">
        <v>924</v>
      </c>
      <c r="M7" s="10">
        <v>292</v>
      </c>
      <c r="N7" s="10"/>
      <c r="O7" s="10">
        <v>1847</v>
      </c>
      <c r="P7" s="10">
        <v>260</v>
      </c>
      <c r="Q7" s="10"/>
      <c r="R7" s="10">
        <v>311</v>
      </c>
      <c r="S7" s="10">
        <v>370</v>
      </c>
      <c r="T7" s="10">
        <v>196</v>
      </c>
      <c r="U7" s="10">
        <v>211</v>
      </c>
      <c r="V7" s="10">
        <v>191</v>
      </c>
      <c r="W7" s="10">
        <v>273</v>
      </c>
      <c r="X7" s="10">
        <v>143</v>
      </c>
      <c r="Y7" s="10">
        <v>114</v>
      </c>
      <c r="Z7" s="10">
        <v>345</v>
      </c>
      <c r="AA7" s="10"/>
      <c r="AB7" s="10">
        <v>152</v>
      </c>
      <c r="AC7" s="10">
        <v>147</v>
      </c>
      <c r="AD7" s="10">
        <v>152</v>
      </c>
      <c r="AE7" s="10">
        <v>106</v>
      </c>
      <c r="AF7" s="10"/>
      <c r="AG7" s="10">
        <v>95</v>
      </c>
      <c r="AH7" s="10">
        <v>46</v>
      </c>
      <c r="AI7" s="10"/>
      <c r="AJ7" s="10">
        <v>141</v>
      </c>
      <c r="AK7" s="10">
        <v>131</v>
      </c>
      <c r="AL7" s="10"/>
      <c r="AM7" s="10">
        <v>1237</v>
      </c>
      <c r="AN7" s="10">
        <v>479</v>
      </c>
    </row>
    <row r="8" spans="2:40" ht="30" customHeight="1" x14ac:dyDescent="0.35">
      <c r="B8" s="11" t="s">
        <v>20</v>
      </c>
      <c r="C8" s="11">
        <v>2154</v>
      </c>
      <c r="D8" s="11">
        <v>1073</v>
      </c>
      <c r="E8" s="11">
        <v>1074</v>
      </c>
      <c r="F8" s="11"/>
      <c r="G8" s="11">
        <v>559</v>
      </c>
      <c r="H8" s="11">
        <v>459</v>
      </c>
      <c r="I8" s="11">
        <v>1136</v>
      </c>
      <c r="J8" s="11"/>
      <c r="K8" s="11">
        <v>1018</v>
      </c>
      <c r="L8" s="11">
        <v>745</v>
      </c>
      <c r="M8" s="11">
        <v>391</v>
      </c>
      <c r="N8" s="11"/>
      <c r="O8" s="11">
        <v>1847</v>
      </c>
      <c r="P8" s="11">
        <v>261</v>
      </c>
      <c r="Q8" s="11"/>
      <c r="R8" s="11">
        <v>345</v>
      </c>
      <c r="S8" s="11">
        <v>345</v>
      </c>
      <c r="T8" s="11">
        <v>215</v>
      </c>
      <c r="U8" s="11">
        <v>237</v>
      </c>
      <c r="V8" s="11">
        <v>194</v>
      </c>
      <c r="W8" s="11">
        <v>215</v>
      </c>
      <c r="X8" s="11">
        <v>215</v>
      </c>
      <c r="Y8" s="11">
        <v>108</v>
      </c>
      <c r="Z8" s="11">
        <v>280</v>
      </c>
      <c r="AA8" s="11"/>
      <c r="AB8" s="11">
        <v>117</v>
      </c>
      <c r="AC8" s="11">
        <v>117</v>
      </c>
      <c r="AD8" s="11">
        <v>211</v>
      </c>
      <c r="AE8" s="11">
        <v>141</v>
      </c>
      <c r="AF8" s="11"/>
      <c r="AG8" s="11">
        <v>117</v>
      </c>
      <c r="AH8" s="11">
        <v>63</v>
      </c>
      <c r="AI8" s="11"/>
      <c r="AJ8" s="11">
        <v>180</v>
      </c>
      <c r="AK8" s="11">
        <v>185</v>
      </c>
      <c r="AL8" s="11"/>
      <c r="AM8" s="11">
        <v>1240</v>
      </c>
      <c r="AN8" s="11">
        <v>486</v>
      </c>
    </row>
    <row r="9" spans="2:40" ht="29" x14ac:dyDescent="0.35">
      <c r="B9" s="15" t="s">
        <v>149</v>
      </c>
      <c r="C9" s="14">
        <v>0.486048175950269</v>
      </c>
      <c r="D9" s="14">
        <v>0.483265263914538</v>
      </c>
      <c r="E9" s="14">
        <v>0.48862411718976201</v>
      </c>
      <c r="F9" s="14"/>
      <c r="G9" s="14">
        <v>0.58292758057883898</v>
      </c>
      <c r="H9" s="14">
        <v>0.57655518346259804</v>
      </c>
      <c r="I9" s="14">
        <v>0.40180844465611398</v>
      </c>
      <c r="J9" s="14"/>
      <c r="K9" s="14">
        <v>0.58005392017481705</v>
      </c>
      <c r="L9" s="14">
        <v>0.49564054824366499</v>
      </c>
      <c r="M9" s="14">
        <v>0.22336461414240999</v>
      </c>
      <c r="N9" s="14"/>
      <c r="O9" s="14">
        <v>0.48447585953026401</v>
      </c>
      <c r="P9" s="14">
        <v>0.51446191437131294</v>
      </c>
      <c r="Q9" s="14"/>
      <c r="R9" s="14">
        <v>0.55098816257930605</v>
      </c>
      <c r="S9" s="14">
        <v>0.48473048239476102</v>
      </c>
      <c r="T9" s="14">
        <v>0.47654504210116699</v>
      </c>
      <c r="U9" s="14">
        <v>0.47059358812330099</v>
      </c>
      <c r="V9" s="14">
        <v>0.47886823811784901</v>
      </c>
      <c r="W9" s="14">
        <v>0.47638682569018298</v>
      </c>
      <c r="X9" s="14">
        <v>0.41956739807825599</v>
      </c>
      <c r="Y9" s="14">
        <v>0.44605442195777001</v>
      </c>
      <c r="Z9" s="14">
        <v>0.50690178886815196</v>
      </c>
      <c r="AA9" s="14"/>
      <c r="AB9" s="14">
        <v>0.53982325114531604</v>
      </c>
      <c r="AC9" s="14">
        <v>0.32976035590715302</v>
      </c>
      <c r="AD9" s="14">
        <v>0.21722523678493699</v>
      </c>
      <c r="AE9" s="14">
        <v>0.167319801506808</v>
      </c>
      <c r="AF9" s="14"/>
      <c r="AG9" s="14">
        <v>0.286102724001363</v>
      </c>
      <c r="AH9" s="14">
        <v>0.25133073012149099</v>
      </c>
      <c r="AI9" s="14"/>
      <c r="AJ9" s="14">
        <v>0.273949914355816</v>
      </c>
      <c r="AK9" s="14">
        <v>0.16027342483812901</v>
      </c>
      <c r="AL9" s="14"/>
      <c r="AM9" s="14">
        <v>0.46403910513769397</v>
      </c>
      <c r="AN9" s="14">
        <v>0.53418581453381497</v>
      </c>
    </row>
    <row r="10" spans="2:40" ht="29" x14ac:dyDescent="0.35">
      <c r="B10" s="15" t="s">
        <v>150</v>
      </c>
      <c r="C10" s="14">
        <v>0.48110502257931298</v>
      </c>
      <c r="D10" s="14">
        <v>0.49470007614683698</v>
      </c>
      <c r="E10" s="14">
        <v>0.46752257033571998</v>
      </c>
      <c r="F10" s="14"/>
      <c r="G10" s="14">
        <v>0.36143850973104003</v>
      </c>
      <c r="H10" s="14">
        <v>0.39427274914536697</v>
      </c>
      <c r="I10" s="14">
        <v>0.57507118190135298</v>
      </c>
      <c r="J10" s="14"/>
      <c r="K10" s="14">
        <v>0.37624525387770402</v>
      </c>
      <c r="L10" s="14">
        <v>0.48182020164741801</v>
      </c>
      <c r="M10" s="14">
        <v>0.75240986961545298</v>
      </c>
      <c r="N10" s="14"/>
      <c r="O10" s="14">
        <v>0.48258150644006698</v>
      </c>
      <c r="P10" s="14">
        <v>0.46791359704365099</v>
      </c>
      <c r="Q10" s="14"/>
      <c r="R10" s="14">
        <v>0.44009369528061798</v>
      </c>
      <c r="S10" s="14">
        <v>0.48585635518714798</v>
      </c>
      <c r="T10" s="14">
        <v>0.48495400262611199</v>
      </c>
      <c r="U10" s="14">
        <v>0.48735548341551499</v>
      </c>
      <c r="V10" s="14">
        <v>0.476357379719761</v>
      </c>
      <c r="W10" s="14">
        <v>0.487833886474065</v>
      </c>
      <c r="X10" s="14">
        <v>0.50591897497874805</v>
      </c>
      <c r="Y10" s="14">
        <v>0.52887870053479302</v>
      </c>
      <c r="Z10" s="14">
        <v>0.47817855057347602</v>
      </c>
      <c r="AA10" s="14"/>
      <c r="AB10" s="14">
        <v>0.44223703157478</v>
      </c>
      <c r="AC10" s="14">
        <v>0.63673757210343995</v>
      </c>
      <c r="AD10" s="14">
        <v>0.74143845219479698</v>
      </c>
      <c r="AE10" s="14">
        <v>0.82735585727485805</v>
      </c>
      <c r="AF10" s="14"/>
      <c r="AG10" s="14">
        <v>0.71389727599863695</v>
      </c>
      <c r="AH10" s="14">
        <v>0.74866926987850901</v>
      </c>
      <c r="AI10" s="14"/>
      <c r="AJ10" s="14">
        <v>0.72605008564418405</v>
      </c>
      <c r="AK10" s="14">
        <v>0.80371666832947697</v>
      </c>
      <c r="AL10" s="14"/>
      <c r="AM10" s="14">
        <v>0.508252904330182</v>
      </c>
      <c r="AN10" s="14">
        <v>0.42465444631486299</v>
      </c>
    </row>
    <row r="11" spans="2:40" x14ac:dyDescent="0.35">
      <c r="B11" s="15" t="s">
        <v>70</v>
      </c>
      <c r="C11" s="20">
        <v>3.2846801470418102E-2</v>
      </c>
      <c r="D11" s="20">
        <v>2.2034659938624902E-2</v>
      </c>
      <c r="E11" s="20">
        <v>4.3853312474517299E-2</v>
      </c>
      <c r="F11" s="20"/>
      <c r="G11" s="20">
        <v>5.5633909690120997E-2</v>
      </c>
      <c r="H11" s="20">
        <v>2.91720673920354E-2</v>
      </c>
      <c r="I11" s="20">
        <v>2.31203734425331E-2</v>
      </c>
      <c r="J11" s="20"/>
      <c r="K11" s="20">
        <v>4.3700825947479399E-2</v>
      </c>
      <c r="L11" s="20">
        <v>2.2539250108916501E-2</v>
      </c>
      <c r="M11" s="20">
        <v>2.4225516242136501E-2</v>
      </c>
      <c r="N11" s="20"/>
      <c r="O11" s="20">
        <v>3.29426340296693E-2</v>
      </c>
      <c r="P11" s="20">
        <v>1.7624488585035701E-2</v>
      </c>
      <c r="Q11" s="20"/>
      <c r="R11" s="20">
        <v>8.9181421400754603E-3</v>
      </c>
      <c r="S11" s="20">
        <v>2.94131624180911E-2</v>
      </c>
      <c r="T11" s="20">
        <v>3.85009552727213E-2</v>
      </c>
      <c r="U11" s="20">
        <v>4.2050928461184203E-2</v>
      </c>
      <c r="V11" s="20">
        <v>4.47743821623897E-2</v>
      </c>
      <c r="W11" s="20">
        <v>3.5779287835751801E-2</v>
      </c>
      <c r="X11" s="20">
        <v>7.4513626942995598E-2</v>
      </c>
      <c r="Y11" s="20">
        <v>2.5066877507436799E-2</v>
      </c>
      <c r="Z11" s="20">
        <v>1.49196605583718E-2</v>
      </c>
      <c r="AA11" s="20"/>
      <c r="AB11" s="20">
        <v>1.7939717279903799E-2</v>
      </c>
      <c r="AC11" s="20">
        <v>3.35020719894073E-2</v>
      </c>
      <c r="AD11" s="20">
        <v>4.1336311020265901E-2</v>
      </c>
      <c r="AE11" s="20">
        <v>5.3243412183335698E-3</v>
      </c>
      <c r="AF11" s="20"/>
      <c r="AG11" s="20">
        <v>0</v>
      </c>
      <c r="AH11" s="20">
        <v>0</v>
      </c>
      <c r="AI11" s="20"/>
      <c r="AJ11" s="20">
        <v>0</v>
      </c>
      <c r="AK11" s="20">
        <v>3.6009906832394099E-2</v>
      </c>
      <c r="AL11" s="20"/>
      <c r="AM11" s="20">
        <v>2.7707990532123999E-2</v>
      </c>
      <c r="AN11" s="20">
        <v>4.1159739151322101E-2</v>
      </c>
    </row>
    <row r="12" spans="2:40" x14ac:dyDescent="0.35">
      <c r="B12" s="16"/>
    </row>
    <row r="13" spans="2:40" x14ac:dyDescent="0.35">
      <c r="B13" t="s">
        <v>72</v>
      </c>
    </row>
    <row r="14" spans="2:40" x14ac:dyDescent="0.35">
      <c r="B14" t="s">
        <v>73</v>
      </c>
    </row>
    <row r="16" spans="2:40" x14ac:dyDescent="0.35">
      <c r="B16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B2:AN16"/>
  <sheetViews>
    <sheetView showGridLines="0" workbookViewId="0">
      <pane xSplit="2" topLeftCell="C1" activePane="topRight" state="frozen"/>
      <selection pane="topRight" activeCell="B7" sqref="B7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154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429</v>
      </c>
      <c r="D7" s="10">
        <v>234</v>
      </c>
      <c r="E7" s="10">
        <v>195</v>
      </c>
      <c r="F7" s="10"/>
      <c r="G7" s="10">
        <v>429</v>
      </c>
      <c r="H7" s="10" t="s">
        <v>75</v>
      </c>
      <c r="I7" s="10" t="s">
        <v>75</v>
      </c>
      <c r="J7" s="10"/>
      <c r="K7" s="10">
        <v>429</v>
      </c>
      <c r="L7" s="10" t="s">
        <v>75</v>
      </c>
      <c r="M7" s="10" t="s">
        <v>75</v>
      </c>
      <c r="N7" s="10"/>
      <c r="O7" s="10">
        <v>381</v>
      </c>
      <c r="P7" s="10">
        <v>43</v>
      </c>
      <c r="Q7" s="10"/>
      <c r="R7" s="10">
        <v>68</v>
      </c>
      <c r="S7" s="10">
        <v>65</v>
      </c>
      <c r="T7" s="10">
        <v>43</v>
      </c>
      <c r="U7" s="10">
        <v>41</v>
      </c>
      <c r="V7" s="10">
        <v>41</v>
      </c>
      <c r="W7" s="10">
        <v>57</v>
      </c>
      <c r="X7" s="10">
        <v>28</v>
      </c>
      <c r="Y7" s="10">
        <v>21</v>
      </c>
      <c r="Z7" s="10">
        <v>65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301</v>
      </c>
      <c r="AN7" s="10">
        <v>63</v>
      </c>
    </row>
    <row r="8" spans="2:40" ht="30" customHeight="1" x14ac:dyDescent="0.35">
      <c r="B8" s="11" t="s">
        <v>20</v>
      </c>
      <c r="C8" s="11">
        <v>559</v>
      </c>
      <c r="D8" s="11">
        <v>295</v>
      </c>
      <c r="E8" s="11">
        <v>264</v>
      </c>
      <c r="F8" s="11"/>
      <c r="G8" s="11">
        <v>559</v>
      </c>
      <c r="H8" s="11" t="s">
        <v>75</v>
      </c>
      <c r="I8" s="11" t="s">
        <v>75</v>
      </c>
      <c r="J8" s="11"/>
      <c r="K8" s="11">
        <v>559</v>
      </c>
      <c r="L8" s="11" t="s">
        <v>75</v>
      </c>
      <c r="M8" s="11" t="s">
        <v>75</v>
      </c>
      <c r="N8" s="11"/>
      <c r="O8" s="11">
        <v>500</v>
      </c>
      <c r="P8" s="11">
        <v>53</v>
      </c>
      <c r="Q8" s="11"/>
      <c r="R8" s="11">
        <v>96</v>
      </c>
      <c r="S8" s="11">
        <v>78</v>
      </c>
      <c r="T8" s="11">
        <v>58</v>
      </c>
      <c r="U8" s="11">
        <v>62</v>
      </c>
      <c r="V8" s="11">
        <v>53</v>
      </c>
      <c r="W8" s="11">
        <v>57</v>
      </c>
      <c r="X8" s="11">
        <v>56</v>
      </c>
      <c r="Y8" s="11">
        <v>26</v>
      </c>
      <c r="Z8" s="11">
        <v>72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396</v>
      </c>
      <c r="AN8" s="11">
        <v>77</v>
      </c>
    </row>
    <row r="9" spans="2:40" x14ac:dyDescent="0.35">
      <c r="B9" s="15" t="s">
        <v>44</v>
      </c>
      <c r="C9" s="14">
        <v>0.89087356283612296</v>
      </c>
      <c r="D9" s="14">
        <v>0.88854441732809397</v>
      </c>
      <c r="E9" s="14">
        <v>0.89347614762588501</v>
      </c>
      <c r="F9" s="14"/>
      <c r="G9" s="14">
        <v>0.89087356283612296</v>
      </c>
      <c r="H9" s="14" t="s">
        <v>76</v>
      </c>
      <c r="I9" s="14" t="s">
        <v>76</v>
      </c>
      <c r="J9" s="14"/>
      <c r="K9" s="14">
        <v>0.89087356283612296</v>
      </c>
      <c r="L9" s="14" t="s">
        <v>76</v>
      </c>
      <c r="M9" s="14" t="s">
        <v>76</v>
      </c>
      <c r="N9" s="14"/>
      <c r="O9" s="14">
        <v>0.89106610218786697</v>
      </c>
      <c r="P9" s="14">
        <v>0.87527059188870704</v>
      </c>
      <c r="Q9" s="14"/>
      <c r="R9" s="14">
        <v>0.86345318406231397</v>
      </c>
      <c r="S9" s="14">
        <v>0.95137348815068801</v>
      </c>
      <c r="T9" s="14">
        <v>0.88223019343076103</v>
      </c>
      <c r="U9" s="14">
        <v>0.91745090290629305</v>
      </c>
      <c r="V9" s="14">
        <v>1</v>
      </c>
      <c r="W9" s="14">
        <v>0.83746959560205003</v>
      </c>
      <c r="X9" s="14">
        <v>0.74206590733227296</v>
      </c>
      <c r="Y9" s="14">
        <v>0.884853028481424</v>
      </c>
      <c r="Z9" s="14">
        <v>0.92634588479107804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0.90277506431447496</v>
      </c>
      <c r="AN9" s="14">
        <v>0.89504438706603395</v>
      </c>
    </row>
    <row r="10" spans="2:40" x14ac:dyDescent="0.35">
      <c r="B10" s="15" t="s">
        <v>45</v>
      </c>
      <c r="C10" s="14">
        <v>9.5304512800289995E-2</v>
      </c>
      <c r="D10" s="14">
        <v>9.6135313399861297E-2</v>
      </c>
      <c r="E10" s="14">
        <v>9.4376177066727795E-2</v>
      </c>
      <c r="F10" s="14"/>
      <c r="G10" s="14">
        <v>9.5304512800289995E-2</v>
      </c>
      <c r="H10" s="14" t="s">
        <v>76</v>
      </c>
      <c r="I10" s="14" t="s">
        <v>76</v>
      </c>
      <c r="J10" s="14"/>
      <c r="K10" s="14">
        <v>9.5304512800289995E-2</v>
      </c>
      <c r="L10" s="14" t="s">
        <v>76</v>
      </c>
      <c r="M10" s="14" t="s">
        <v>76</v>
      </c>
      <c r="N10" s="14"/>
      <c r="O10" s="14">
        <v>9.3468462858425694E-2</v>
      </c>
      <c r="P10" s="14">
        <v>0.124729408111293</v>
      </c>
      <c r="Q10" s="14"/>
      <c r="R10" s="14">
        <v>0.136546815937686</v>
      </c>
      <c r="S10" s="14">
        <v>4.8626511849312402E-2</v>
      </c>
      <c r="T10" s="14">
        <v>0.11776980656923899</v>
      </c>
      <c r="U10" s="14">
        <v>0</v>
      </c>
      <c r="V10" s="14">
        <v>0</v>
      </c>
      <c r="W10" s="14">
        <v>0.13996836740461099</v>
      </c>
      <c r="X10" s="14">
        <v>0.25793409266772699</v>
      </c>
      <c r="Y10" s="14">
        <v>0.115146971518576</v>
      </c>
      <c r="Z10" s="14">
        <v>5.4903468159594501E-2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8.9218494728075595E-2</v>
      </c>
      <c r="AN10" s="14">
        <v>6.3353756602809494E-2</v>
      </c>
    </row>
    <row r="11" spans="2:40" x14ac:dyDescent="0.35">
      <c r="B11" s="15" t="s">
        <v>70</v>
      </c>
      <c r="C11" s="20">
        <v>1.3821924363586899E-2</v>
      </c>
      <c r="D11" s="20">
        <v>1.53202692720449E-2</v>
      </c>
      <c r="E11" s="20">
        <v>1.2147675307387E-2</v>
      </c>
      <c r="F11" s="20"/>
      <c r="G11" s="20">
        <v>1.3821924363586899E-2</v>
      </c>
      <c r="H11" s="20" t="s">
        <v>76</v>
      </c>
      <c r="I11" s="20" t="s">
        <v>76</v>
      </c>
      <c r="J11" s="20"/>
      <c r="K11" s="20">
        <v>1.3821924363586899E-2</v>
      </c>
      <c r="L11" s="20" t="s">
        <v>76</v>
      </c>
      <c r="M11" s="20" t="s">
        <v>76</v>
      </c>
      <c r="N11" s="20"/>
      <c r="O11" s="20">
        <v>1.54654349537074E-2</v>
      </c>
      <c r="P11" s="20">
        <v>0</v>
      </c>
      <c r="Q11" s="20"/>
      <c r="R11" s="20">
        <v>0</v>
      </c>
      <c r="S11" s="20">
        <v>0</v>
      </c>
      <c r="T11" s="20">
        <v>0</v>
      </c>
      <c r="U11" s="20">
        <v>8.2549097093707294E-2</v>
      </c>
      <c r="V11" s="20">
        <v>0</v>
      </c>
      <c r="W11" s="20">
        <v>2.25620369933387E-2</v>
      </c>
      <c r="X11" s="20">
        <v>0</v>
      </c>
      <c r="Y11" s="20">
        <v>0</v>
      </c>
      <c r="Z11" s="20">
        <v>1.8750647049327399E-2</v>
      </c>
      <c r="AA11" s="20"/>
      <c r="AB11" s="20" t="s">
        <v>76</v>
      </c>
      <c r="AC11" s="20" t="s">
        <v>76</v>
      </c>
      <c r="AD11" s="20" t="s">
        <v>76</v>
      </c>
      <c r="AE11" s="20" t="s">
        <v>76</v>
      </c>
      <c r="AF11" s="20"/>
      <c r="AG11" s="20" t="s">
        <v>76</v>
      </c>
      <c r="AH11" s="20" t="s">
        <v>76</v>
      </c>
      <c r="AI11" s="20"/>
      <c r="AJ11" s="20" t="s">
        <v>76</v>
      </c>
      <c r="AK11" s="20" t="s">
        <v>76</v>
      </c>
      <c r="AL11" s="20"/>
      <c r="AM11" s="20">
        <v>8.0064409574498001E-3</v>
      </c>
      <c r="AN11" s="20">
        <v>4.1601856331156602E-2</v>
      </c>
    </row>
    <row r="12" spans="2:40" x14ac:dyDescent="0.35">
      <c r="B12" s="27" t="s">
        <v>173</v>
      </c>
    </row>
    <row r="13" spans="2:40" x14ac:dyDescent="0.35">
      <c r="B13" t="s">
        <v>72</v>
      </c>
    </row>
    <row r="14" spans="2:40" x14ac:dyDescent="0.35">
      <c r="B14" t="s">
        <v>73</v>
      </c>
    </row>
    <row r="16" spans="2:40" x14ac:dyDescent="0.35">
      <c r="B16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B2:AN18"/>
  <sheetViews>
    <sheetView showGridLines="0" workbookViewId="0">
      <pane xSplit="2" topLeftCell="C1" activePane="topRight" state="frozen"/>
      <selection pane="topRight" activeCell="B23" sqref="B23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159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385</v>
      </c>
      <c r="D7" s="10">
        <v>209</v>
      </c>
      <c r="E7" s="10">
        <v>176</v>
      </c>
      <c r="F7" s="10"/>
      <c r="G7" s="10">
        <v>385</v>
      </c>
      <c r="H7" s="10" t="s">
        <v>75</v>
      </c>
      <c r="I7" s="10" t="s">
        <v>75</v>
      </c>
      <c r="J7" s="10"/>
      <c r="K7" s="10">
        <v>385</v>
      </c>
      <c r="L7" s="10" t="s">
        <v>75</v>
      </c>
      <c r="M7" s="10" t="s">
        <v>75</v>
      </c>
      <c r="N7" s="10"/>
      <c r="O7" s="10">
        <v>343</v>
      </c>
      <c r="P7" s="10">
        <v>37</v>
      </c>
      <c r="Q7" s="10"/>
      <c r="R7" s="10">
        <v>59</v>
      </c>
      <c r="S7" s="10">
        <v>61</v>
      </c>
      <c r="T7" s="10">
        <v>38</v>
      </c>
      <c r="U7" s="10">
        <v>38</v>
      </c>
      <c r="V7" s="10">
        <v>41</v>
      </c>
      <c r="W7" s="10">
        <v>49</v>
      </c>
      <c r="X7" s="10">
        <v>21</v>
      </c>
      <c r="Y7" s="10">
        <v>18</v>
      </c>
      <c r="Z7" s="10">
        <v>60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273</v>
      </c>
      <c r="AN7" s="10">
        <v>57</v>
      </c>
    </row>
    <row r="8" spans="2:40" ht="30" customHeight="1" x14ac:dyDescent="0.35">
      <c r="B8" s="11" t="s">
        <v>20</v>
      </c>
      <c r="C8" s="11">
        <v>498</v>
      </c>
      <c r="D8" s="11">
        <v>262</v>
      </c>
      <c r="E8" s="11">
        <v>236</v>
      </c>
      <c r="F8" s="11"/>
      <c r="G8" s="11">
        <v>498</v>
      </c>
      <c r="H8" s="11" t="s">
        <v>75</v>
      </c>
      <c r="I8" s="11" t="s">
        <v>75</v>
      </c>
      <c r="J8" s="11"/>
      <c r="K8" s="11">
        <v>498</v>
      </c>
      <c r="L8" s="11" t="s">
        <v>75</v>
      </c>
      <c r="M8" s="11" t="s">
        <v>75</v>
      </c>
      <c r="N8" s="11"/>
      <c r="O8" s="11">
        <v>445</v>
      </c>
      <c r="P8" s="11">
        <v>46</v>
      </c>
      <c r="Q8" s="11"/>
      <c r="R8" s="11">
        <v>83</v>
      </c>
      <c r="S8" s="11">
        <v>74</v>
      </c>
      <c r="T8" s="11">
        <v>52</v>
      </c>
      <c r="U8" s="11">
        <v>57</v>
      </c>
      <c r="V8" s="11">
        <v>53</v>
      </c>
      <c r="W8" s="11">
        <v>48</v>
      </c>
      <c r="X8" s="11">
        <v>42</v>
      </c>
      <c r="Y8" s="11">
        <v>23</v>
      </c>
      <c r="Z8" s="11">
        <v>66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358</v>
      </c>
      <c r="AN8" s="11">
        <v>69</v>
      </c>
    </row>
    <row r="9" spans="2:40" x14ac:dyDescent="0.35">
      <c r="B9" s="15" t="s">
        <v>155</v>
      </c>
      <c r="C9" s="14">
        <v>0.47875923742916099</v>
      </c>
      <c r="D9" s="14">
        <v>0.51603132750735503</v>
      </c>
      <c r="E9" s="14">
        <v>0.43734132619692501</v>
      </c>
      <c r="F9" s="14"/>
      <c r="G9" s="14">
        <v>0.47875923742916099</v>
      </c>
      <c r="H9" s="14" t="s">
        <v>76</v>
      </c>
      <c r="I9" s="14" t="s">
        <v>76</v>
      </c>
      <c r="J9" s="14"/>
      <c r="K9" s="14">
        <v>0.47875923742916099</v>
      </c>
      <c r="L9" s="14" t="s">
        <v>76</v>
      </c>
      <c r="M9" s="14" t="s">
        <v>76</v>
      </c>
      <c r="N9" s="14"/>
      <c r="O9" s="14">
        <v>0.49065356976626701</v>
      </c>
      <c r="P9" s="14">
        <v>0.40835362076272402</v>
      </c>
      <c r="Q9" s="14"/>
      <c r="R9" s="14">
        <v>0.47390037426117698</v>
      </c>
      <c r="S9" s="14">
        <v>0.38048449211187502</v>
      </c>
      <c r="T9" s="14">
        <v>0.46978948190299002</v>
      </c>
      <c r="U9" s="14">
        <v>0.46675605002498599</v>
      </c>
      <c r="V9" s="14">
        <v>0.45928662864468001</v>
      </c>
      <c r="W9" s="14">
        <v>0.58675400846407899</v>
      </c>
      <c r="X9" s="14">
        <v>0.504996509662895</v>
      </c>
      <c r="Y9" s="14">
        <v>0.62984033779122095</v>
      </c>
      <c r="Z9" s="14">
        <v>0.48014572359844099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0.51355789771086702</v>
      </c>
      <c r="AN9" s="14">
        <v>0.52187602831042801</v>
      </c>
    </row>
    <row r="10" spans="2:40" x14ac:dyDescent="0.35">
      <c r="B10" s="15" t="s">
        <v>156</v>
      </c>
      <c r="C10" s="14">
        <v>0.40261063784965501</v>
      </c>
      <c r="D10" s="14">
        <v>0.39025319804407499</v>
      </c>
      <c r="E10" s="14">
        <v>0.41634261112648002</v>
      </c>
      <c r="F10" s="14"/>
      <c r="G10" s="14">
        <v>0.40261063784965501</v>
      </c>
      <c r="H10" s="14" t="s">
        <v>76</v>
      </c>
      <c r="I10" s="14" t="s">
        <v>76</v>
      </c>
      <c r="J10" s="14"/>
      <c r="K10" s="14">
        <v>0.40261063784965501</v>
      </c>
      <c r="L10" s="14" t="s">
        <v>76</v>
      </c>
      <c r="M10" s="14" t="s">
        <v>76</v>
      </c>
      <c r="N10" s="14"/>
      <c r="O10" s="14">
        <v>0.39339490586867198</v>
      </c>
      <c r="P10" s="14">
        <v>0.50397300744074103</v>
      </c>
      <c r="Q10" s="14"/>
      <c r="R10" s="14">
        <v>0.43752517178113498</v>
      </c>
      <c r="S10" s="14">
        <v>0.46412518312129403</v>
      </c>
      <c r="T10" s="14">
        <v>0.37641597693739598</v>
      </c>
      <c r="U10" s="14">
        <v>0.36307110115833002</v>
      </c>
      <c r="V10" s="14">
        <v>0.43281013552356901</v>
      </c>
      <c r="W10" s="14">
        <v>0.35789028240043802</v>
      </c>
      <c r="X10" s="14">
        <v>0.43264438161166302</v>
      </c>
      <c r="Y10" s="14">
        <v>0.18435772622640501</v>
      </c>
      <c r="Z10" s="14">
        <v>0.410059015627602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0.40505668823102697</v>
      </c>
      <c r="AN10" s="14">
        <v>0.26961633678840502</v>
      </c>
    </row>
    <row r="11" spans="2:40" x14ac:dyDescent="0.35">
      <c r="B11" s="15" t="s">
        <v>157</v>
      </c>
      <c r="C11" s="14">
        <v>5.7282563237369501E-2</v>
      </c>
      <c r="D11" s="14">
        <v>2.3930705287361499E-2</v>
      </c>
      <c r="E11" s="14">
        <v>9.43441900231375E-2</v>
      </c>
      <c r="F11" s="14"/>
      <c r="G11" s="14">
        <v>5.7282563237369501E-2</v>
      </c>
      <c r="H11" s="14" t="s">
        <v>76</v>
      </c>
      <c r="I11" s="14" t="s">
        <v>76</v>
      </c>
      <c r="J11" s="14"/>
      <c r="K11" s="14">
        <v>5.7282563237369501E-2</v>
      </c>
      <c r="L11" s="14" t="s">
        <v>76</v>
      </c>
      <c r="M11" s="14" t="s">
        <v>76</v>
      </c>
      <c r="N11" s="14"/>
      <c r="O11" s="14">
        <v>5.0989019166787199E-2</v>
      </c>
      <c r="P11" s="14">
        <v>8.7673371796535199E-2</v>
      </c>
      <c r="Q11" s="14"/>
      <c r="R11" s="14">
        <v>5.1556943847070401E-2</v>
      </c>
      <c r="S11" s="14">
        <v>6.9766393355491299E-2</v>
      </c>
      <c r="T11" s="14">
        <v>0</v>
      </c>
      <c r="U11" s="14">
        <v>6.8433650997281006E-2</v>
      </c>
      <c r="V11" s="14">
        <v>0.107903235831751</v>
      </c>
      <c r="W11" s="14">
        <v>2.8414985422260799E-2</v>
      </c>
      <c r="X11" s="14">
        <v>6.2359108725442002E-2</v>
      </c>
      <c r="Y11" s="14">
        <v>0.113826106844393</v>
      </c>
      <c r="Z11" s="14">
        <v>4.2698349485531001E-2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3.5316173708814201E-2</v>
      </c>
      <c r="AN11" s="14">
        <v>0.11127446718468301</v>
      </c>
    </row>
    <row r="12" spans="2:40" x14ac:dyDescent="0.35">
      <c r="B12" s="15" t="s">
        <v>158</v>
      </c>
      <c r="C12" s="14">
        <v>4.8533314817945303E-2</v>
      </c>
      <c r="D12" s="14">
        <v>6.26688693608249E-2</v>
      </c>
      <c r="E12" s="14">
        <v>3.2825444879684702E-2</v>
      </c>
      <c r="F12" s="14"/>
      <c r="G12" s="14">
        <v>4.8533314817945303E-2</v>
      </c>
      <c r="H12" s="14" t="s">
        <v>76</v>
      </c>
      <c r="I12" s="14" t="s">
        <v>76</v>
      </c>
      <c r="J12" s="14"/>
      <c r="K12" s="14">
        <v>4.8533314817945303E-2</v>
      </c>
      <c r="L12" s="14" t="s">
        <v>76</v>
      </c>
      <c r="M12" s="14" t="s">
        <v>76</v>
      </c>
      <c r="N12" s="14"/>
      <c r="O12" s="14">
        <v>5.06276650348194E-2</v>
      </c>
      <c r="P12" s="14">
        <v>0</v>
      </c>
      <c r="Q12" s="14"/>
      <c r="R12" s="14">
        <v>0</v>
      </c>
      <c r="S12" s="14">
        <v>6.3647849745176704E-2</v>
      </c>
      <c r="T12" s="14">
        <v>0.153794541159614</v>
      </c>
      <c r="U12" s="14">
        <v>0.10173919781940299</v>
      </c>
      <c r="V12" s="14">
        <v>0</v>
      </c>
      <c r="W12" s="14">
        <v>2.69407237132222E-2</v>
      </c>
      <c r="X12" s="14">
        <v>0</v>
      </c>
      <c r="Y12" s="14">
        <v>0</v>
      </c>
      <c r="Z12" s="14">
        <v>6.7096911288426903E-2</v>
      </c>
      <c r="AA12" s="14"/>
      <c r="AB12" s="14" t="s">
        <v>76</v>
      </c>
      <c r="AC12" s="14" t="s">
        <v>76</v>
      </c>
      <c r="AD12" s="14" t="s">
        <v>76</v>
      </c>
      <c r="AE12" s="14" t="s">
        <v>76</v>
      </c>
      <c r="AF12" s="14"/>
      <c r="AG12" s="14" t="s">
        <v>76</v>
      </c>
      <c r="AH12" s="14" t="s">
        <v>76</v>
      </c>
      <c r="AI12" s="14"/>
      <c r="AJ12" s="14" t="s">
        <v>76</v>
      </c>
      <c r="AK12" s="14" t="s">
        <v>76</v>
      </c>
      <c r="AL12" s="14"/>
      <c r="AM12" s="14">
        <v>2.82389944435366E-2</v>
      </c>
      <c r="AN12" s="14">
        <v>9.7233167716484506E-2</v>
      </c>
    </row>
    <row r="13" spans="2:40" x14ac:dyDescent="0.35">
      <c r="B13" s="15" t="s">
        <v>70</v>
      </c>
      <c r="C13" s="20">
        <v>1.28142466658696E-2</v>
      </c>
      <c r="D13" s="20">
        <v>7.1158998003828904E-3</v>
      </c>
      <c r="E13" s="20">
        <v>1.9146427773773102E-2</v>
      </c>
      <c r="F13" s="20"/>
      <c r="G13" s="20">
        <v>1.28142466658696E-2</v>
      </c>
      <c r="H13" s="20" t="s">
        <v>76</v>
      </c>
      <c r="I13" s="20" t="s">
        <v>76</v>
      </c>
      <c r="J13" s="20"/>
      <c r="K13" s="20">
        <v>1.28142466658696E-2</v>
      </c>
      <c r="L13" s="20" t="s">
        <v>76</v>
      </c>
      <c r="M13" s="20" t="s">
        <v>76</v>
      </c>
      <c r="N13" s="20"/>
      <c r="O13" s="20">
        <v>1.43348401634549E-2</v>
      </c>
      <c r="P13" s="20">
        <v>0</v>
      </c>
      <c r="Q13" s="20"/>
      <c r="R13" s="20">
        <v>3.7017510110618199E-2</v>
      </c>
      <c r="S13" s="20">
        <v>2.1976081666163001E-2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7.1975829137981506E-2</v>
      </c>
      <c r="Z13" s="20">
        <v>0</v>
      </c>
      <c r="AA13" s="20"/>
      <c r="AB13" s="20" t="s">
        <v>76</v>
      </c>
      <c r="AC13" s="20" t="s">
        <v>76</v>
      </c>
      <c r="AD13" s="20" t="s">
        <v>76</v>
      </c>
      <c r="AE13" s="20" t="s">
        <v>76</v>
      </c>
      <c r="AF13" s="20"/>
      <c r="AG13" s="20" t="s">
        <v>76</v>
      </c>
      <c r="AH13" s="20" t="s">
        <v>76</v>
      </c>
      <c r="AI13" s="20"/>
      <c r="AJ13" s="20" t="s">
        <v>76</v>
      </c>
      <c r="AK13" s="20" t="s">
        <v>76</v>
      </c>
      <c r="AL13" s="20"/>
      <c r="AM13" s="20">
        <v>1.78302459057544E-2</v>
      </c>
      <c r="AN13" s="20">
        <v>0</v>
      </c>
    </row>
    <row r="14" spans="2:40" x14ac:dyDescent="0.35">
      <c r="B14" s="27" t="s">
        <v>177</v>
      </c>
    </row>
    <row r="15" spans="2:40" x14ac:dyDescent="0.35">
      <c r="B15" t="s">
        <v>72</v>
      </c>
    </row>
    <row r="16" spans="2:40" x14ac:dyDescent="0.35">
      <c r="B16" t="s">
        <v>73</v>
      </c>
    </row>
    <row r="18" spans="2:2" x14ac:dyDescent="0.35">
      <c r="B18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B2:AN20"/>
  <sheetViews>
    <sheetView showGridLines="0" workbookViewId="0">
      <pane xSplit="2" topLeftCell="C1" activePane="topRight" state="frozen"/>
      <selection pane="topRight" activeCell="B26" sqref="B26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165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385</v>
      </c>
      <c r="D7" s="10">
        <v>209</v>
      </c>
      <c r="E7" s="10">
        <v>176</v>
      </c>
      <c r="F7" s="10"/>
      <c r="G7" s="10">
        <v>385</v>
      </c>
      <c r="H7" s="10" t="s">
        <v>75</v>
      </c>
      <c r="I7" s="10" t="s">
        <v>75</v>
      </c>
      <c r="J7" s="10"/>
      <c r="K7" s="10">
        <v>385</v>
      </c>
      <c r="L7" s="10" t="s">
        <v>75</v>
      </c>
      <c r="M7" s="10" t="s">
        <v>75</v>
      </c>
      <c r="N7" s="10"/>
      <c r="O7" s="10">
        <v>343</v>
      </c>
      <c r="P7" s="10">
        <v>37</v>
      </c>
      <c r="Q7" s="10"/>
      <c r="R7" s="10">
        <v>59</v>
      </c>
      <c r="S7" s="10">
        <v>61</v>
      </c>
      <c r="T7" s="10">
        <v>38</v>
      </c>
      <c r="U7" s="10">
        <v>38</v>
      </c>
      <c r="V7" s="10">
        <v>41</v>
      </c>
      <c r="W7" s="10">
        <v>49</v>
      </c>
      <c r="X7" s="10">
        <v>21</v>
      </c>
      <c r="Y7" s="10">
        <v>18</v>
      </c>
      <c r="Z7" s="10">
        <v>60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273</v>
      </c>
      <c r="AN7" s="10">
        <v>57</v>
      </c>
    </row>
    <row r="8" spans="2:40" ht="30" customHeight="1" x14ac:dyDescent="0.35">
      <c r="B8" s="11" t="s">
        <v>20</v>
      </c>
      <c r="C8" s="11">
        <v>498</v>
      </c>
      <c r="D8" s="11">
        <v>262</v>
      </c>
      <c r="E8" s="11">
        <v>236</v>
      </c>
      <c r="F8" s="11"/>
      <c r="G8" s="11">
        <v>498</v>
      </c>
      <c r="H8" s="11" t="s">
        <v>75</v>
      </c>
      <c r="I8" s="11" t="s">
        <v>75</v>
      </c>
      <c r="J8" s="11"/>
      <c r="K8" s="11">
        <v>498</v>
      </c>
      <c r="L8" s="11" t="s">
        <v>75</v>
      </c>
      <c r="M8" s="11" t="s">
        <v>75</v>
      </c>
      <c r="N8" s="11"/>
      <c r="O8" s="11">
        <v>445</v>
      </c>
      <c r="P8" s="11">
        <v>46</v>
      </c>
      <c r="Q8" s="11"/>
      <c r="R8" s="11">
        <v>83</v>
      </c>
      <c r="S8" s="11">
        <v>74</v>
      </c>
      <c r="T8" s="11">
        <v>52</v>
      </c>
      <c r="U8" s="11">
        <v>57</v>
      </c>
      <c r="V8" s="11">
        <v>53</v>
      </c>
      <c r="W8" s="11">
        <v>48</v>
      </c>
      <c r="X8" s="11">
        <v>42</v>
      </c>
      <c r="Y8" s="11">
        <v>23</v>
      </c>
      <c r="Z8" s="11">
        <v>66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358</v>
      </c>
      <c r="AN8" s="11">
        <v>69</v>
      </c>
    </row>
    <row r="9" spans="2:40" x14ac:dyDescent="0.35">
      <c r="B9" s="15" t="s">
        <v>160</v>
      </c>
      <c r="C9" s="14">
        <v>0.30124746503335897</v>
      </c>
      <c r="D9" s="14">
        <v>0.33965761933212901</v>
      </c>
      <c r="E9" s="14">
        <v>0.258564901275185</v>
      </c>
      <c r="F9" s="14"/>
      <c r="G9" s="14">
        <v>0.30124746503335897</v>
      </c>
      <c r="H9" s="14" t="s">
        <v>76</v>
      </c>
      <c r="I9" s="14" t="s">
        <v>76</v>
      </c>
      <c r="J9" s="14"/>
      <c r="K9" s="14">
        <v>0.30124746503335897</v>
      </c>
      <c r="L9" s="14" t="s">
        <v>76</v>
      </c>
      <c r="M9" s="14" t="s">
        <v>76</v>
      </c>
      <c r="N9" s="14"/>
      <c r="O9" s="14">
        <v>0.29690529685998601</v>
      </c>
      <c r="P9" s="14">
        <v>0.38657706531460001</v>
      </c>
      <c r="Q9" s="14"/>
      <c r="R9" s="14">
        <v>0.33312523778782499</v>
      </c>
      <c r="S9" s="14">
        <v>0.27169430460741301</v>
      </c>
      <c r="T9" s="14">
        <v>0.22234209626052201</v>
      </c>
      <c r="U9" s="14">
        <v>0.25952757573819302</v>
      </c>
      <c r="V9" s="14">
        <v>0.21739092098354901</v>
      </c>
      <c r="W9" s="14">
        <v>0.32667773069766298</v>
      </c>
      <c r="X9" s="14">
        <v>0.44587280351919401</v>
      </c>
      <c r="Y9" s="14">
        <v>0.47796126932550698</v>
      </c>
      <c r="Z9" s="14">
        <v>0.28736175113564699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0.383086492921764</v>
      </c>
      <c r="AN9" s="14">
        <v>4.4298059818920502E-2</v>
      </c>
    </row>
    <row r="10" spans="2:40" x14ac:dyDescent="0.35">
      <c r="B10" s="15" t="s">
        <v>161</v>
      </c>
      <c r="C10" s="14">
        <v>0.50630669463605804</v>
      </c>
      <c r="D10" s="14">
        <v>0.49625984272796198</v>
      </c>
      <c r="E10" s="14">
        <v>0.51747107043628604</v>
      </c>
      <c r="F10" s="14"/>
      <c r="G10" s="14">
        <v>0.50630669463605804</v>
      </c>
      <c r="H10" s="14" t="s">
        <v>76</v>
      </c>
      <c r="I10" s="14" t="s">
        <v>76</v>
      </c>
      <c r="J10" s="14"/>
      <c r="K10" s="14">
        <v>0.50630669463605804</v>
      </c>
      <c r="L10" s="14" t="s">
        <v>76</v>
      </c>
      <c r="M10" s="14" t="s">
        <v>76</v>
      </c>
      <c r="N10" s="14"/>
      <c r="O10" s="14">
        <v>0.51335852329096698</v>
      </c>
      <c r="P10" s="14">
        <v>0.44098550114733998</v>
      </c>
      <c r="Q10" s="14"/>
      <c r="R10" s="14">
        <v>0.63855025795874198</v>
      </c>
      <c r="S10" s="14">
        <v>0.45973732658681099</v>
      </c>
      <c r="T10" s="14">
        <v>0.61047103051239204</v>
      </c>
      <c r="U10" s="14">
        <v>0.44214310517650302</v>
      </c>
      <c r="V10" s="14">
        <v>0.56308998861525705</v>
      </c>
      <c r="W10" s="14">
        <v>0.47966748646940999</v>
      </c>
      <c r="X10" s="14">
        <v>0.48411397891994001</v>
      </c>
      <c r="Y10" s="14">
        <v>0.260975312675224</v>
      </c>
      <c r="Z10" s="14">
        <v>0.44065844553108802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0.52073826130417</v>
      </c>
      <c r="AN10" s="14">
        <v>0.445938659713631</v>
      </c>
    </row>
    <row r="11" spans="2:40" x14ac:dyDescent="0.35">
      <c r="B11" s="15" t="s">
        <v>162</v>
      </c>
      <c r="C11" s="14">
        <v>0.16310420132599299</v>
      </c>
      <c r="D11" s="14">
        <v>0.14045167325574301</v>
      </c>
      <c r="E11" s="14">
        <v>0.18827639839975499</v>
      </c>
      <c r="F11" s="14"/>
      <c r="G11" s="14">
        <v>0.16310420132599299</v>
      </c>
      <c r="H11" s="14" t="s">
        <v>76</v>
      </c>
      <c r="I11" s="14" t="s">
        <v>76</v>
      </c>
      <c r="J11" s="14"/>
      <c r="K11" s="14">
        <v>0.16310420132599299</v>
      </c>
      <c r="L11" s="14" t="s">
        <v>76</v>
      </c>
      <c r="M11" s="14" t="s">
        <v>76</v>
      </c>
      <c r="N11" s="14"/>
      <c r="O11" s="14">
        <v>0.160387413218821</v>
      </c>
      <c r="P11" s="14">
        <v>0.13893162771034501</v>
      </c>
      <c r="Q11" s="14"/>
      <c r="R11" s="14">
        <v>2.8324504253432699E-2</v>
      </c>
      <c r="S11" s="14">
        <v>0.21456014707582699</v>
      </c>
      <c r="T11" s="14">
        <v>0.167186873227086</v>
      </c>
      <c r="U11" s="14">
        <v>0.26320121221313297</v>
      </c>
      <c r="V11" s="14">
        <v>0.200074003920576</v>
      </c>
      <c r="W11" s="14">
        <v>0.16061102932152499</v>
      </c>
      <c r="X11" s="14">
        <v>7.00132175608663E-2</v>
      </c>
      <c r="Y11" s="14">
        <v>0.18908758886128799</v>
      </c>
      <c r="Z11" s="14">
        <v>0.20698381962273099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6.8166390380996394E-2</v>
      </c>
      <c r="AN11" s="14">
        <v>0.48625644656664202</v>
      </c>
    </row>
    <row r="12" spans="2:40" x14ac:dyDescent="0.35">
      <c r="B12" s="15" t="s">
        <v>163</v>
      </c>
      <c r="C12" s="14">
        <v>1.1074432180687399E-2</v>
      </c>
      <c r="D12" s="14">
        <v>1.4549451119652199E-2</v>
      </c>
      <c r="E12" s="14">
        <v>7.2128825428101496E-3</v>
      </c>
      <c r="F12" s="14"/>
      <c r="G12" s="14">
        <v>1.1074432180687399E-2</v>
      </c>
      <c r="H12" s="14" t="s">
        <v>76</v>
      </c>
      <c r="I12" s="14" t="s">
        <v>76</v>
      </c>
      <c r="J12" s="14"/>
      <c r="K12" s="14">
        <v>1.1074432180687399E-2</v>
      </c>
      <c r="L12" s="14" t="s">
        <v>76</v>
      </c>
      <c r="M12" s="14" t="s">
        <v>76</v>
      </c>
      <c r="N12" s="14"/>
      <c r="O12" s="14">
        <v>8.9138946567624E-3</v>
      </c>
      <c r="P12" s="14">
        <v>3.3505805827715902E-2</v>
      </c>
      <c r="Q12" s="14"/>
      <c r="R12" s="14">
        <v>0</v>
      </c>
      <c r="S12" s="14">
        <v>3.2032140063785797E-2</v>
      </c>
      <c r="T12" s="14">
        <v>0</v>
      </c>
      <c r="U12" s="14">
        <v>0</v>
      </c>
      <c r="V12" s="14">
        <v>0</v>
      </c>
      <c r="W12" s="14">
        <v>3.3043753511401999E-2</v>
      </c>
      <c r="X12" s="14">
        <v>0</v>
      </c>
      <c r="Y12" s="14">
        <v>0</v>
      </c>
      <c r="Z12" s="14">
        <v>2.3405297007339902E-2</v>
      </c>
      <c r="AA12" s="14"/>
      <c r="AB12" s="14" t="s">
        <v>76</v>
      </c>
      <c r="AC12" s="14" t="s">
        <v>76</v>
      </c>
      <c r="AD12" s="14" t="s">
        <v>76</v>
      </c>
      <c r="AE12" s="14" t="s">
        <v>76</v>
      </c>
      <c r="AF12" s="14"/>
      <c r="AG12" s="14" t="s">
        <v>76</v>
      </c>
      <c r="AH12" s="14" t="s">
        <v>76</v>
      </c>
      <c r="AI12" s="14"/>
      <c r="AJ12" s="14" t="s">
        <v>76</v>
      </c>
      <c r="AK12" s="14" t="s">
        <v>76</v>
      </c>
      <c r="AL12" s="14"/>
      <c r="AM12" s="14">
        <v>6.5557210542349599E-3</v>
      </c>
      <c r="AN12" s="14">
        <v>2.35068339008071E-2</v>
      </c>
    </row>
    <row r="13" spans="2:40" x14ac:dyDescent="0.35">
      <c r="B13" s="15" t="s">
        <v>70</v>
      </c>
      <c r="C13" s="21">
        <v>1.8267206823902701E-2</v>
      </c>
      <c r="D13" s="21">
        <v>9.0814135645131602E-3</v>
      </c>
      <c r="E13" s="21">
        <v>2.8474747345963398E-2</v>
      </c>
      <c r="F13" s="21"/>
      <c r="G13" s="21">
        <v>1.8267206823902701E-2</v>
      </c>
      <c r="H13" s="21" t="s">
        <v>76</v>
      </c>
      <c r="I13" s="21" t="s">
        <v>76</v>
      </c>
      <c r="J13" s="21"/>
      <c r="K13" s="21">
        <v>1.8267206823902701E-2</v>
      </c>
      <c r="L13" s="21" t="s">
        <v>76</v>
      </c>
      <c r="M13" s="21" t="s">
        <v>76</v>
      </c>
      <c r="N13" s="21"/>
      <c r="O13" s="21">
        <v>2.04348719734627E-2</v>
      </c>
      <c r="P13" s="21">
        <v>0</v>
      </c>
      <c r="Q13" s="21"/>
      <c r="R13" s="21">
        <v>0</v>
      </c>
      <c r="S13" s="21">
        <v>2.1976081666163001E-2</v>
      </c>
      <c r="T13" s="21">
        <v>0</v>
      </c>
      <c r="U13" s="21">
        <v>3.5128106872170398E-2</v>
      </c>
      <c r="V13" s="21">
        <v>1.9445086480618101E-2</v>
      </c>
      <c r="W13" s="21">
        <v>0</v>
      </c>
      <c r="X13" s="21">
        <v>0</v>
      </c>
      <c r="Y13" s="21">
        <v>7.1975829137981506E-2</v>
      </c>
      <c r="Z13" s="21">
        <v>4.1590686703193699E-2</v>
      </c>
      <c r="AA13" s="21"/>
      <c r="AB13" s="21" t="s">
        <v>76</v>
      </c>
      <c r="AC13" s="21" t="s">
        <v>76</v>
      </c>
      <c r="AD13" s="21" t="s">
        <v>76</v>
      </c>
      <c r="AE13" s="21" t="s">
        <v>76</v>
      </c>
      <c r="AF13" s="21"/>
      <c r="AG13" s="21" t="s">
        <v>76</v>
      </c>
      <c r="AH13" s="21" t="s">
        <v>76</v>
      </c>
      <c r="AI13" s="21"/>
      <c r="AJ13" s="21" t="s">
        <v>76</v>
      </c>
      <c r="AK13" s="21" t="s">
        <v>76</v>
      </c>
      <c r="AL13" s="21"/>
      <c r="AM13" s="21">
        <v>2.14531343388355E-2</v>
      </c>
      <c r="AN13" s="21">
        <v>0</v>
      </c>
    </row>
    <row r="14" spans="2:40" x14ac:dyDescent="0.35">
      <c r="B14" s="15" t="s">
        <v>164</v>
      </c>
      <c r="C14" s="21">
        <v>0.80755415966941702</v>
      </c>
      <c r="D14" s="21">
        <v>0.83591746206009099</v>
      </c>
      <c r="E14" s="21">
        <v>0.77603597171147098</v>
      </c>
      <c r="F14" s="21"/>
      <c r="G14" s="21">
        <v>0.80755415966941702</v>
      </c>
      <c r="H14" s="21" t="s">
        <v>76</v>
      </c>
      <c r="I14" s="21" t="s">
        <v>76</v>
      </c>
      <c r="J14" s="21"/>
      <c r="K14" s="21">
        <v>0.80755415966941702</v>
      </c>
      <c r="L14" s="21" t="s">
        <v>76</v>
      </c>
      <c r="M14" s="21" t="s">
        <v>76</v>
      </c>
      <c r="N14" s="21"/>
      <c r="O14" s="21">
        <v>0.810263820150954</v>
      </c>
      <c r="P14" s="21">
        <v>0.82756256646193904</v>
      </c>
      <c r="Q14" s="21"/>
      <c r="R14" s="21">
        <v>0.97167549574656698</v>
      </c>
      <c r="S14" s="21">
        <v>0.73143163119422505</v>
      </c>
      <c r="T14" s="21">
        <v>0.83281312677291397</v>
      </c>
      <c r="U14" s="21">
        <v>0.70167068091469598</v>
      </c>
      <c r="V14" s="21">
        <v>0.78048090959880601</v>
      </c>
      <c r="W14" s="21">
        <v>0.80634521716707297</v>
      </c>
      <c r="X14" s="21">
        <v>0.92998678243913402</v>
      </c>
      <c r="Y14" s="21">
        <v>0.73893658200073098</v>
      </c>
      <c r="Z14" s="21">
        <v>0.72802019666673501</v>
      </c>
      <c r="AA14" s="21"/>
      <c r="AB14" s="21" t="s">
        <v>76</v>
      </c>
      <c r="AC14" s="21" t="s">
        <v>76</v>
      </c>
      <c r="AD14" s="21" t="s">
        <v>76</v>
      </c>
      <c r="AE14" s="21" t="s">
        <v>76</v>
      </c>
      <c r="AF14" s="21"/>
      <c r="AG14" s="21" t="s">
        <v>76</v>
      </c>
      <c r="AH14" s="21" t="s">
        <v>76</v>
      </c>
      <c r="AI14" s="21"/>
      <c r="AJ14" s="21" t="s">
        <v>76</v>
      </c>
      <c r="AK14" s="21" t="s">
        <v>76</v>
      </c>
      <c r="AL14" s="21"/>
      <c r="AM14" s="21">
        <v>0.903824754225933</v>
      </c>
      <c r="AN14" s="21">
        <v>0.49023671953255099</v>
      </c>
    </row>
    <row r="15" spans="2:40" x14ac:dyDescent="0.35">
      <c r="B15" s="15" t="s">
        <v>136</v>
      </c>
      <c r="C15" s="22">
        <v>-0.78928695284551398</v>
      </c>
      <c r="D15" s="22">
        <v>-0.82683604849557801</v>
      </c>
      <c r="E15" s="22">
        <v>-0.74756122436550798</v>
      </c>
      <c r="F15" s="22"/>
      <c r="G15" s="22">
        <v>-0.78928695284551398</v>
      </c>
      <c r="H15" s="22" t="s">
        <v>76</v>
      </c>
      <c r="I15" s="22" t="s">
        <v>76</v>
      </c>
      <c r="J15" s="22"/>
      <c r="K15" s="22">
        <v>-0.78928695284551398</v>
      </c>
      <c r="L15" s="22" t="s">
        <v>76</v>
      </c>
      <c r="M15" s="22" t="s">
        <v>76</v>
      </c>
      <c r="N15" s="22"/>
      <c r="O15" s="22">
        <v>-0.78982894817749105</v>
      </c>
      <c r="P15" s="22">
        <v>-0.82756256646193904</v>
      </c>
      <c r="Q15" s="22"/>
      <c r="R15" s="22">
        <v>-0.97167549574656698</v>
      </c>
      <c r="S15" s="22">
        <v>-0.709455549528062</v>
      </c>
      <c r="T15" s="22">
        <v>-0.83281312677291397</v>
      </c>
      <c r="U15" s="22">
        <v>-0.66654257404252604</v>
      </c>
      <c r="V15" s="22">
        <v>-0.76103582311818796</v>
      </c>
      <c r="W15" s="22">
        <v>-0.80634521716707297</v>
      </c>
      <c r="X15" s="22">
        <v>-0.92998678243913402</v>
      </c>
      <c r="Y15" s="22">
        <v>-0.66696075286274903</v>
      </c>
      <c r="Z15" s="22">
        <v>-0.68642950996354102</v>
      </c>
      <c r="AA15" s="22"/>
      <c r="AB15" s="22" t="s">
        <v>76</v>
      </c>
      <c r="AC15" s="22" t="s">
        <v>76</v>
      </c>
      <c r="AD15" s="22" t="s">
        <v>76</v>
      </c>
      <c r="AE15" s="22" t="s">
        <v>76</v>
      </c>
      <c r="AF15" s="22"/>
      <c r="AG15" s="22" t="s">
        <v>76</v>
      </c>
      <c r="AH15" s="22" t="s">
        <v>76</v>
      </c>
      <c r="AI15" s="22"/>
      <c r="AJ15" s="22" t="s">
        <v>76</v>
      </c>
      <c r="AK15" s="22" t="s">
        <v>76</v>
      </c>
      <c r="AL15" s="22"/>
      <c r="AM15" s="22">
        <v>-0.882371619887098</v>
      </c>
      <c r="AN15" s="22">
        <v>-0.49023671953255099</v>
      </c>
    </row>
    <row r="16" spans="2:40" x14ac:dyDescent="0.35">
      <c r="B16" s="27" t="s">
        <v>177</v>
      </c>
    </row>
    <row r="17" spans="2:2" x14ac:dyDescent="0.35">
      <c r="B17" t="s">
        <v>72</v>
      </c>
    </row>
    <row r="18" spans="2:2" x14ac:dyDescent="0.35">
      <c r="B18" t="s">
        <v>73</v>
      </c>
    </row>
    <row r="20" spans="2:2" x14ac:dyDescent="0.35">
      <c r="B20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B2:AN18"/>
  <sheetViews>
    <sheetView showGridLines="0" workbookViewId="0">
      <pane xSplit="2" topLeftCell="C1" activePane="topRight" state="frozen"/>
      <selection pane="topRight" activeCell="B19" sqref="B19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170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385</v>
      </c>
      <c r="D7" s="10">
        <v>209</v>
      </c>
      <c r="E7" s="10">
        <v>176</v>
      </c>
      <c r="F7" s="10"/>
      <c r="G7" s="10">
        <v>385</v>
      </c>
      <c r="H7" s="10" t="s">
        <v>75</v>
      </c>
      <c r="I7" s="10" t="s">
        <v>75</v>
      </c>
      <c r="J7" s="10"/>
      <c r="K7" s="10">
        <v>385</v>
      </c>
      <c r="L7" s="10" t="s">
        <v>75</v>
      </c>
      <c r="M7" s="10" t="s">
        <v>75</v>
      </c>
      <c r="N7" s="10"/>
      <c r="O7" s="10">
        <v>343</v>
      </c>
      <c r="P7" s="10">
        <v>37</v>
      </c>
      <c r="Q7" s="10"/>
      <c r="R7" s="10">
        <v>59</v>
      </c>
      <c r="S7" s="10">
        <v>61</v>
      </c>
      <c r="T7" s="10">
        <v>38</v>
      </c>
      <c r="U7" s="10">
        <v>38</v>
      </c>
      <c r="V7" s="10">
        <v>41</v>
      </c>
      <c r="W7" s="10">
        <v>49</v>
      </c>
      <c r="X7" s="10">
        <v>21</v>
      </c>
      <c r="Y7" s="10">
        <v>18</v>
      </c>
      <c r="Z7" s="10">
        <v>60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273</v>
      </c>
      <c r="AN7" s="10">
        <v>57</v>
      </c>
    </row>
    <row r="8" spans="2:40" ht="30" customHeight="1" x14ac:dyDescent="0.35">
      <c r="B8" s="11" t="s">
        <v>20</v>
      </c>
      <c r="C8" s="11">
        <v>498</v>
      </c>
      <c r="D8" s="11">
        <v>262</v>
      </c>
      <c r="E8" s="11">
        <v>236</v>
      </c>
      <c r="F8" s="11"/>
      <c r="G8" s="11">
        <v>498</v>
      </c>
      <c r="H8" s="11" t="s">
        <v>75</v>
      </c>
      <c r="I8" s="11" t="s">
        <v>75</v>
      </c>
      <c r="J8" s="11"/>
      <c r="K8" s="11">
        <v>498</v>
      </c>
      <c r="L8" s="11" t="s">
        <v>75</v>
      </c>
      <c r="M8" s="11" t="s">
        <v>75</v>
      </c>
      <c r="N8" s="11"/>
      <c r="O8" s="11">
        <v>445</v>
      </c>
      <c r="P8" s="11">
        <v>46</v>
      </c>
      <c r="Q8" s="11"/>
      <c r="R8" s="11">
        <v>83</v>
      </c>
      <c r="S8" s="11">
        <v>74</v>
      </c>
      <c r="T8" s="11">
        <v>52</v>
      </c>
      <c r="U8" s="11">
        <v>57</v>
      </c>
      <c r="V8" s="11">
        <v>53</v>
      </c>
      <c r="W8" s="11">
        <v>48</v>
      </c>
      <c r="X8" s="11">
        <v>42</v>
      </c>
      <c r="Y8" s="11">
        <v>23</v>
      </c>
      <c r="Z8" s="11">
        <v>66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358</v>
      </c>
      <c r="AN8" s="11">
        <v>69</v>
      </c>
    </row>
    <row r="9" spans="2:40" x14ac:dyDescent="0.35">
      <c r="B9" s="15" t="s">
        <v>166</v>
      </c>
      <c r="C9" s="14">
        <v>0.33660450664421798</v>
      </c>
      <c r="D9" s="14">
        <v>0.37573150027309998</v>
      </c>
      <c r="E9" s="14">
        <v>0.29312536862149102</v>
      </c>
      <c r="F9" s="14"/>
      <c r="G9" s="14">
        <v>0.33660450664421798</v>
      </c>
      <c r="H9" s="14" t="s">
        <v>76</v>
      </c>
      <c r="I9" s="14" t="s">
        <v>76</v>
      </c>
      <c r="J9" s="14"/>
      <c r="K9" s="14">
        <v>0.33660450664421798</v>
      </c>
      <c r="L9" s="14" t="s">
        <v>76</v>
      </c>
      <c r="M9" s="14" t="s">
        <v>76</v>
      </c>
      <c r="N9" s="14"/>
      <c r="O9" s="14">
        <v>0.33719796557895698</v>
      </c>
      <c r="P9" s="14">
        <v>0.354663972772714</v>
      </c>
      <c r="Q9" s="14"/>
      <c r="R9" s="14">
        <v>0.43568180855039201</v>
      </c>
      <c r="S9" s="14">
        <v>0.28989158172384299</v>
      </c>
      <c r="T9" s="14">
        <v>0.21162127265163799</v>
      </c>
      <c r="U9" s="14">
        <v>0.28781564420455902</v>
      </c>
      <c r="V9" s="14">
        <v>0.301314764381931</v>
      </c>
      <c r="W9" s="14">
        <v>0.36957019237514899</v>
      </c>
      <c r="X9" s="14">
        <v>0.58273341490071096</v>
      </c>
      <c r="Y9" s="14">
        <v>0.29589369664759602</v>
      </c>
      <c r="Z9" s="14">
        <v>0.26805638769360102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0.43204456253096202</v>
      </c>
      <c r="AN9" s="14">
        <v>0.111078855707597</v>
      </c>
    </row>
    <row r="10" spans="2:40" x14ac:dyDescent="0.35">
      <c r="B10" s="15" t="s">
        <v>167</v>
      </c>
      <c r="C10" s="14">
        <v>0.43615968917532599</v>
      </c>
      <c r="D10" s="14">
        <v>0.40459613000085698</v>
      </c>
      <c r="E10" s="14">
        <v>0.47123410247812098</v>
      </c>
      <c r="F10" s="14"/>
      <c r="G10" s="14">
        <v>0.43615968917532599</v>
      </c>
      <c r="H10" s="14" t="s">
        <v>76</v>
      </c>
      <c r="I10" s="14" t="s">
        <v>76</v>
      </c>
      <c r="J10" s="14"/>
      <c r="K10" s="14">
        <v>0.43615968917532599</v>
      </c>
      <c r="L10" s="14" t="s">
        <v>76</v>
      </c>
      <c r="M10" s="14" t="s">
        <v>76</v>
      </c>
      <c r="N10" s="14"/>
      <c r="O10" s="14">
        <v>0.435119955297117</v>
      </c>
      <c r="P10" s="14">
        <v>0.48407000029292302</v>
      </c>
      <c r="Q10" s="14"/>
      <c r="R10" s="14">
        <v>0.44817358759436798</v>
      </c>
      <c r="S10" s="14">
        <v>0.415984094447788</v>
      </c>
      <c r="T10" s="14">
        <v>0.48201728087622803</v>
      </c>
      <c r="U10" s="14">
        <v>0.57531705015997503</v>
      </c>
      <c r="V10" s="14">
        <v>0.47198330330611199</v>
      </c>
      <c r="W10" s="14">
        <v>0.40282715170562799</v>
      </c>
      <c r="X10" s="14">
        <v>0.220100602742104</v>
      </c>
      <c r="Y10" s="14">
        <v>0.47316842724139202</v>
      </c>
      <c r="Z10" s="14">
        <v>0.40749624107661298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0.47490261921787102</v>
      </c>
      <c r="AN10" s="14">
        <v>0.209074762706777</v>
      </c>
    </row>
    <row r="11" spans="2:40" x14ac:dyDescent="0.35">
      <c r="B11" s="15" t="s">
        <v>168</v>
      </c>
      <c r="C11" s="14">
        <v>0.16912275755452499</v>
      </c>
      <c r="D11" s="14">
        <v>0.164711377102082</v>
      </c>
      <c r="E11" s="14">
        <v>0.17402482136708899</v>
      </c>
      <c r="F11" s="14"/>
      <c r="G11" s="14">
        <v>0.16912275755452499</v>
      </c>
      <c r="H11" s="14" t="s">
        <v>76</v>
      </c>
      <c r="I11" s="14" t="s">
        <v>76</v>
      </c>
      <c r="J11" s="14"/>
      <c r="K11" s="14">
        <v>0.16912275755452499</v>
      </c>
      <c r="L11" s="14" t="s">
        <v>76</v>
      </c>
      <c r="M11" s="14" t="s">
        <v>76</v>
      </c>
      <c r="N11" s="14"/>
      <c r="O11" s="14">
        <v>0.169812587365296</v>
      </c>
      <c r="P11" s="14">
        <v>0.127760221106646</v>
      </c>
      <c r="Q11" s="14"/>
      <c r="R11" s="14">
        <v>0.11614460385524</v>
      </c>
      <c r="S11" s="14">
        <v>0.18452615502343001</v>
      </c>
      <c r="T11" s="14">
        <v>0.250870189013219</v>
      </c>
      <c r="U11" s="14">
        <v>6.8433653694292093E-2</v>
      </c>
      <c r="V11" s="14">
        <v>0.18674767055247199</v>
      </c>
      <c r="W11" s="14">
        <v>0.111358350645045</v>
      </c>
      <c r="X11" s="14">
        <v>0.19716598235718499</v>
      </c>
      <c r="Y11" s="14">
        <v>0.186797421235707</v>
      </c>
      <c r="Z11" s="14">
        <v>0.243989106072414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8.4559463221071704E-2</v>
      </c>
      <c r="AN11" s="14">
        <v>0.41500987639940001</v>
      </c>
    </row>
    <row r="12" spans="2:40" x14ac:dyDescent="0.35">
      <c r="B12" s="15" t="s">
        <v>169</v>
      </c>
      <c r="C12" s="14">
        <v>4.6411793966830497E-2</v>
      </c>
      <c r="D12" s="14">
        <v>4.51781750375621E-2</v>
      </c>
      <c r="E12" s="14">
        <v>4.7782629871113098E-2</v>
      </c>
      <c r="F12" s="14"/>
      <c r="G12" s="14">
        <v>4.6411793966830497E-2</v>
      </c>
      <c r="H12" s="14" t="s">
        <v>76</v>
      </c>
      <c r="I12" s="14" t="s">
        <v>76</v>
      </c>
      <c r="J12" s="14"/>
      <c r="K12" s="14">
        <v>4.6411793966830497E-2</v>
      </c>
      <c r="L12" s="14" t="s">
        <v>76</v>
      </c>
      <c r="M12" s="14" t="s">
        <v>76</v>
      </c>
      <c r="N12" s="14"/>
      <c r="O12" s="14">
        <v>4.8444539431358E-2</v>
      </c>
      <c r="P12" s="14">
        <v>3.3505805827715902E-2</v>
      </c>
      <c r="Q12" s="14"/>
      <c r="R12" s="14">
        <v>0</v>
      </c>
      <c r="S12" s="14">
        <v>6.56460054726139E-2</v>
      </c>
      <c r="T12" s="14">
        <v>2.1795394697742401E-2</v>
      </c>
      <c r="U12" s="14">
        <v>6.8433651941173596E-2</v>
      </c>
      <c r="V12" s="14">
        <v>3.9954261759485202E-2</v>
      </c>
      <c r="W12" s="14">
        <v>0.11624430527417801</v>
      </c>
      <c r="X12" s="14">
        <v>0</v>
      </c>
      <c r="Y12" s="14">
        <v>4.4140454875305997E-2</v>
      </c>
      <c r="Z12" s="14">
        <v>6.8044800810177802E-2</v>
      </c>
      <c r="AA12" s="14"/>
      <c r="AB12" s="14" t="s">
        <v>76</v>
      </c>
      <c r="AC12" s="14" t="s">
        <v>76</v>
      </c>
      <c r="AD12" s="14" t="s">
        <v>76</v>
      </c>
      <c r="AE12" s="14" t="s">
        <v>76</v>
      </c>
      <c r="AF12" s="14"/>
      <c r="AG12" s="14" t="s">
        <v>76</v>
      </c>
      <c r="AH12" s="14" t="s">
        <v>76</v>
      </c>
      <c r="AI12" s="14"/>
      <c r="AJ12" s="14" t="s">
        <v>76</v>
      </c>
      <c r="AK12" s="14" t="s">
        <v>76</v>
      </c>
      <c r="AL12" s="14"/>
      <c r="AM12" s="14">
        <v>3.9349042782618002E-3</v>
      </c>
      <c r="AN12" s="14">
        <v>0.26483650518622598</v>
      </c>
    </row>
    <row r="13" spans="2:40" x14ac:dyDescent="0.35">
      <c r="B13" s="15" t="s">
        <v>70</v>
      </c>
      <c r="C13" s="20">
        <v>1.1701252659100299E-2</v>
      </c>
      <c r="D13" s="20">
        <v>9.7828175863987794E-3</v>
      </c>
      <c r="E13" s="20">
        <v>1.38330776621861E-2</v>
      </c>
      <c r="F13" s="20"/>
      <c r="G13" s="20">
        <v>1.1701252659100299E-2</v>
      </c>
      <c r="H13" s="20" t="s">
        <v>76</v>
      </c>
      <c r="I13" s="20" t="s">
        <v>76</v>
      </c>
      <c r="J13" s="20"/>
      <c r="K13" s="20">
        <v>1.1701252659100299E-2</v>
      </c>
      <c r="L13" s="20" t="s">
        <v>76</v>
      </c>
      <c r="M13" s="20" t="s">
        <v>76</v>
      </c>
      <c r="N13" s="20"/>
      <c r="O13" s="20">
        <v>9.4249523272716598E-3</v>
      </c>
      <c r="P13" s="20">
        <v>0</v>
      </c>
      <c r="Q13" s="20"/>
      <c r="R13" s="20">
        <v>0</v>
      </c>
      <c r="S13" s="20">
        <v>4.3952163332326002E-2</v>
      </c>
      <c r="T13" s="20">
        <v>3.3695862761173E-2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1.2413464347193801E-2</v>
      </c>
      <c r="AA13" s="20"/>
      <c r="AB13" s="20" t="s">
        <v>76</v>
      </c>
      <c r="AC13" s="20" t="s">
        <v>76</v>
      </c>
      <c r="AD13" s="20" t="s">
        <v>76</v>
      </c>
      <c r="AE13" s="20" t="s">
        <v>76</v>
      </c>
      <c r="AF13" s="20"/>
      <c r="AG13" s="20" t="s">
        <v>76</v>
      </c>
      <c r="AH13" s="20" t="s">
        <v>76</v>
      </c>
      <c r="AI13" s="20"/>
      <c r="AJ13" s="20" t="s">
        <v>76</v>
      </c>
      <c r="AK13" s="20" t="s">
        <v>76</v>
      </c>
      <c r="AL13" s="20"/>
      <c r="AM13" s="20">
        <v>4.5584507518343304E-3</v>
      </c>
      <c r="AN13" s="20">
        <v>0</v>
      </c>
    </row>
    <row r="14" spans="2:40" x14ac:dyDescent="0.35">
      <c r="B14" s="27" t="s">
        <v>177</v>
      </c>
    </row>
    <row r="15" spans="2:40" x14ac:dyDescent="0.35">
      <c r="B15" t="s">
        <v>72</v>
      </c>
    </row>
    <row r="16" spans="2:40" x14ac:dyDescent="0.35">
      <c r="B16" t="s">
        <v>73</v>
      </c>
    </row>
    <row r="18" spans="2:2" x14ac:dyDescent="0.35">
      <c r="B18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B2:AN16"/>
  <sheetViews>
    <sheetView showGridLines="0" workbookViewId="0">
      <pane xSplit="2" topLeftCell="C1" activePane="topRight" state="frozen"/>
      <selection pane="topRight" activeCell="B17" sqref="B17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171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429</v>
      </c>
      <c r="D7" s="10">
        <v>234</v>
      </c>
      <c r="E7" s="10">
        <v>195</v>
      </c>
      <c r="F7" s="10"/>
      <c r="G7" s="10">
        <v>429</v>
      </c>
      <c r="H7" s="10" t="s">
        <v>75</v>
      </c>
      <c r="I7" s="10" t="s">
        <v>75</v>
      </c>
      <c r="J7" s="10"/>
      <c r="K7" s="10">
        <v>429</v>
      </c>
      <c r="L7" s="10" t="s">
        <v>75</v>
      </c>
      <c r="M7" s="10" t="s">
        <v>75</v>
      </c>
      <c r="N7" s="10"/>
      <c r="O7" s="10">
        <v>381</v>
      </c>
      <c r="P7" s="10">
        <v>43</v>
      </c>
      <c r="Q7" s="10"/>
      <c r="R7" s="10">
        <v>68</v>
      </c>
      <c r="S7" s="10">
        <v>65</v>
      </c>
      <c r="T7" s="10">
        <v>43</v>
      </c>
      <c r="U7" s="10">
        <v>41</v>
      </c>
      <c r="V7" s="10">
        <v>41</v>
      </c>
      <c r="W7" s="10">
        <v>57</v>
      </c>
      <c r="X7" s="10">
        <v>28</v>
      </c>
      <c r="Y7" s="10">
        <v>21</v>
      </c>
      <c r="Z7" s="10">
        <v>65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301</v>
      </c>
      <c r="AN7" s="10">
        <v>63</v>
      </c>
    </row>
    <row r="8" spans="2:40" ht="30" customHeight="1" x14ac:dyDescent="0.35">
      <c r="B8" s="11" t="s">
        <v>20</v>
      </c>
      <c r="C8" s="11">
        <v>559</v>
      </c>
      <c r="D8" s="11">
        <v>295</v>
      </c>
      <c r="E8" s="11">
        <v>264</v>
      </c>
      <c r="F8" s="11"/>
      <c r="G8" s="11">
        <v>559</v>
      </c>
      <c r="H8" s="11" t="s">
        <v>75</v>
      </c>
      <c r="I8" s="11" t="s">
        <v>75</v>
      </c>
      <c r="J8" s="11"/>
      <c r="K8" s="11">
        <v>559</v>
      </c>
      <c r="L8" s="11" t="s">
        <v>75</v>
      </c>
      <c r="M8" s="11" t="s">
        <v>75</v>
      </c>
      <c r="N8" s="11"/>
      <c r="O8" s="11">
        <v>500</v>
      </c>
      <c r="P8" s="11">
        <v>53</v>
      </c>
      <c r="Q8" s="11"/>
      <c r="R8" s="11">
        <v>96</v>
      </c>
      <c r="S8" s="11">
        <v>78</v>
      </c>
      <c r="T8" s="11">
        <v>58</v>
      </c>
      <c r="U8" s="11">
        <v>62</v>
      </c>
      <c r="V8" s="11">
        <v>53</v>
      </c>
      <c r="W8" s="11">
        <v>57</v>
      </c>
      <c r="X8" s="11">
        <v>56</v>
      </c>
      <c r="Y8" s="11">
        <v>26</v>
      </c>
      <c r="Z8" s="11">
        <v>72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396</v>
      </c>
      <c r="AN8" s="11">
        <v>77</v>
      </c>
    </row>
    <row r="9" spans="2:40" x14ac:dyDescent="0.35">
      <c r="B9" s="15" t="s">
        <v>44</v>
      </c>
      <c r="C9" s="14">
        <v>0.58037710723179903</v>
      </c>
      <c r="D9" s="14">
        <v>0.63064166377273201</v>
      </c>
      <c r="E9" s="14">
        <v>0.524211543566238</v>
      </c>
      <c r="F9" s="14"/>
      <c r="G9" s="14">
        <v>0.58037710723179903</v>
      </c>
      <c r="H9" s="14" t="s">
        <v>76</v>
      </c>
      <c r="I9" s="14" t="s">
        <v>76</v>
      </c>
      <c r="J9" s="14"/>
      <c r="K9" s="14">
        <v>0.58037710723179903</v>
      </c>
      <c r="L9" s="14" t="s">
        <v>76</v>
      </c>
      <c r="M9" s="14" t="s">
        <v>76</v>
      </c>
      <c r="N9" s="14"/>
      <c r="O9" s="14">
        <v>0.56438153611264397</v>
      </c>
      <c r="P9" s="14">
        <v>0.74358311948552402</v>
      </c>
      <c r="Q9" s="14"/>
      <c r="R9" s="14">
        <v>0.69335205704173297</v>
      </c>
      <c r="S9" s="14">
        <v>0.43091643999729101</v>
      </c>
      <c r="T9" s="14">
        <v>0.50321857576975404</v>
      </c>
      <c r="U9" s="14">
        <v>0.56307750824165503</v>
      </c>
      <c r="V9" s="14">
        <v>0.58227694044469702</v>
      </c>
      <c r="W9" s="14">
        <v>0.69209408232205405</v>
      </c>
      <c r="X9" s="14">
        <v>0.68000165487637598</v>
      </c>
      <c r="Y9" s="14">
        <v>0.60749715810636395</v>
      </c>
      <c r="Z9" s="14">
        <v>0.49100958865910499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0.60010232888890103</v>
      </c>
      <c r="AN9" s="14">
        <v>0.59678672274973799</v>
      </c>
    </row>
    <row r="10" spans="2:40" x14ac:dyDescent="0.35">
      <c r="B10" s="15" t="s">
        <v>45</v>
      </c>
      <c r="C10" s="14">
        <v>0.33463633572262702</v>
      </c>
      <c r="D10" s="14">
        <v>0.32266449979801898</v>
      </c>
      <c r="E10" s="14">
        <v>0.34801365284407998</v>
      </c>
      <c r="F10" s="14"/>
      <c r="G10" s="14">
        <v>0.33463633572262702</v>
      </c>
      <c r="H10" s="14" t="s">
        <v>76</v>
      </c>
      <c r="I10" s="14" t="s">
        <v>76</v>
      </c>
      <c r="J10" s="14"/>
      <c r="K10" s="14">
        <v>0.33463633572262702</v>
      </c>
      <c r="L10" s="14" t="s">
        <v>76</v>
      </c>
      <c r="M10" s="14" t="s">
        <v>76</v>
      </c>
      <c r="N10" s="14"/>
      <c r="O10" s="14">
        <v>0.353815010669289</v>
      </c>
      <c r="P10" s="14">
        <v>0.19523155692976499</v>
      </c>
      <c r="Q10" s="14"/>
      <c r="R10" s="14">
        <v>0.30664794295826697</v>
      </c>
      <c r="S10" s="14">
        <v>0.47371659743921601</v>
      </c>
      <c r="T10" s="14">
        <v>0.31730073998449199</v>
      </c>
      <c r="U10" s="14">
        <v>0.339109805460169</v>
      </c>
      <c r="V10" s="14">
        <v>0.29586704263665098</v>
      </c>
      <c r="W10" s="14">
        <v>0.30790591767794601</v>
      </c>
      <c r="X10" s="14">
        <v>0.206274356450102</v>
      </c>
      <c r="Y10" s="14">
        <v>0.26512678111322702</v>
      </c>
      <c r="Z10" s="14">
        <v>0.40728201965205302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0.33099885019040798</v>
      </c>
      <c r="AN10" s="14">
        <v>0.32351698595121797</v>
      </c>
    </row>
    <row r="11" spans="2:40" x14ac:dyDescent="0.35">
      <c r="B11" s="15" t="s">
        <v>70</v>
      </c>
      <c r="C11" s="20">
        <v>8.4986557045573896E-2</v>
      </c>
      <c r="D11" s="20">
        <v>4.6693836429248799E-2</v>
      </c>
      <c r="E11" s="20">
        <v>0.12777480358968199</v>
      </c>
      <c r="F11" s="20"/>
      <c r="G11" s="20">
        <v>8.4986557045573896E-2</v>
      </c>
      <c r="H11" s="20" t="s">
        <v>76</v>
      </c>
      <c r="I11" s="20" t="s">
        <v>76</v>
      </c>
      <c r="J11" s="20"/>
      <c r="K11" s="20">
        <v>8.4986557045573896E-2</v>
      </c>
      <c r="L11" s="20" t="s">
        <v>76</v>
      </c>
      <c r="M11" s="20" t="s">
        <v>76</v>
      </c>
      <c r="N11" s="20"/>
      <c r="O11" s="20">
        <v>8.1803453218067104E-2</v>
      </c>
      <c r="P11" s="20">
        <v>6.1185323584711501E-2</v>
      </c>
      <c r="Q11" s="20"/>
      <c r="R11" s="20">
        <v>0</v>
      </c>
      <c r="S11" s="20">
        <v>9.5366962563492502E-2</v>
      </c>
      <c r="T11" s="20">
        <v>0.179480684245754</v>
      </c>
      <c r="U11" s="20">
        <v>9.7812686298176299E-2</v>
      </c>
      <c r="V11" s="20">
        <v>0.121856016918651</v>
      </c>
      <c r="W11" s="20">
        <v>0</v>
      </c>
      <c r="X11" s="20">
        <v>0.113723988673522</v>
      </c>
      <c r="Y11" s="20">
        <v>0.127376060780409</v>
      </c>
      <c r="Z11" s="20">
        <v>0.10170839168884201</v>
      </c>
      <c r="AA11" s="20"/>
      <c r="AB11" s="20" t="s">
        <v>76</v>
      </c>
      <c r="AC11" s="20" t="s">
        <v>76</v>
      </c>
      <c r="AD11" s="20" t="s">
        <v>76</v>
      </c>
      <c r="AE11" s="20" t="s">
        <v>76</v>
      </c>
      <c r="AF11" s="20"/>
      <c r="AG11" s="20" t="s">
        <v>76</v>
      </c>
      <c r="AH11" s="20" t="s">
        <v>76</v>
      </c>
      <c r="AI11" s="20"/>
      <c r="AJ11" s="20" t="s">
        <v>76</v>
      </c>
      <c r="AK11" s="20" t="s">
        <v>76</v>
      </c>
      <c r="AL11" s="20"/>
      <c r="AM11" s="20">
        <v>6.88988209206913E-2</v>
      </c>
      <c r="AN11" s="20">
        <v>7.9696291299043695E-2</v>
      </c>
    </row>
    <row r="12" spans="2:40" x14ac:dyDescent="0.35">
      <c r="B12" s="27" t="s">
        <v>173</v>
      </c>
    </row>
    <row r="13" spans="2:40" x14ac:dyDescent="0.35">
      <c r="B13" t="s">
        <v>72</v>
      </c>
    </row>
    <row r="14" spans="2:40" x14ac:dyDescent="0.35">
      <c r="B14" t="s">
        <v>73</v>
      </c>
    </row>
    <row r="16" spans="2:40" x14ac:dyDescent="0.35">
      <c r="B16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B2:AN18"/>
  <sheetViews>
    <sheetView showGridLines="0" workbookViewId="0">
      <pane xSplit="2" topLeftCell="C1" activePane="topRight" state="frozen"/>
      <selection pane="topRight" activeCell="B19" sqref="B19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172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270</v>
      </c>
      <c r="D7" s="10">
        <v>157</v>
      </c>
      <c r="E7" s="10">
        <v>113</v>
      </c>
      <c r="F7" s="10"/>
      <c r="G7" s="10">
        <v>270</v>
      </c>
      <c r="H7" s="10" t="s">
        <v>75</v>
      </c>
      <c r="I7" s="10" t="s">
        <v>75</v>
      </c>
      <c r="J7" s="10"/>
      <c r="K7" s="10">
        <v>270</v>
      </c>
      <c r="L7" s="10" t="s">
        <v>75</v>
      </c>
      <c r="M7" s="10" t="s">
        <v>75</v>
      </c>
      <c r="N7" s="10"/>
      <c r="O7" s="10">
        <v>235</v>
      </c>
      <c r="P7" s="10">
        <v>32</v>
      </c>
      <c r="Q7" s="10"/>
      <c r="R7" s="10">
        <v>51</v>
      </c>
      <c r="S7" s="10">
        <v>32</v>
      </c>
      <c r="T7" s="10">
        <v>25</v>
      </c>
      <c r="U7" s="10">
        <v>26</v>
      </c>
      <c r="V7" s="10">
        <v>26</v>
      </c>
      <c r="W7" s="10">
        <v>42</v>
      </c>
      <c r="X7" s="10">
        <v>20</v>
      </c>
      <c r="Y7" s="10">
        <v>14</v>
      </c>
      <c r="Z7" s="10">
        <v>34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195</v>
      </c>
      <c r="AN7" s="10">
        <v>40</v>
      </c>
    </row>
    <row r="8" spans="2:40" ht="30" customHeight="1" x14ac:dyDescent="0.35">
      <c r="B8" s="11" t="s">
        <v>20</v>
      </c>
      <c r="C8" s="11">
        <v>324</v>
      </c>
      <c r="D8" s="11">
        <v>186</v>
      </c>
      <c r="E8" s="11">
        <v>138</v>
      </c>
      <c r="F8" s="11"/>
      <c r="G8" s="11">
        <v>324</v>
      </c>
      <c r="H8" s="11" t="s">
        <v>75</v>
      </c>
      <c r="I8" s="11" t="s">
        <v>75</v>
      </c>
      <c r="J8" s="11"/>
      <c r="K8" s="11">
        <v>324</v>
      </c>
      <c r="L8" s="11" t="s">
        <v>75</v>
      </c>
      <c r="M8" s="11" t="s">
        <v>75</v>
      </c>
      <c r="N8" s="11"/>
      <c r="O8" s="11">
        <v>282</v>
      </c>
      <c r="P8" s="11">
        <v>39</v>
      </c>
      <c r="Q8" s="11"/>
      <c r="R8" s="11">
        <v>67</v>
      </c>
      <c r="S8" s="11">
        <v>34</v>
      </c>
      <c r="T8" s="11">
        <v>29</v>
      </c>
      <c r="U8" s="11">
        <v>35</v>
      </c>
      <c r="V8" s="11">
        <v>31</v>
      </c>
      <c r="W8" s="11">
        <v>40</v>
      </c>
      <c r="X8" s="11">
        <v>38</v>
      </c>
      <c r="Y8" s="11">
        <v>16</v>
      </c>
      <c r="Z8" s="11">
        <v>35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238</v>
      </c>
      <c r="AN8" s="11">
        <v>46</v>
      </c>
    </row>
    <row r="9" spans="2:40" x14ac:dyDescent="0.35">
      <c r="B9" s="15" t="s">
        <v>155</v>
      </c>
      <c r="C9" s="14">
        <v>0.192563564939569</v>
      </c>
      <c r="D9" s="14">
        <v>0.21168624919370099</v>
      </c>
      <c r="E9" s="14">
        <v>0.16685764209589601</v>
      </c>
      <c r="F9" s="14"/>
      <c r="G9" s="14">
        <v>0.192563564939569</v>
      </c>
      <c r="H9" s="14" t="s">
        <v>76</v>
      </c>
      <c r="I9" s="14" t="s">
        <v>76</v>
      </c>
      <c r="J9" s="14"/>
      <c r="K9" s="14">
        <v>0.192563564939569</v>
      </c>
      <c r="L9" s="14" t="s">
        <v>76</v>
      </c>
      <c r="M9" s="14" t="s">
        <v>76</v>
      </c>
      <c r="N9" s="14"/>
      <c r="O9" s="14">
        <v>0.17992161830088901</v>
      </c>
      <c r="P9" s="14">
        <v>0.29939800594438298</v>
      </c>
      <c r="Q9" s="14"/>
      <c r="R9" s="14">
        <v>0.24790710610049799</v>
      </c>
      <c r="S9" s="14">
        <v>0.17684173455552199</v>
      </c>
      <c r="T9" s="14">
        <v>0.16711827006351099</v>
      </c>
      <c r="U9" s="14">
        <v>0.25412306636126503</v>
      </c>
      <c r="V9" s="14">
        <v>9.0828836972468796E-2</v>
      </c>
      <c r="W9" s="14">
        <v>0.189125281667086</v>
      </c>
      <c r="X9" s="14">
        <v>0.32149064818904499</v>
      </c>
      <c r="Y9" s="14">
        <v>0</v>
      </c>
      <c r="Z9" s="14">
        <v>0.10448257623596199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0.20743977092547</v>
      </c>
      <c r="AN9" s="14">
        <v>0.202929140347656</v>
      </c>
    </row>
    <row r="10" spans="2:40" x14ac:dyDescent="0.35">
      <c r="B10" s="15" t="s">
        <v>156</v>
      </c>
      <c r="C10" s="14">
        <v>0.51994266389993105</v>
      </c>
      <c r="D10" s="14">
        <v>0.45529992691236398</v>
      </c>
      <c r="E10" s="14">
        <v>0.606839523531295</v>
      </c>
      <c r="F10" s="14"/>
      <c r="G10" s="14">
        <v>0.51994266389993105</v>
      </c>
      <c r="H10" s="14" t="s">
        <v>76</v>
      </c>
      <c r="I10" s="14" t="s">
        <v>76</v>
      </c>
      <c r="J10" s="14"/>
      <c r="K10" s="14">
        <v>0.51994266389993105</v>
      </c>
      <c r="L10" s="14" t="s">
        <v>76</v>
      </c>
      <c r="M10" s="14" t="s">
        <v>76</v>
      </c>
      <c r="N10" s="14"/>
      <c r="O10" s="14">
        <v>0.49926235957354598</v>
      </c>
      <c r="P10" s="14">
        <v>0.65304474403135204</v>
      </c>
      <c r="Q10" s="14"/>
      <c r="R10" s="14">
        <v>0.60933320134303104</v>
      </c>
      <c r="S10" s="14">
        <v>0.57659172837850503</v>
      </c>
      <c r="T10" s="14">
        <v>0.55247023748386304</v>
      </c>
      <c r="U10" s="14">
        <v>0.40460309402857397</v>
      </c>
      <c r="V10" s="14">
        <v>0.66809697548693103</v>
      </c>
      <c r="W10" s="14">
        <v>0.33708028230126902</v>
      </c>
      <c r="X10" s="14">
        <v>0.36408009086319099</v>
      </c>
      <c r="Y10" s="14">
        <v>0.77535231904963098</v>
      </c>
      <c r="Z10" s="14">
        <v>0.51128789149465903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0.51585957312904895</v>
      </c>
      <c r="AN10" s="14">
        <v>0.54682022517736595</v>
      </c>
    </row>
    <row r="11" spans="2:40" x14ac:dyDescent="0.35">
      <c r="B11" s="15" t="s">
        <v>157</v>
      </c>
      <c r="C11" s="14">
        <v>0.187243508981766</v>
      </c>
      <c r="D11" s="14">
        <v>0.20455537010787</v>
      </c>
      <c r="E11" s="14">
        <v>0.16397180923115001</v>
      </c>
      <c r="F11" s="14"/>
      <c r="G11" s="14">
        <v>0.187243508981766</v>
      </c>
      <c r="H11" s="14" t="s">
        <v>76</v>
      </c>
      <c r="I11" s="14" t="s">
        <v>76</v>
      </c>
      <c r="J11" s="14"/>
      <c r="K11" s="14">
        <v>0.187243508981766</v>
      </c>
      <c r="L11" s="14" t="s">
        <v>76</v>
      </c>
      <c r="M11" s="14" t="s">
        <v>76</v>
      </c>
      <c r="N11" s="14"/>
      <c r="O11" s="14">
        <v>0.20883063649262901</v>
      </c>
      <c r="P11" s="14">
        <v>4.75572500242646E-2</v>
      </c>
      <c r="Q11" s="14"/>
      <c r="R11" s="14">
        <v>6.2326639565320502E-2</v>
      </c>
      <c r="S11" s="14">
        <v>0.160389459517434</v>
      </c>
      <c r="T11" s="14">
        <v>0.221336750475677</v>
      </c>
      <c r="U11" s="14">
        <v>0.248936825960477</v>
      </c>
      <c r="V11" s="14">
        <v>0.139062003825803</v>
      </c>
      <c r="W11" s="14">
        <v>0.29828126128532301</v>
      </c>
      <c r="X11" s="14">
        <v>0.21034126734806999</v>
      </c>
      <c r="Y11" s="14">
        <v>0.22464768095036999</v>
      </c>
      <c r="Z11" s="14">
        <v>0.23550566210091101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0.16929206988331499</v>
      </c>
      <c r="AN11" s="14">
        <v>0.226520070799267</v>
      </c>
    </row>
    <row r="12" spans="2:40" x14ac:dyDescent="0.35">
      <c r="B12" s="15" t="s">
        <v>158</v>
      </c>
      <c r="C12" s="14">
        <v>6.0583726422980301E-2</v>
      </c>
      <c r="D12" s="14">
        <v>8.3035341407977498E-2</v>
      </c>
      <c r="E12" s="14">
        <v>3.0402844134163099E-2</v>
      </c>
      <c r="F12" s="14"/>
      <c r="G12" s="14">
        <v>6.0583726422980301E-2</v>
      </c>
      <c r="H12" s="14" t="s">
        <v>76</v>
      </c>
      <c r="I12" s="14" t="s">
        <v>76</v>
      </c>
      <c r="J12" s="14"/>
      <c r="K12" s="14">
        <v>6.0583726422980301E-2</v>
      </c>
      <c r="L12" s="14" t="s">
        <v>76</v>
      </c>
      <c r="M12" s="14" t="s">
        <v>76</v>
      </c>
      <c r="N12" s="14"/>
      <c r="O12" s="14">
        <v>6.9708716359839204E-2</v>
      </c>
      <c r="P12" s="14">
        <v>0</v>
      </c>
      <c r="Q12" s="14"/>
      <c r="R12" s="14">
        <v>6.2326639565320502E-2</v>
      </c>
      <c r="S12" s="14">
        <v>5.7965974897602399E-2</v>
      </c>
      <c r="T12" s="14">
        <v>0</v>
      </c>
      <c r="U12" s="14">
        <v>9.2337013649682997E-2</v>
      </c>
      <c r="V12" s="14">
        <v>6.6789821577916297E-2</v>
      </c>
      <c r="W12" s="14">
        <v>0.10518398942450199</v>
      </c>
      <c r="X12" s="14">
        <v>6.4519982729218897E-2</v>
      </c>
      <c r="Y12" s="14">
        <v>0</v>
      </c>
      <c r="Z12" s="14">
        <v>4.6838847467018802E-2</v>
      </c>
      <c r="AA12" s="14"/>
      <c r="AB12" s="14" t="s">
        <v>76</v>
      </c>
      <c r="AC12" s="14" t="s">
        <v>76</v>
      </c>
      <c r="AD12" s="14" t="s">
        <v>76</v>
      </c>
      <c r="AE12" s="14" t="s">
        <v>76</v>
      </c>
      <c r="AF12" s="14"/>
      <c r="AG12" s="14" t="s">
        <v>76</v>
      </c>
      <c r="AH12" s="14" t="s">
        <v>76</v>
      </c>
      <c r="AI12" s="14"/>
      <c r="AJ12" s="14" t="s">
        <v>76</v>
      </c>
      <c r="AK12" s="14" t="s">
        <v>76</v>
      </c>
      <c r="AL12" s="14"/>
      <c r="AM12" s="14">
        <v>6.9523905141132797E-2</v>
      </c>
      <c r="AN12" s="14">
        <v>0</v>
      </c>
    </row>
    <row r="13" spans="2:40" x14ac:dyDescent="0.35">
      <c r="B13" s="15" t="s">
        <v>70</v>
      </c>
      <c r="C13" s="20">
        <v>3.9666535755753199E-2</v>
      </c>
      <c r="D13" s="20">
        <v>4.54231123780863E-2</v>
      </c>
      <c r="E13" s="20">
        <v>3.1928181007495997E-2</v>
      </c>
      <c r="F13" s="20"/>
      <c r="G13" s="20">
        <v>3.9666535755753199E-2</v>
      </c>
      <c r="H13" s="20" t="s">
        <v>76</v>
      </c>
      <c r="I13" s="20" t="s">
        <v>76</v>
      </c>
      <c r="J13" s="20"/>
      <c r="K13" s="20">
        <v>3.9666535755753199E-2</v>
      </c>
      <c r="L13" s="20" t="s">
        <v>76</v>
      </c>
      <c r="M13" s="20" t="s">
        <v>76</v>
      </c>
      <c r="N13" s="20"/>
      <c r="O13" s="20">
        <v>4.2276669273096597E-2</v>
      </c>
      <c r="P13" s="20">
        <v>0</v>
      </c>
      <c r="Q13" s="20"/>
      <c r="R13" s="20">
        <v>1.81064134258303E-2</v>
      </c>
      <c r="S13" s="20">
        <v>2.8211102650936699E-2</v>
      </c>
      <c r="T13" s="20">
        <v>5.9074741976949202E-2</v>
      </c>
      <c r="U13" s="20">
        <v>0</v>
      </c>
      <c r="V13" s="20">
        <v>3.5222362136880903E-2</v>
      </c>
      <c r="W13" s="20">
        <v>7.0329185321820906E-2</v>
      </c>
      <c r="X13" s="20">
        <v>3.9568010870474797E-2</v>
      </c>
      <c r="Y13" s="20">
        <v>0</v>
      </c>
      <c r="Z13" s="20">
        <v>0.101885022701449</v>
      </c>
      <c r="AA13" s="20"/>
      <c r="AB13" s="20" t="s">
        <v>76</v>
      </c>
      <c r="AC13" s="20" t="s">
        <v>76</v>
      </c>
      <c r="AD13" s="20" t="s">
        <v>76</v>
      </c>
      <c r="AE13" s="20" t="s">
        <v>76</v>
      </c>
      <c r="AF13" s="20"/>
      <c r="AG13" s="20" t="s">
        <v>76</v>
      </c>
      <c r="AH13" s="20" t="s">
        <v>76</v>
      </c>
      <c r="AI13" s="20"/>
      <c r="AJ13" s="20" t="s">
        <v>76</v>
      </c>
      <c r="AK13" s="20" t="s">
        <v>76</v>
      </c>
      <c r="AL13" s="20"/>
      <c r="AM13" s="20">
        <v>3.7884680921033503E-2</v>
      </c>
      <c r="AN13" s="20">
        <v>2.3730563675710602E-2</v>
      </c>
    </row>
    <row r="14" spans="2:40" x14ac:dyDescent="0.35">
      <c r="B14" s="27" t="s">
        <v>179</v>
      </c>
    </row>
    <row r="15" spans="2:40" x14ac:dyDescent="0.35">
      <c r="B15" t="s">
        <v>72</v>
      </c>
    </row>
    <row r="16" spans="2:40" x14ac:dyDescent="0.35">
      <c r="B16" t="s">
        <v>73</v>
      </c>
    </row>
    <row r="18" spans="2:2" x14ac:dyDescent="0.35">
      <c r="B18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B2:AN19"/>
  <sheetViews>
    <sheetView showGridLines="0" workbookViewId="0">
      <pane xSplit="2" topLeftCell="C1" activePane="topRight" state="frozen"/>
      <selection pane="topRight" activeCell="AP18" sqref="AP18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174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270</v>
      </c>
      <c r="D7" s="10">
        <v>157</v>
      </c>
      <c r="E7" s="10">
        <v>113</v>
      </c>
      <c r="F7" s="10"/>
      <c r="G7" s="10">
        <v>270</v>
      </c>
      <c r="H7" s="10" t="s">
        <v>75</v>
      </c>
      <c r="I7" s="10" t="s">
        <v>75</v>
      </c>
      <c r="J7" s="10"/>
      <c r="K7" s="10">
        <v>270</v>
      </c>
      <c r="L7" s="10" t="s">
        <v>75</v>
      </c>
      <c r="M7" s="10" t="s">
        <v>75</v>
      </c>
      <c r="N7" s="10"/>
      <c r="O7" s="10">
        <v>235</v>
      </c>
      <c r="P7" s="10">
        <v>32</v>
      </c>
      <c r="Q7" s="10"/>
      <c r="R7" s="10">
        <v>51</v>
      </c>
      <c r="S7" s="10">
        <v>32</v>
      </c>
      <c r="T7" s="10">
        <v>25</v>
      </c>
      <c r="U7" s="10">
        <v>26</v>
      </c>
      <c r="V7" s="10">
        <v>26</v>
      </c>
      <c r="W7" s="10">
        <v>42</v>
      </c>
      <c r="X7" s="10">
        <v>20</v>
      </c>
      <c r="Y7" s="10">
        <v>14</v>
      </c>
      <c r="Z7" s="10">
        <v>34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195</v>
      </c>
      <c r="AN7" s="10">
        <v>40</v>
      </c>
    </row>
    <row r="8" spans="2:40" ht="30" customHeight="1" x14ac:dyDescent="0.35">
      <c r="B8" s="11" t="s">
        <v>20</v>
      </c>
      <c r="C8" s="11">
        <v>324</v>
      </c>
      <c r="D8" s="11">
        <v>186</v>
      </c>
      <c r="E8" s="11">
        <v>138</v>
      </c>
      <c r="F8" s="11"/>
      <c r="G8" s="11">
        <v>324</v>
      </c>
      <c r="H8" s="11" t="s">
        <v>75</v>
      </c>
      <c r="I8" s="11" t="s">
        <v>75</v>
      </c>
      <c r="J8" s="11"/>
      <c r="K8" s="11">
        <v>324</v>
      </c>
      <c r="L8" s="11" t="s">
        <v>75</v>
      </c>
      <c r="M8" s="11" t="s">
        <v>75</v>
      </c>
      <c r="N8" s="11"/>
      <c r="O8" s="11">
        <v>282</v>
      </c>
      <c r="P8" s="11">
        <v>39</v>
      </c>
      <c r="Q8" s="11"/>
      <c r="R8" s="11">
        <v>67</v>
      </c>
      <c r="S8" s="11">
        <v>34</v>
      </c>
      <c r="T8" s="11">
        <v>29</v>
      </c>
      <c r="U8" s="11">
        <v>35</v>
      </c>
      <c r="V8" s="11">
        <v>31</v>
      </c>
      <c r="W8" s="11">
        <v>40</v>
      </c>
      <c r="X8" s="11">
        <v>38</v>
      </c>
      <c r="Y8" s="11">
        <v>16</v>
      </c>
      <c r="Z8" s="11">
        <v>35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238</v>
      </c>
      <c r="AN8" s="11">
        <v>46</v>
      </c>
    </row>
    <row r="9" spans="2:40" x14ac:dyDescent="0.35">
      <c r="B9" s="15" t="s">
        <v>160</v>
      </c>
      <c r="C9" s="14">
        <v>0.19134078162450999</v>
      </c>
      <c r="D9" s="14">
        <v>0.20861143576764701</v>
      </c>
      <c r="E9" s="14">
        <v>0.16812447490923901</v>
      </c>
      <c r="F9" s="14"/>
      <c r="G9" s="14">
        <v>0.19134078162450999</v>
      </c>
      <c r="H9" s="14" t="s">
        <v>76</v>
      </c>
      <c r="I9" s="14" t="s">
        <v>76</v>
      </c>
      <c r="J9" s="14"/>
      <c r="K9" s="14">
        <v>0.19134078162450999</v>
      </c>
      <c r="L9" s="14" t="s">
        <v>76</v>
      </c>
      <c r="M9" s="14" t="s">
        <v>76</v>
      </c>
      <c r="N9" s="14"/>
      <c r="O9" s="14">
        <v>0.17469773205956601</v>
      </c>
      <c r="P9" s="14">
        <v>0.32683872487459598</v>
      </c>
      <c r="Q9" s="14"/>
      <c r="R9" s="14">
        <v>0.31651374670676302</v>
      </c>
      <c r="S9" s="14">
        <v>0.16592503806995601</v>
      </c>
      <c r="T9" s="14">
        <v>2.69405987724444E-2</v>
      </c>
      <c r="U9" s="14">
        <v>0.18689067325992401</v>
      </c>
      <c r="V9" s="14">
        <v>0.14826275944591699</v>
      </c>
      <c r="W9" s="14">
        <v>0.15295683072351501</v>
      </c>
      <c r="X9" s="14">
        <v>0.24457799176514999</v>
      </c>
      <c r="Y9" s="14">
        <v>0.221311951112378</v>
      </c>
      <c r="Z9" s="14">
        <v>0.130248238132226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0.24507080591720901</v>
      </c>
      <c r="AN9" s="14">
        <v>4.6880128132599098E-2</v>
      </c>
    </row>
    <row r="10" spans="2:40" x14ac:dyDescent="0.35">
      <c r="B10" s="15" t="s">
        <v>161</v>
      </c>
      <c r="C10" s="14">
        <v>0.53083969185730495</v>
      </c>
      <c r="D10" s="14">
        <v>0.51303754318546801</v>
      </c>
      <c r="E10" s="14">
        <v>0.55477046716731104</v>
      </c>
      <c r="F10" s="14"/>
      <c r="G10" s="14">
        <v>0.53083969185730495</v>
      </c>
      <c r="H10" s="14" t="s">
        <v>76</v>
      </c>
      <c r="I10" s="14" t="s">
        <v>76</v>
      </c>
      <c r="J10" s="14"/>
      <c r="K10" s="14">
        <v>0.53083969185730495</v>
      </c>
      <c r="L10" s="14" t="s">
        <v>76</v>
      </c>
      <c r="M10" s="14" t="s">
        <v>76</v>
      </c>
      <c r="N10" s="14"/>
      <c r="O10" s="14">
        <v>0.516051444518284</v>
      </c>
      <c r="P10" s="14">
        <v>0.62746331607533101</v>
      </c>
      <c r="Q10" s="14"/>
      <c r="R10" s="14">
        <v>0.56871922039897704</v>
      </c>
      <c r="S10" s="14">
        <v>0.570693032900216</v>
      </c>
      <c r="T10" s="14">
        <v>0.34902003166907503</v>
      </c>
      <c r="U10" s="14">
        <v>0.53501219127831201</v>
      </c>
      <c r="V10" s="14">
        <v>0.64223050874445498</v>
      </c>
      <c r="W10" s="14">
        <v>0.48603639908338497</v>
      </c>
      <c r="X10" s="14">
        <v>0.69090202550563096</v>
      </c>
      <c r="Y10" s="14">
        <v>0.66906556028498498</v>
      </c>
      <c r="Z10" s="14">
        <v>0.28483322145941897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0.544805686011688</v>
      </c>
      <c r="AN10" s="14">
        <v>0.40270081845768402</v>
      </c>
    </row>
    <row r="11" spans="2:40" x14ac:dyDescent="0.35">
      <c r="B11" s="15" t="s">
        <v>162</v>
      </c>
      <c r="C11" s="14">
        <v>0.227827368184323</v>
      </c>
      <c r="D11" s="14">
        <v>0.24004540880045599</v>
      </c>
      <c r="E11" s="14">
        <v>0.21140310445621599</v>
      </c>
      <c r="F11" s="14"/>
      <c r="G11" s="14">
        <v>0.227827368184323</v>
      </c>
      <c r="H11" s="14" t="s">
        <v>76</v>
      </c>
      <c r="I11" s="14" t="s">
        <v>76</v>
      </c>
      <c r="J11" s="14"/>
      <c r="K11" s="14">
        <v>0.227827368184323</v>
      </c>
      <c r="L11" s="14" t="s">
        <v>76</v>
      </c>
      <c r="M11" s="14" t="s">
        <v>76</v>
      </c>
      <c r="N11" s="14"/>
      <c r="O11" s="14">
        <v>0.25172895424591701</v>
      </c>
      <c r="P11" s="14">
        <v>4.5697959050072699E-2</v>
      </c>
      <c r="Q11" s="14"/>
      <c r="R11" s="14">
        <v>8.6774368824979103E-2</v>
      </c>
      <c r="S11" s="14">
        <v>0.208908048447216</v>
      </c>
      <c r="T11" s="14">
        <v>0.54959960780761097</v>
      </c>
      <c r="U11" s="14">
        <v>0.24299613798311001</v>
      </c>
      <c r="V11" s="14">
        <v>0.13906200753586601</v>
      </c>
      <c r="W11" s="14">
        <v>0.25472875056357103</v>
      </c>
      <c r="X11" s="14">
        <v>6.4519982729218897E-2</v>
      </c>
      <c r="Y11" s="14">
        <v>4.5329487962585999E-2</v>
      </c>
      <c r="Z11" s="14">
        <v>0.53679812311905795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0.18768616785532699</v>
      </c>
      <c r="AN11" s="14">
        <v>0.381611712178762</v>
      </c>
    </row>
    <row r="12" spans="2:40" x14ac:dyDescent="0.35">
      <c r="B12" s="15" t="s">
        <v>163</v>
      </c>
      <c r="C12" s="14">
        <v>3.9568916910530903E-2</v>
      </c>
      <c r="D12" s="14">
        <v>3.1374987106305402E-2</v>
      </c>
      <c r="E12" s="14">
        <v>5.0583716116263298E-2</v>
      </c>
      <c r="F12" s="14"/>
      <c r="G12" s="14">
        <v>3.9568916910530903E-2</v>
      </c>
      <c r="H12" s="14" t="s">
        <v>76</v>
      </c>
      <c r="I12" s="14" t="s">
        <v>76</v>
      </c>
      <c r="J12" s="14"/>
      <c r="K12" s="14">
        <v>3.9568916910530903E-2</v>
      </c>
      <c r="L12" s="14" t="s">
        <v>76</v>
      </c>
      <c r="M12" s="14" t="s">
        <v>76</v>
      </c>
      <c r="N12" s="14"/>
      <c r="O12" s="14">
        <v>4.5528701657017501E-2</v>
      </c>
      <c r="P12" s="14">
        <v>0</v>
      </c>
      <c r="Q12" s="14"/>
      <c r="R12" s="14">
        <v>2.7992664069280901E-2</v>
      </c>
      <c r="S12" s="14">
        <v>2.4718994587705601E-2</v>
      </c>
      <c r="T12" s="14">
        <v>7.4439761750869499E-2</v>
      </c>
      <c r="U12" s="14">
        <v>3.5100997478654999E-2</v>
      </c>
      <c r="V12" s="14">
        <v>3.5222362136880903E-2</v>
      </c>
      <c r="W12" s="14">
        <v>7.3678352084849894E-2</v>
      </c>
      <c r="X12" s="14">
        <v>0</v>
      </c>
      <c r="Y12" s="14">
        <v>6.4293000640051903E-2</v>
      </c>
      <c r="Z12" s="14">
        <v>4.8120417289296703E-2</v>
      </c>
      <c r="AA12" s="14"/>
      <c r="AB12" s="14" t="s">
        <v>76</v>
      </c>
      <c r="AC12" s="14" t="s">
        <v>76</v>
      </c>
      <c r="AD12" s="14" t="s">
        <v>76</v>
      </c>
      <c r="AE12" s="14" t="s">
        <v>76</v>
      </c>
      <c r="AF12" s="14"/>
      <c r="AG12" s="14" t="s">
        <v>76</v>
      </c>
      <c r="AH12" s="14" t="s">
        <v>76</v>
      </c>
      <c r="AI12" s="14"/>
      <c r="AJ12" s="14" t="s">
        <v>76</v>
      </c>
      <c r="AK12" s="14" t="s">
        <v>76</v>
      </c>
      <c r="AL12" s="14"/>
      <c r="AM12" s="14">
        <v>1.2428904892689699E-2</v>
      </c>
      <c r="AN12" s="14">
        <v>0.168807341230955</v>
      </c>
    </row>
    <row r="13" spans="2:40" x14ac:dyDescent="0.35">
      <c r="B13" s="15" t="s">
        <v>70</v>
      </c>
      <c r="C13" s="21">
        <v>1.0423241423330801E-2</v>
      </c>
      <c r="D13" s="21">
        <v>6.9306251401233098E-3</v>
      </c>
      <c r="E13" s="21">
        <v>1.51182373509702E-2</v>
      </c>
      <c r="F13" s="21"/>
      <c r="G13" s="21">
        <v>1.0423241423330801E-2</v>
      </c>
      <c r="H13" s="21" t="s">
        <v>76</v>
      </c>
      <c r="I13" s="21" t="s">
        <v>76</v>
      </c>
      <c r="J13" s="21"/>
      <c r="K13" s="21">
        <v>1.0423241423330801E-2</v>
      </c>
      <c r="L13" s="21" t="s">
        <v>76</v>
      </c>
      <c r="M13" s="21" t="s">
        <v>76</v>
      </c>
      <c r="N13" s="21"/>
      <c r="O13" s="21">
        <v>1.1993167519214899E-2</v>
      </c>
      <c r="P13" s="21">
        <v>0</v>
      </c>
      <c r="Q13" s="21"/>
      <c r="R13" s="21">
        <v>0</v>
      </c>
      <c r="S13" s="21">
        <v>2.97548859949067E-2</v>
      </c>
      <c r="T13" s="21">
        <v>0</v>
      </c>
      <c r="U13" s="21">
        <v>0</v>
      </c>
      <c r="V13" s="21">
        <v>3.5222362136880903E-2</v>
      </c>
      <c r="W13" s="21">
        <v>3.2599667544679099E-2</v>
      </c>
      <c r="X13" s="21">
        <v>0</v>
      </c>
      <c r="Y13" s="21">
        <v>0</v>
      </c>
      <c r="Z13" s="21">
        <v>0</v>
      </c>
      <c r="AA13" s="21"/>
      <c r="AB13" s="21" t="s">
        <v>76</v>
      </c>
      <c r="AC13" s="21" t="s">
        <v>76</v>
      </c>
      <c r="AD13" s="21" t="s">
        <v>76</v>
      </c>
      <c r="AE13" s="21" t="s">
        <v>76</v>
      </c>
      <c r="AF13" s="21"/>
      <c r="AG13" s="21" t="s">
        <v>76</v>
      </c>
      <c r="AH13" s="21" t="s">
        <v>76</v>
      </c>
      <c r="AI13" s="21"/>
      <c r="AJ13" s="21" t="s">
        <v>76</v>
      </c>
      <c r="AK13" s="21" t="s">
        <v>76</v>
      </c>
      <c r="AL13" s="21"/>
      <c r="AM13" s="21">
        <v>1.0008435323085801E-2</v>
      </c>
      <c r="AN13" s="21">
        <v>0</v>
      </c>
    </row>
    <row r="14" spans="2:40" x14ac:dyDescent="0.35">
      <c r="B14" s="15" t="s">
        <v>164</v>
      </c>
      <c r="C14" s="30">
        <v>0.72218047348181502</v>
      </c>
      <c r="D14" s="30">
        <v>0.72164897895311497</v>
      </c>
      <c r="E14" s="30">
        <v>0.72289494207655003</v>
      </c>
      <c r="F14" s="30"/>
      <c r="G14" s="30">
        <v>0.72218047348181502</v>
      </c>
      <c r="H14" s="30" t="s">
        <v>76</v>
      </c>
      <c r="I14" s="30" t="s">
        <v>76</v>
      </c>
      <c r="J14" s="30"/>
      <c r="K14" s="30">
        <v>0.72218047348181502</v>
      </c>
      <c r="L14" s="30" t="s">
        <v>76</v>
      </c>
      <c r="M14" s="30" t="s">
        <v>76</v>
      </c>
      <c r="N14" s="30"/>
      <c r="O14" s="30">
        <v>0.69074917657784995</v>
      </c>
      <c r="P14" s="30">
        <v>0.95430204094992699</v>
      </c>
      <c r="Q14" s="30"/>
      <c r="R14" s="30">
        <v>0.88523296710573995</v>
      </c>
      <c r="S14" s="30">
        <v>0.73661807097017196</v>
      </c>
      <c r="T14" s="30">
        <v>0.37596063044152001</v>
      </c>
      <c r="U14" s="30">
        <v>0.72190286453823505</v>
      </c>
      <c r="V14" s="30">
        <v>0.79049326819037202</v>
      </c>
      <c r="W14" s="30">
        <v>0.63899322980689999</v>
      </c>
      <c r="X14" s="30">
        <v>0.93548001727078101</v>
      </c>
      <c r="Y14" s="30">
        <v>0.89037751139736199</v>
      </c>
      <c r="Z14" s="30">
        <v>0.415081459591645</v>
      </c>
      <c r="AA14" s="30"/>
      <c r="AB14" s="30" t="s">
        <v>76</v>
      </c>
      <c r="AC14" s="30" t="s">
        <v>76</v>
      </c>
      <c r="AD14" s="30" t="s">
        <v>76</v>
      </c>
      <c r="AE14" s="30" t="s">
        <v>76</v>
      </c>
      <c r="AF14" s="30"/>
      <c r="AG14" s="30" t="s">
        <v>76</v>
      </c>
      <c r="AH14" s="30" t="s">
        <v>76</v>
      </c>
      <c r="AI14" s="30"/>
      <c r="AJ14" s="30" t="s">
        <v>76</v>
      </c>
      <c r="AK14" s="30" t="s">
        <v>76</v>
      </c>
      <c r="AL14" s="30"/>
      <c r="AM14" s="30">
        <v>0.78987649192889697</v>
      </c>
      <c r="AN14" s="30">
        <v>0.44958094659028303</v>
      </c>
    </row>
    <row r="15" spans="2:40" x14ac:dyDescent="0.35">
      <c r="B15" s="27" t="s">
        <v>179</v>
      </c>
    </row>
    <row r="16" spans="2:40" x14ac:dyDescent="0.35">
      <c r="B16" t="s">
        <v>72</v>
      </c>
    </row>
    <row r="17" spans="2:2" x14ac:dyDescent="0.35">
      <c r="B17" t="s">
        <v>73</v>
      </c>
    </row>
    <row r="19" spans="2:2" x14ac:dyDescent="0.35">
      <c r="B19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B2:AN18"/>
  <sheetViews>
    <sheetView showGridLines="0" workbookViewId="0">
      <pane xSplit="2" topLeftCell="C1" activePane="topRight" state="frozen"/>
      <selection pane="topRight" activeCell="B19" sqref="B19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175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270</v>
      </c>
      <c r="D7" s="10">
        <v>157</v>
      </c>
      <c r="E7" s="10">
        <v>113</v>
      </c>
      <c r="F7" s="10"/>
      <c r="G7" s="10">
        <v>270</v>
      </c>
      <c r="H7" s="10" t="s">
        <v>75</v>
      </c>
      <c r="I7" s="10" t="s">
        <v>75</v>
      </c>
      <c r="J7" s="10"/>
      <c r="K7" s="10">
        <v>270</v>
      </c>
      <c r="L7" s="10" t="s">
        <v>75</v>
      </c>
      <c r="M7" s="10" t="s">
        <v>75</v>
      </c>
      <c r="N7" s="10"/>
      <c r="O7" s="10">
        <v>235</v>
      </c>
      <c r="P7" s="10">
        <v>32</v>
      </c>
      <c r="Q7" s="10"/>
      <c r="R7" s="10">
        <v>51</v>
      </c>
      <c r="S7" s="10">
        <v>32</v>
      </c>
      <c r="T7" s="10">
        <v>25</v>
      </c>
      <c r="U7" s="10">
        <v>26</v>
      </c>
      <c r="V7" s="10">
        <v>26</v>
      </c>
      <c r="W7" s="10">
        <v>42</v>
      </c>
      <c r="X7" s="10">
        <v>20</v>
      </c>
      <c r="Y7" s="10">
        <v>14</v>
      </c>
      <c r="Z7" s="10">
        <v>34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195</v>
      </c>
      <c r="AN7" s="10">
        <v>40</v>
      </c>
    </row>
    <row r="8" spans="2:40" ht="30" customHeight="1" x14ac:dyDescent="0.35">
      <c r="B8" s="11" t="s">
        <v>20</v>
      </c>
      <c r="C8" s="11">
        <v>324</v>
      </c>
      <c r="D8" s="11">
        <v>186</v>
      </c>
      <c r="E8" s="11">
        <v>138</v>
      </c>
      <c r="F8" s="11"/>
      <c r="G8" s="11">
        <v>324</v>
      </c>
      <c r="H8" s="11" t="s">
        <v>75</v>
      </c>
      <c r="I8" s="11" t="s">
        <v>75</v>
      </c>
      <c r="J8" s="11"/>
      <c r="K8" s="11">
        <v>324</v>
      </c>
      <c r="L8" s="11" t="s">
        <v>75</v>
      </c>
      <c r="M8" s="11" t="s">
        <v>75</v>
      </c>
      <c r="N8" s="11"/>
      <c r="O8" s="11">
        <v>282</v>
      </c>
      <c r="P8" s="11">
        <v>39</v>
      </c>
      <c r="Q8" s="11"/>
      <c r="R8" s="11">
        <v>67</v>
      </c>
      <c r="S8" s="11">
        <v>34</v>
      </c>
      <c r="T8" s="11">
        <v>29</v>
      </c>
      <c r="U8" s="11">
        <v>35</v>
      </c>
      <c r="V8" s="11">
        <v>31</v>
      </c>
      <c r="W8" s="11">
        <v>40</v>
      </c>
      <c r="X8" s="11">
        <v>38</v>
      </c>
      <c r="Y8" s="11">
        <v>16</v>
      </c>
      <c r="Z8" s="11">
        <v>35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238</v>
      </c>
      <c r="AN8" s="11">
        <v>46</v>
      </c>
    </row>
    <row r="9" spans="2:40" x14ac:dyDescent="0.35">
      <c r="B9" s="15" t="s">
        <v>166</v>
      </c>
      <c r="C9" s="14">
        <v>0.20163667190991799</v>
      </c>
      <c r="D9" s="14">
        <v>0.22171468869979499</v>
      </c>
      <c r="E9" s="14">
        <v>0.17464653058898699</v>
      </c>
      <c r="F9" s="14"/>
      <c r="G9" s="14">
        <v>0.20163667190991799</v>
      </c>
      <c r="H9" s="14" t="s">
        <v>76</v>
      </c>
      <c r="I9" s="14" t="s">
        <v>76</v>
      </c>
      <c r="J9" s="14"/>
      <c r="K9" s="14">
        <v>0.20163667190991799</v>
      </c>
      <c r="L9" s="14" t="s">
        <v>76</v>
      </c>
      <c r="M9" s="14" t="s">
        <v>76</v>
      </c>
      <c r="N9" s="14"/>
      <c r="O9" s="14">
        <v>0.18807332010496899</v>
      </c>
      <c r="P9" s="14">
        <v>0.31584675735179402</v>
      </c>
      <c r="Q9" s="14"/>
      <c r="R9" s="14">
        <v>0.27977048251387099</v>
      </c>
      <c r="S9" s="14">
        <v>0.194136140720892</v>
      </c>
      <c r="T9" s="14">
        <v>9.3566607327404197E-2</v>
      </c>
      <c r="U9" s="14">
        <v>0.198035494930207</v>
      </c>
      <c r="V9" s="14">
        <v>0.25027494316071403</v>
      </c>
      <c r="W9" s="14">
        <v>0.17294915537111399</v>
      </c>
      <c r="X9" s="14">
        <v>0.25343997762826598</v>
      </c>
      <c r="Y9" s="14">
        <v>0.17589070978558199</v>
      </c>
      <c r="Z9" s="14">
        <v>9.9795313095394605E-2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0.268128091329076</v>
      </c>
      <c r="AN9" s="14">
        <v>1.8183959505993399E-2</v>
      </c>
    </row>
    <row r="10" spans="2:40" x14ac:dyDescent="0.35">
      <c r="B10" s="15" t="s">
        <v>167</v>
      </c>
      <c r="C10" s="14">
        <v>0.40755561994348299</v>
      </c>
      <c r="D10" s="14">
        <v>0.39765777388234702</v>
      </c>
      <c r="E10" s="14">
        <v>0.42086093125777302</v>
      </c>
      <c r="F10" s="14"/>
      <c r="G10" s="14">
        <v>0.40755561994348299</v>
      </c>
      <c r="H10" s="14" t="s">
        <v>76</v>
      </c>
      <c r="I10" s="14" t="s">
        <v>76</v>
      </c>
      <c r="J10" s="14"/>
      <c r="K10" s="14">
        <v>0.40755561994348299</v>
      </c>
      <c r="L10" s="14" t="s">
        <v>76</v>
      </c>
      <c r="M10" s="14" t="s">
        <v>76</v>
      </c>
      <c r="N10" s="14"/>
      <c r="O10" s="14">
        <v>0.387827362085019</v>
      </c>
      <c r="P10" s="14">
        <v>0.52948319837041102</v>
      </c>
      <c r="Q10" s="14"/>
      <c r="R10" s="14">
        <v>0.50964965894884395</v>
      </c>
      <c r="S10" s="14">
        <v>0.38532331365865802</v>
      </c>
      <c r="T10" s="14">
        <v>0.20398918695523899</v>
      </c>
      <c r="U10" s="14">
        <v>0.43153035310190002</v>
      </c>
      <c r="V10" s="14">
        <v>0.34597968771725701</v>
      </c>
      <c r="W10" s="14">
        <v>0.38832990736344603</v>
      </c>
      <c r="X10" s="14">
        <v>0.39392998514574701</v>
      </c>
      <c r="Y10" s="14">
        <v>0.48983912048933698</v>
      </c>
      <c r="Z10" s="14">
        <v>0.43531099304647303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0.48837833178836298</v>
      </c>
      <c r="AN10" s="14">
        <v>0.11635722541669601</v>
      </c>
    </row>
    <row r="11" spans="2:40" x14ac:dyDescent="0.35">
      <c r="B11" s="15" t="s">
        <v>168</v>
      </c>
      <c r="C11" s="14">
        <v>0.31295421139511398</v>
      </c>
      <c r="D11" s="14">
        <v>0.28954725843911</v>
      </c>
      <c r="E11" s="14">
        <v>0.34441931946761101</v>
      </c>
      <c r="F11" s="14"/>
      <c r="G11" s="14">
        <v>0.31295421139511398</v>
      </c>
      <c r="H11" s="14" t="s">
        <v>76</v>
      </c>
      <c r="I11" s="14" t="s">
        <v>76</v>
      </c>
      <c r="J11" s="14"/>
      <c r="K11" s="14">
        <v>0.31295421139511398</v>
      </c>
      <c r="L11" s="14" t="s">
        <v>76</v>
      </c>
      <c r="M11" s="14" t="s">
        <v>76</v>
      </c>
      <c r="N11" s="14"/>
      <c r="O11" s="14">
        <v>0.33451969563919098</v>
      </c>
      <c r="P11" s="14">
        <v>0.15467004427779499</v>
      </c>
      <c r="Q11" s="14"/>
      <c r="R11" s="14">
        <v>0.193412870789265</v>
      </c>
      <c r="S11" s="14">
        <v>0.39582155103274302</v>
      </c>
      <c r="T11" s="14">
        <v>0.45261559196158002</v>
      </c>
      <c r="U11" s="14">
        <v>0.33533315448923801</v>
      </c>
      <c r="V11" s="14">
        <v>0.26468336158616301</v>
      </c>
      <c r="W11" s="14">
        <v>0.33244291763591099</v>
      </c>
      <c r="X11" s="14">
        <v>0.35263003722598801</v>
      </c>
      <c r="Y11" s="14">
        <v>0.26997716908503</v>
      </c>
      <c r="Z11" s="14">
        <v>0.31825954499169201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0.22584221869547799</v>
      </c>
      <c r="AN11" s="14">
        <v>0.50085074654408801</v>
      </c>
    </row>
    <row r="12" spans="2:40" x14ac:dyDescent="0.35">
      <c r="B12" s="15" t="s">
        <v>169</v>
      </c>
      <c r="C12" s="14">
        <v>7.0514215594260493E-2</v>
      </c>
      <c r="D12" s="14">
        <v>8.4149652767141897E-2</v>
      </c>
      <c r="E12" s="14">
        <v>5.2184597678298E-2</v>
      </c>
      <c r="F12" s="14"/>
      <c r="G12" s="14">
        <v>7.0514215594260493E-2</v>
      </c>
      <c r="H12" s="14" t="s">
        <v>76</v>
      </c>
      <c r="I12" s="14" t="s">
        <v>76</v>
      </c>
      <c r="J12" s="14"/>
      <c r="K12" s="14">
        <v>7.0514215594260493E-2</v>
      </c>
      <c r="L12" s="14" t="s">
        <v>76</v>
      </c>
      <c r="M12" s="14" t="s">
        <v>76</v>
      </c>
      <c r="N12" s="14"/>
      <c r="O12" s="14">
        <v>8.1134914347763598E-2</v>
      </c>
      <c r="P12" s="14">
        <v>0</v>
      </c>
      <c r="Q12" s="14"/>
      <c r="R12" s="14">
        <v>1.71669877480198E-2</v>
      </c>
      <c r="S12" s="14">
        <v>2.4718994587705601E-2</v>
      </c>
      <c r="T12" s="14">
        <v>0.249828613755777</v>
      </c>
      <c r="U12" s="14">
        <v>3.5100997478654999E-2</v>
      </c>
      <c r="V12" s="14">
        <v>0.10383964539898501</v>
      </c>
      <c r="W12" s="14">
        <v>7.3678347044904696E-2</v>
      </c>
      <c r="X12" s="14">
        <v>0</v>
      </c>
      <c r="Y12" s="14">
        <v>6.4293000640051903E-2</v>
      </c>
      <c r="Z12" s="14">
        <v>0.146634148866439</v>
      </c>
      <c r="AA12" s="14"/>
      <c r="AB12" s="14" t="s">
        <v>76</v>
      </c>
      <c r="AC12" s="14" t="s">
        <v>76</v>
      </c>
      <c r="AD12" s="14" t="s">
        <v>76</v>
      </c>
      <c r="AE12" s="14" t="s">
        <v>76</v>
      </c>
      <c r="AF12" s="14"/>
      <c r="AG12" s="14" t="s">
        <v>76</v>
      </c>
      <c r="AH12" s="14" t="s">
        <v>76</v>
      </c>
      <c r="AI12" s="14"/>
      <c r="AJ12" s="14" t="s">
        <v>76</v>
      </c>
      <c r="AK12" s="14" t="s">
        <v>76</v>
      </c>
      <c r="AL12" s="14"/>
      <c r="AM12" s="14">
        <v>1.3062470808011E-2</v>
      </c>
      <c r="AN12" s="14">
        <v>0.36460806853322197</v>
      </c>
    </row>
    <row r="13" spans="2:40" x14ac:dyDescent="0.35">
      <c r="B13" s="15" t="s">
        <v>70</v>
      </c>
      <c r="C13" s="20">
        <v>7.3392811572253096E-3</v>
      </c>
      <c r="D13" s="20">
        <v>6.93062621160573E-3</v>
      </c>
      <c r="E13" s="20">
        <v>7.8886210073309294E-3</v>
      </c>
      <c r="F13" s="20"/>
      <c r="G13" s="20">
        <v>7.3392811572253096E-3</v>
      </c>
      <c r="H13" s="20" t="s">
        <v>76</v>
      </c>
      <c r="I13" s="20" t="s">
        <v>76</v>
      </c>
      <c r="J13" s="20"/>
      <c r="K13" s="20">
        <v>7.3392811572253096E-3</v>
      </c>
      <c r="L13" s="20" t="s">
        <v>76</v>
      </c>
      <c r="M13" s="20" t="s">
        <v>76</v>
      </c>
      <c r="N13" s="20"/>
      <c r="O13" s="20">
        <v>8.4447078230577392E-3</v>
      </c>
      <c r="P13" s="20">
        <v>0</v>
      </c>
      <c r="Q13" s="20"/>
      <c r="R13" s="20">
        <v>0</v>
      </c>
      <c r="S13" s="20">
        <v>0</v>
      </c>
      <c r="T13" s="20">
        <v>0</v>
      </c>
      <c r="U13" s="20">
        <v>0</v>
      </c>
      <c r="V13" s="20">
        <v>3.5222362136880903E-2</v>
      </c>
      <c r="W13" s="20">
        <v>3.2599672584624297E-2</v>
      </c>
      <c r="X13" s="20">
        <v>0</v>
      </c>
      <c r="Y13" s="20">
        <v>0</v>
      </c>
      <c r="Z13" s="20">
        <v>0</v>
      </c>
      <c r="AA13" s="20"/>
      <c r="AB13" s="20" t="s">
        <v>76</v>
      </c>
      <c r="AC13" s="20" t="s">
        <v>76</v>
      </c>
      <c r="AD13" s="20" t="s">
        <v>76</v>
      </c>
      <c r="AE13" s="20" t="s">
        <v>76</v>
      </c>
      <c r="AF13" s="20"/>
      <c r="AG13" s="20" t="s">
        <v>76</v>
      </c>
      <c r="AH13" s="20" t="s">
        <v>76</v>
      </c>
      <c r="AI13" s="20"/>
      <c r="AJ13" s="20" t="s">
        <v>76</v>
      </c>
      <c r="AK13" s="20" t="s">
        <v>76</v>
      </c>
      <c r="AL13" s="20"/>
      <c r="AM13" s="20">
        <v>4.5888873790726802E-3</v>
      </c>
      <c r="AN13" s="20">
        <v>0</v>
      </c>
    </row>
    <row r="14" spans="2:40" x14ac:dyDescent="0.35">
      <c r="B14" s="27" t="s">
        <v>179</v>
      </c>
    </row>
    <row r="15" spans="2:40" x14ac:dyDescent="0.35">
      <c r="B15" t="s">
        <v>72</v>
      </c>
    </row>
    <row r="16" spans="2:40" x14ac:dyDescent="0.35">
      <c r="B16" t="s">
        <v>73</v>
      </c>
    </row>
    <row r="18" spans="2:2" x14ac:dyDescent="0.35">
      <c r="B18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B2:AN16"/>
  <sheetViews>
    <sheetView showGridLines="0" workbookViewId="0">
      <pane xSplit="2" topLeftCell="C1" activePane="topRight" state="frozen"/>
      <selection pane="topRight" activeCell="B16" sqref="B16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176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388</v>
      </c>
      <c r="D7" s="10">
        <v>211</v>
      </c>
      <c r="E7" s="10">
        <v>177</v>
      </c>
      <c r="F7" s="10"/>
      <c r="G7" s="10">
        <v>388</v>
      </c>
      <c r="H7" s="10" t="s">
        <v>75</v>
      </c>
      <c r="I7" s="10" t="s">
        <v>75</v>
      </c>
      <c r="J7" s="10"/>
      <c r="K7" s="10">
        <v>388</v>
      </c>
      <c r="L7" s="10" t="s">
        <v>75</v>
      </c>
      <c r="M7" s="10" t="s">
        <v>75</v>
      </c>
      <c r="N7" s="10"/>
      <c r="O7" s="10">
        <v>342</v>
      </c>
      <c r="P7" s="10">
        <v>41</v>
      </c>
      <c r="Q7" s="10"/>
      <c r="R7" s="10">
        <v>63</v>
      </c>
      <c r="S7" s="10">
        <v>58</v>
      </c>
      <c r="T7" s="10">
        <v>36</v>
      </c>
      <c r="U7" s="10">
        <v>37</v>
      </c>
      <c r="V7" s="10">
        <v>37</v>
      </c>
      <c r="W7" s="10">
        <v>52</v>
      </c>
      <c r="X7" s="10">
        <v>26</v>
      </c>
      <c r="Y7" s="10">
        <v>19</v>
      </c>
      <c r="Z7" s="10">
        <v>60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275</v>
      </c>
      <c r="AN7" s="10">
        <v>60</v>
      </c>
    </row>
    <row r="8" spans="2:40" ht="30" customHeight="1" x14ac:dyDescent="0.35">
      <c r="B8" s="11" t="s">
        <v>20</v>
      </c>
      <c r="C8" s="11">
        <v>496</v>
      </c>
      <c r="D8" s="11">
        <v>261</v>
      </c>
      <c r="E8" s="11">
        <v>235</v>
      </c>
      <c r="F8" s="11"/>
      <c r="G8" s="11">
        <v>496</v>
      </c>
      <c r="H8" s="11" t="s">
        <v>75</v>
      </c>
      <c r="I8" s="11" t="s">
        <v>75</v>
      </c>
      <c r="J8" s="11"/>
      <c r="K8" s="11">
        <v>496</v>
      </c>
      <c r="L8" s="11" t="s">
        <v>75</v>
      </c>
      <c r="M8" s="11" t="s">
        <v>75</v>
      </c>
      <c r="N8" s="11"/>
      <c r="O8" s="11">
        <v>440</v>
      </c>
      <c r="P8" s="11">
        <v>49</v>
      </c>
      <c r="Q8" s="11"/>
      <c r="R8" s="11">
        <v>88</v>
      </c>
      <c r="S8" s="11">
        <v>68</v>
      </c>
      <c r="T8" s="11">
        <v>47</v>
      </c>
      <c r="U8" s="11">
        <v>55</v>
      </c>
      <c r="V8" s="11">
        <v>48</v>
      </c>
      <c r="W8" s="11">
        <v>51</v>
      </c>
      <c r="X8" s="11">
        <v>51</v>
      </c>
      <c r="Y8" s="11">
        <v>23</v>
      </c>
      <c r="Z8" s="11">
        <v>65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355</v>
      </c>
      <c r="AN8" s="11">
        <v>73</v>
      </c>
    </row>
    <row r="9" spans="2:40" x14ac:dyDescent="0.35">
      <c r="B9" s="15" t="s">
        <v>44</v>
      </c>
      <c r="C9" s="14">
        <v>0.61985340894896501</v>
      </c>
      <c r="D9" s="14">
        <v>0.65028383343749496</v>
      </c>
      <c r="E9" s="14">
        <v>0.586006158170016</v>
      </c>
      <c r="F9" s="14"/>
      <c r="G9" s="14">
        <v>0.61985340894896501</v>
      </c>
      <c r="H9" s="14" t="s">
        <v>76</v>
      </c>
      <c r="I9" s="14" t="s">
        <v>76</v>
      </c>
      <c r="J9" s="14"/>
      <c r="K9" s="14">
        <v>0.61985340894896501</v>
      </c>
      <c r="L9" s="14" t="s">
        <v>76</v>
      </c>
      <c r="M9" s="14" t="s">
        <v>76</v>
      </c>
      <c r="N9" s="14"/>
      <c r="O9" s="14">
        <v>0.59326825578958498</v>
      </c>
      <c r="P9" s="14">
        <v>0.86092564128715499</v>
      </c>
      <c r="Q9" s="14"/>
      <c r="R9" s="14">
        <v>0.715433777101255</v>
      </c>
      <c r="S9" s="14">
        <v>0.66641543290010796</v>
      </c>
      <c r="T9" s="14">
        <v>0.55942245938073998</v>
      </c>
      <c r="U9" s="14">
        <v>0.54861331418625103</v>
      </c>
      <c r="V9" s="14">
        <v>0.62409547525164499</v>
      </c>
      <c r="W9" s="14">
        <v>0.69445226638207702</v>
      </c>
      <c r="X9" s="14">
        <v>0.59361081702593299</v>
      </c>
      <c r="Y9" s="14">
        <v>0.50589987469335795</v>
      </c>
      <c r="Z9" s="14">
        <v>0.54405318592783702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0.62997579375926904</v>
      </c>
      <c r="AN9" s="14">
        <v>0.61982388704198599</v>
      </c>
    </row>
    <row r="10" spans="2:40" x14ac:dyDescent="0.35">
      <c r="B10" s="15" t="s">
        <v>45</v>
      </c>
      <c r="C10" s="14">
        <v>0.26518593519801098</v>
      </c>
      <c r="D10" s="14">
        <v>0.23960152978787699</v>
      </c>
      <c r="E10" s="14">
        <v>0.29364304023358101</v>
      </c>
      <c r="F10" s="14"/>
      <c r="G10" s="14">
        <v>0.26518593519801098</v>
      </c>
      <c r="H10" s="14" t="s">
        <v>76</v>
      </c>
      <c r="I10" s="14" t="s">
        <v>76</v>
      </c>
      <c r="J10" s="14"/>
      <c r="K10" s="14">
        <v>0.26518593519801098</v>
      </c>
      <c r="L10" s="14" t="s">
        <v>76</v>
      </c>
      <c r="M10" s="14" t="s">
        <v>76</v>
      </c>
      <c r="N10" s="14"/>
      <c r="O10" s="14">
        <v>0.28523791784978197</v>
      </c>
      <c r="P10" s="14">
        <v>0.122168984995951</v>
      </c>
      <c r="Q10" s="14"/>
      <c r="R10" s="14">
        <v>0.22805093987216499</v>
      </c>
      <c r="S10" s="14">
        <v>0.249231289716738</v>
      </c>
      <c r="T10" s="14">
        <v>0.34018742760076298</v>
      </c>
      <c r="U10" s="14">
        <v>0.27172015246039499</v>
      </c>
      <c r="V10" s="14">
        <v>0.186309000830472</v>
      </c>
      <c r="W10" s="14">
        <v>0.223334726249833</v>
      </c>
      <c r="X10" s="14">
        <v>0.35566357463663001</v>
      </c>
      <c r="Y10" s="14">
        <v>0.33624204934735002</v>
      </c>
      <c r="Z10" s="14">
        <v>0.26717254492537201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0.26852788413281897</v>
      </c>
      <c r="AN10" s="14">
        <v>0.25039521511600299</v>
      </c>
    </row>
    <row r="11" spans="2:40" x14ac:dyDescent="0.35">
      <c r="B11" s="15" t="s">
        <v>70</v>
      </c>
      <c r="C11" s="20">
        <v>0.11496065585302399</v>
      </c>
      <c r="D11" s="20">
        <v>0.110114636774628</v>
      </c>
      <c r="E11" s="20">
        <v>0.120350801596403</v>
      </c>
      <c r="F11" s="20"/>
      <c r="G11" s="20">
        <v>0.11496065585302399</v>
      </c>
      <c r="H11" s="20" t="s">
        <v>76</v>
      </c>
      <c r="I11" s="20" t="s">
        <v>76</v>
      </c>
      <c r="J11" s="20"/>
      <c r="K11" s="20">
        <v>0.11496065585302399</v>
      </c>
      <c r="L11" s="20" t="s">
        <v>76</v>
      </c>
      <c r="M11" s="20" t="s">
        <v>76</v>
      </c>
      <c r="N11" s="20"/>
      <c r="O11" s="20">
        <v>0.12149382636063299</v>
      </c>
      <c r="P11" s="20">
        <v>1.6905373716893698E-2</v>
      </c>
      <c r="Q11" s="20"/>
      <c r="R11" s="20">
        <v>5.6515283026580203E-2</v>
      </c>
      <c r="S11" s="20">
        <v>8.4353277383154499E-2</v>
      </c>
      <c r="T11" s="20">
        <v>0.100390113018497</v>
      </c>
      <c r="U11" s="20">
        <v>0.179666533353354</v>
      </c>
      <c r="V11" s="20">
        <v>0.18959552391788301</v>
      </c>
      <c r="W11" s="20">
        <v>8.2213007368090701E-2</v>
      </c>
      <c r="X11" s="20">
        <v>5.0725608337437E-2</v>
      </c>
      <c r="Y11" s="20">
        <v>0.15785807595929199</v>
      </c>
      <c r="Z11" s="20">
        <v>0.18877426914679099</v>
      </c>
      <c r="AA11" s="20"/>
      <c r="AB11" s="20" t="s">
        <v>76</v>
      </c>
      <c r="AC11" s="20" t="s">
        <v>76</v>
      </c>
      <c r="AD11" s="20" t="s">
        <v>76</v>
      </c>
      <c r="AE11" s="20" t="s">
        <v>76</v>
      </c>
      <c r="AF11" s="20"/>
      <c r="AG11" s="20" t="s">
        <v>76</v>
      </c>
      <c r="AH11" s="20" t="s">
        <v>76</v>
      </c>
      <c r="AI11" s="20"/>
      <c r="AJ11" s="20" t="s">
        <v>76</v>
      </c>
      <c r="AK11" s="20" t="s">
        <v>76</v>
      </c>
      <c r="AL11" s="20"/>
      <c r="AM11" s="20">
        <v>0.101496322107912</v>
      </c>
      <c r="AN11" s="20">
        <v>0.12978089784201099</v>
      </c>
    </row>
    <row r="12" spans="2:40" x14ac:dyDescent="0.35">
      <c r="B12" s="27" t="s">
        <v>173</v>
      </c>
    </row>
    <row r="13" spans="2:40" x14ac:dyDescent="0.35">
      <c r="B13" t="s">
        <v>72</v>
      </c>
    </row>
    <row r="14" spans="2:40" x14ac:dyDescent="0.35">
      <c r="B14" t="s">
        <v>73</v>
      </c>
    </row>
    <row r="16" spans="2:40" x14ac:dyDescent="0.35">
      <c r="B16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B2:AN18"/>
  <sheetViews>
    <sheetView showGridLines="0" workbookViewId="0">
      <pane xSplit="2" topLeftCell="C1" activePane="topRight" state="frozen"/>
      <selection pane="topRight" activeCell="B18" sqref="B18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178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252</v>
      </c>
      <c r="D7" s="10">
        <v>142</v>
      </c>
      <c r="E7" s="10">
        <v>110</v>
      </c>
      <c r="F7" s="10"/>
      <c r="G7" s="10">
        <v>252</v>
      </c>
      <c r="H7" s="10" t="s">
        <v>75</v>
      </c>
      <c r="I7" s="10" t="s">
        <v>75</v>
      </c>
      <c r="J7" s="10"/>
      <c r="K7" s="10">
        <v>252</v>
      </c>
      <c r="L7" s="10" t="s">
        <v>75</v>
      </c>
      <c r="M7" s="10" t="s">
        <v>75</v>
      </c>
      <c r="N7" s="10"/>
      <c r="O7" s="10">
        <v>214</v>
      </c>
      <c r="P7" s="10">
        <v>35</v>
      </c>
      <c r="Q7" s="10"/>
      <c r="R7" s="10">
        <v>48</v>
      </c>
      <c r="S7" s="10">
        <v>41</v>
      </c>
      <c r="T7" s="10">
        <v>22</v>
      </c>
      <c r="U7" s="10">
        <v>21</v>
      </c>
      <c r="V7" s="10">
        <v>24</v>
      </c>
      <c r="W7" s="10">
        <v>37</v>
      </c>
      <c r="X7" s="10">
        <v>16</v>
      </c>
      <c r="Y7" s="10">
        <v>10</v>
      </c>
      <c r="Z7" s="10">
        <v>33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184</v>
      </c>
      <c r="AN7" s="10">
        <v>37</v>
      </c>
    </row>
    <row r="8" spans="2:40" ht="30" customHeight="1" x14ac:dyDescent="0.35">
      <c r="B8" s="11" t="s">
        <v>20</v>
      </c>
      <c r="C8" s="11">
        <v>307</v>
      </c>
      <c r="D8" s="11">
        <v>170</v>
      </c>
      <c r="E8" s="11">
        <v>138</v>
      </c>
      <c r="F8" s="11"/>
      <c r="G8" s="11">
        <v>307</v>
      </c>
      <c r="H8" s="11" t="s">
        <v>75</v>
      </c>
      <c r="I8" s="11" t="s">
        <v>75</v>
      </c>
      <c r="J8" s="11"/>
      <c r="K8" s="11">
        <v>307</v>
      </c>
      <c r="L8" s="11" t="s">
        <v>75</v>
      </c>
      <c r="M8" s="11" t="s">
        <v>75</v>
      </c>
      <c r="N8" s="11"/>
      <c r="O8" s="11">
        <v>261</v>
      </c>
      <c r="P8" s="11">
        <v>42</v>
      </c>
      <c r="Q8" s="11"/>
      <c r="R8" s="11">
        <v>63</v>
      </c>
      <c r="S8" s="11">
        <v>45</v>
      </c>
      <c r="T8" s="11">
        <v>26</v>
      </c>
      <c r="U8" s="11">
        <v>30</v>
      </c>
      <c r="V8" s="11">
        <v>30</v>
      </c>
      <c r="W8" s="11">
        <v>36</v>
      </c>
      <c r="X8" s="11">
        <v>30</v>
      </c>
      <c r="Y8" s="11">
        <v>12</v>
      </c>
      <c r="Z8" s="11">
        <v>35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224</v>
      </c>
      <c r="AN8" s="11">
        <v>45</v>
      </c>
    </row>
    <row r="9" spans="2:40" x14ac:dyDescent="0.35">
      <c r="B9" s="15" t="s">
        <v>155</v>
      </c>
      <c r="C9" s="14">
        <v>0.17384464860847501</v>
      </c>
      <c r="D9" s="14">
        <v>0.15554773955088799</v>
      </c>
      <c r="E9" s="14">
        <v>0.19642828617328001</v>
      </c>
      <c r="F9" s="14"/>
      <c r="G9" s="14">
        <v>0.17384464860847501</v>
      </c>
      <c r="H9" s="14" t="s">
        <v>76</v>
      </c>
      <c r="I9" s="14" t="s">
        <v>76</v>
      </c>
      <c r="J9" s="14"/>
      <c r="K9" s="14">
        <v>0.17384464860847501</v>
      </c>
      <c r="L9" s="14" t="s">
        <v>76</v>
      </c>
      <c r="M9" s="14" t="s">
        <v>76</v>
      </c>
      <c r="N9" s="14"/>
      <c r="O9" s="14">
        <v>0.13737278876094</v>
      </c>
      <c r="P9" s="14">
        <v>0.414063814098656</v>
      </c>
      <c r="Q9" s="14"/>
      <c r="R9" s="14">
        <v>0.221550447054469</v>
      </c>
      <c r="S9" s="14">
        <v>0.124812906884585</v>
      </c>
      <c r="T9" s="14">
        <v>4.0736895376021098E-2</v>
      </c>
      <c r="U9" s="14">
        <v>0.33365033382128001</v>
      </c>
      <c r="V9" s="14">
        <v>0.183247501560619</v>
      </c>
      <c r="W9" s="14">
        <v>0.19938024131245199</v>
      </c>
      <c r="X9" s="14">
        <v>0.18754437593102999</v>
      </c>
      <c r="Y9" s="14">
        <v>8.8474091030445498E-2</v>
      </c>
      <c r="Z9" s="14">
        <v>9.7627399350118604E-2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0.19907355321945799</v>
      </c>
      <c r="AN9" s="14">
        <v>0.163690737167795</v>
      </c>
    </row>
    <row r="10" spans="2:40" x14ac:dyDescent="0.35">
      <c r="B10" s="15" t="s">
        <v>156</v>
      </c>
      <c r="C10" s="14">
        <v>0.50412345134365799</v>
      </c>
      <c r="D10" s="14">
        <v>0.54338937928222497</v>
      </c>
      <c r="E10" s="14">
        <v>0.45565802571251102</v>
      </c>
      <c r="F10" s="14"/>
      <c r="G10" s="14">
        <v>0.50412345134365799</v>
      </c>
      <c r="H10" s="14" t="s">
        <v>76</v>
      </c>
      <c r="I10" s="14" t="s">
        <v>76</v>
      </c>
      <c r="J10" s="14"/>
      <c r="K10" s="14">
        <v>0.50412345134365799</v>
      </c>
      <c r="L10" s="14" t="s">
        <v>76</v>
      </c>
      <c r="M10" s="14" t="s">
        <v>76</v>
      </c>
      <c r="N10" s="14"/>
      <c r="O10" s="14">
        <v>0.52079694129995702</v>
      </c>
      <c r="P10" s="14">
        <v>0.39417557830292499</v>
      </c>
      <c r="Q10" s="14"/>
      <c r="R10" s="14">
        <v>0.58716057204209304</v>
      </c>
      <c r="S10" s="14">
        <v>0.42726970958855098</v>
      </c>
      <c r="T10" s="14">
        <v>0.74270807709567099</v>
      </c>
      <c r="U10" s="14">
        <v>0.310440490959491</v>
      </c>
      <c r="V10" s="14">
        <v>0.57909645858282599</v>
      </c>
      <c r="W10" s="14">
        <v>0.47208845404769201</v>
      </c>
      <c r="X10" s="14">
        <v>0.32268336192228297</v>
      </c>
      <c r="Y10" s="14">
        <v>0.59949168272078301</v>
      </c>
      <c r="Z10" s="14">
        <v>0.53639542210634406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0.50736969193664405</v>
      </c>
      <c r="AN10" s="14">
        <v>0.50831001206506699</v>
      </c>
    </row>
    <row r="11" spans="2:40" x14ac:dyDescent="0.35">
      <c r="B11" s="15" t="s">
        <v>157</v>
      </c>
      <c r="C11" s="14">
        <v>0.218920541728018</v>
      </c>
      <c r="D11" s="14">
        <v>0.20824867029762101</v>
      </c>
      <c r="E11" s="14">
        <v>0.23209269423551099</v>
      </c>
      <c r="F11" s="14"/>
      <c r="G11" s="14">
        <v>0.218920541728018</v>
      </c>
      <c r="H11" s="14" t="s">
        <v>76</v>
      </c>
      <c r="I11" s="14" t="s">
        <v>76</v>
      </c>
      <c r="J11" s="14"/>
      <c r="K11" s="14">
        <v>0.218920541728018</v>
      </c>
      <c r="L11" s="14" t="s">
        <v>76</v>
      </c>
      <c r="M11" s="14" t="s">
        <v>76</v>
      </c>
      <c r="N11" s="14"/>
      <c r="O11" s="14">
        <v>0.25016264507096903</v>
      </c>
      <c r="P11" s="14">
        <v>4.7193918558530397E-2</v>
      </c>
      <c r="Q11" s="14"/>
      <c r="R11" s="14">
        <v>0.105220190171564</v>
      </c>
      <c r="S11" s="14">
        <v>0.31363722381640702</v>
      </c>
      <c r="T11" s="14">
        <v>8.3703027434355995E-2</v>
      </c>
      <c r="U11" s="14">
        <v>0.28962407050028</v>
      </c>
      <c r="V11" s="14">
        <v>0.12976809961261501</v>
      </c>
      <c r="W11" s="14">
        <v>0.25019009203065401</v>
      </c>
      <c r="X11" s="14">
        <v>0.44008589236859502</v>
      </c>
      <c r="Y11" s="14">
        <v>8.3883759594765905E-2</v>
      </c>
      <c r="Z11" s="14">
        <v>0.237687759484107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0.21646654643150701</v>
      </c>
      <c r="AN11" s="14">
        <v>0.19785796106956499</v>
      </c>
    </row>
    <row r="12" spans="2:40" x14ac:dyDescent="0.35">
      <c r="B12" s="15" t="s">
        <v>158</v>
      </c>
      <c r="C12" s="14">
        <v>8.1214457633871501E-2</v>
      </c>
      <c r="D12" s="14">
        <v>7.6317226682807104E-2</v>
      </c>
      <c r="E12" s="14">
        <v>8.7259046286626799E-2</v>
      </c>
      <c r="F12" s="14"/>
      <c r="G12" s="14">
        <v>8.1214457633871501E-2</v>
      </c>
      <c r="H12" s="14" t="s">
        <v>76</v>
      </c>
      <c r="I12" s="14" t="s">
        <v>76</v>
      </c>
      <c r="J12" s="14"/>
      <c r="K12" s="14">
        <v>8.1214457633871501E-2</v>
      </c>
      <c r="L12" s="14" t="s">
        <v>76</v>
      </c>
      <c r="M12" s="14" t="s">
        <v>76</v>
      </c>
      <c r="N12" s="14"/>
      <c r="O12" s="14">
        <v>6.5877676023964701E-2</v>
      </c>
      <c r="P12" s="14">
        <v>0.14456668903988901</v>
      </c>
      <c r="Q12" s="14"/>
      <c r="R12" s="14">
        <v>6.6917388427076396E-2</v>
      </c>
      <c r="S12" s="14">
        <v>9.8418068405784806E-2</v>
      </c>
      <c r="T12" s="14">
        <v>0.13285200009395201</v>
      </c>
      <c r="U12" s="14">
        <v>6.6285104718949703E-2</v>
      </c>
      <c r="V12" s="14">
        <v>7.1292394629985198E-2</v>
      </c>
      <c r="W12" s="14">
        <v>4.20277323034004E-2</v>
      </c>
      <c r="X12" s="14">
        <v>0</v>
      </c>
      <c r="Y12" s="14">
        <v>0.22815046665400601</v>
      </c>
      <c r="Z12" s="14">
        <v>0.128289419059431</v>
      </c>
      <c r="AA12" s="14"/>
      <c r="AB12" s="14" t="s">
        <v>76</v>
      </c>
      <c r="AC12" s="14" t="s">
        <v>76</v>
      </c>
      <c r="AD12" s="14" t="s">
        <v>76</v>
      </c>
      <c r="AE12" s="14" t="s">
        <v>76</v>
      </c>
      <c r="AF12" s="14"/>
      <c r="AG12" s="14" t="s">
        <v>76</v>
      </c>
      <c r="AH12" s="14" t="s">
        <v>76</v>
      </c>
      <c r="AI12" s="14"/>
      <c r="AJ12" s="14" t="s">
        <v>76</v>
      </c>
      <c r="AK12" s="14" t="s">
        <v>76</v>
      </c>
      <c r="AL12" s="14"/>
      <c r="AM12" s="14">
        <v>5.2757705425009002E-2</v>
      </c>
      <c r="AN12" s="14">
        <v>0.10158796025898301</v>
      </c>
    </row>
    <row r="13" spans="2:40" x14ac:dyDescent="0.35">
      <c r="B13" s="15" t="s">
        <v>70</v>
      </c>
      <c r="C13" s="20">
        <v>2.1896900685977699E-2</v>
      </c>
      <c r="D13" s="20">
        <v>1.6496984186458799E-2</v>
      </c>
      <c r="E13" s="20">
        <v>2.8561947592071299E-2</v>
      </c>
      <c r="F13" s="20"/>
      <c r="G13" s="20">
        <v>2.1896900685977699E-2</v>
      </c>
      <c r="H13" s="20" t="s">
        <v>76</v>
      </c>
      <c r="I13" s="20" t="s">
        <v>76</v>
      </c>
      <c r="J13" s="20"/>
      <c r="K13" s="20">
        <v>2.1896900685977699E-2</v>
      </c>
      <c r="L13" s="20" t="s">
        <v>76</v>
      </c>
      <c r="M13" s="20" t="s">
        <v>76</v>
      </c>
      <c r="N13" s="20"/>
      <c r="O13" s="20">
        <v>2.5789948844169599E-2</v>
      </c>
      <c r="P13" s="20">
        <v>0</v>
      </c>
      <c r="Q13" s="20"/>
      <c r="R13" s="20">
        <v>1.9151402304797598E-2</v>
      </c>
      <c r="S13" s="20">
        <v>3.5862091304671398E-2</v>
      </c>
      <c r="T13" s="20">
        <v>0</v>
      </c>
      <c r="U13" s="20">
        <v>0</v>
      </c>
      <c r="V13" s="20">
        <v>3.6595545613955303E-2</v>
      </c>
      <c r="W13" s="20">
        <v>3.6313480305801601E-2</v>
      </c>
      <c r="X13" s="20">
        <v>4.9686369778092702E-2</v>
      </c>
      <c r="Y13" s="20">
        <v>0</v>
      </c>
      <c r="Z13" s="20">
        <v>0</v>
      </c>
      <c r="AA13" s="20"/>
      <c r="AB13" s="20" t="s">
        <v>76</v>
      </c>
      <c r="AC13" s="20" t="s">
        <v>76</v>
      </c>
      <c r="AD13" s="20" t="s">
        <v>76</v>
      </c>
      <c r="AE13" s="20" t="s">
        <v>76</v>
      </c>
      <c r="AF13" s="20"/>
      <c r="AG13" s="20" t="s">
        <v>76</v>
      </c>
      <c r="AH13" s="20" t="s">
        <v>76</v>
      </c>
      <c r="AI13" s="20"/>
      <c r="AJ13" s="20" t="s">
        <v>76</v>
      </c>
      <c r="AK13" s="20" t="s">
        <v>76</v>
      </c>
      <c r="AL13" s="20"/>
      <c r="AM13" s="20">
        <v>2.4332502987382001E-2</v>
      </c>
      <c r="AN13" s="20">
        <v>2.8553329438590201E-2</v>
      </c>
    </row>
    <row r="14" spans="2:40" x14ac:dyDescent="0.35">
      <c r="B14" s="27" t="s">
        <v>188</v>
      </c>
    </row>
    <row r="15" spans="2:40" x14ac:dyDescent="0.35">
      <c r="B15" t="s">
        <v>72</v>
      </c>
    </row>
    <row r="16" spans="2:40" x14ac:dyDescent="0.35">
      <c r="B16" t="s">
        <v>73</v>
      </c>
    </row>
    <row r="18" spans="2:2" x14ac:dyDescent="0.35">
      <c r="B18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B2:AN19"/>
  <sheetViews>
    <sheetView showGridLines="0" workbookViewId="0">
      <pane xSplit="2" topLeftCell="C1" activePane="topRight" state="frozen"/>
      <selection pane="topRight" activeCell="B13" sqref="B13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180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252</v>
      </c>
      <c r="D7" s="10">
        <v>142</v>
      </c>
      <c r="E7" s="10">
        <v>110</v>
      </c>
      <c r="F7" s="10"/>
      <c r="G7" s="10">
        <v>252</v>
      </c>
      <c r="H7" s="10" t="s">
        <v>75</v>
      </c>
      <c r="I7" s="10" t="s">
        <v>75</v>
      </c>
      <c r="J7" s="10"/>
      <c r="K7" s="10">
        <v>252</v>
      </c>
      <c r="L7" s="10" t="s">
        <v>75</v>
      </c>
      <c r="M7" s="10" t="s">
        <v>75</v>
      </c>
      <c r="N7" s="10"/>
      <c r="O7" s="10">
        <v>214</v>
      </c>
      <c r="P7" s="10">
        <v>35</v>
      </c>
      <c r="Q7" s="10"/>
      <c r="R7" s="10">
        <v>48</v>
      </c>
      <c r="S7" s="10">
        <v>41</v>
      </c>
      <c r="T7" s="10">
        <v>22</v>
      </c>
      <c r="U7" s="10">
        <v>21</v>
      </c>
      <c r="V7" s="10">
        <v>24</v>
      </c>
      <c r="W7" s="10">
        <v>37</v>
      </c>
      <c r="X7" s="10">
        <v>16</v>
      </c>
      <c r="Y7" s="10">
        <v>10</v>
      </c>
      <c r="Z7" s="10">
        <v>33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184</v>
      </c>
      <c r="AN7" s="10">
        <v>37</v>
      </c>
    </row>
    <row r="8" spans="2:40" ht="30" customHeight="1" x14ac:dyDescent="0.35">
      <c r="B8" s="11" t="s">
        <v>20</v>
      </c>
      <c r="C8" s="11">
        <v>307</v>
      </c>
      <c r="D8" s="11">
        <v>170</v>
      </c>
      <c r="E8" s="11">
        <v>138</v>
      </c>
      <c r="F8" s="11"/>
      <c r="G8" s="11">
        <v>307</v>
      </c>
      <c r="H8" s="11" t="s">
        <v>75</v>
      </c>
      <c r="I8" s="11" t="s">
        <v>75</v>
      </c>
      <c r="J8" s="11"/>
      <c r="K8" s="11">
        <v>307</v>
      </c>
      <c r="L8" s="11" t="s">
        <v>75</v>
      </c>
      <c r="M8" s="11" t="s">
        <v>75</v>
      </c>
      <c r="N8" s="11"/>
      <c r="O8" s="11">
        <v>261</v>
      </c>
      <c r="P8" s="11">
        <v>42</v>
      </c>
      <c r="Q8" s="11"/>
      <c r="R8" s="11">
        <v>63</v>
      </c>
      <c r="S8" s="11">
        <v>45</v>
      </c>
      <c r="T8" s="11">
        <v>26</v>
      </c>
      <c r="U8" s="11">
        <v>30</v>
      </c>
      <c r="V8" s="11">
        <v>30</v>
      </c>
      <c r="W8" s="11">
        <v>36</v>
      </c>
      <c r="X8" s="11">
        <v>30</v>
      </c>
      <c r="Y8" s="11">
        <v>12</v>
      </c>
      <c r="Z8" s="11">
        <v>35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224</v>
      </c>
      <c r="AN8" s="11">
        <v>45</v>
      </c>
    </row>
    <row r="9" spans="2:40" x14ac:dyDescent="0.35">
      <c r="B9" s="15" t="s">
        <v>160</v>
      </c>
      <c r="C9" s="14">
        <v>0.166295866617125</v>
      </c>
      <c r="D9" s="14">
        <v>0.20753211754777101</v>
      </c>
      <c r="E9" s="14">
        <v>0.11539849686915001</v>
      </c>
      <c r="F9" s="14"/>
      <c r="G9" s="14">
        <v>0.166295866617125</v>
      </c>
      <c r="H9" s="14" t="s">
        <v>76</v>
      </c>
      <c r="I9" s="14" t="s">
        <v>76</v>
      </c>
      <c r="J9" s="14"/>
      <c r="K9" s="14">
        <v>0.166295866617125</v>
      </c>
      <c r="L9" s="14" t="s">
        <v>76</v>
      </c>
      <c r="M9" s="14" t="s">
        <v>76</v>
      </c>
      <c r="N9" s="14"/>
      <c r="O9" s="14">
        <v>0.138323950083829</v>
      </c>
      <c r="P9" s="14">
        <v>0.35358218889894999</v>
      </c>
      <c r="Q9" s="14"/>
      <c r="R9" s="14">
        <v>0.26165369975972702</v>
      </c>
      <c r="S9" s="14">
        <v>0.1076831417162</v>
      </c>
      <c r="T9" s="14">
        <v>8.1473800837802299E-2</v>
      </c>
      <c r="U9" s="14">
        <v>0.16757788320146999</v>
      </c>
      <c r="V9" s="14">
        <v>0.149989793157257</v>
      </c>
      <c r="W9" s="14">
        <v>0.18564420616031099</v>
      </c>
      <c r="X9" s="14">
        <v>0.1020917256877</v>
      </c>
      <c r="Y9" s="14">
        <v>0.16776751918953201</v>
      </c>
      <c r="Z9" s="14">
        <v>0.18265465928461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0.205226234722163</v>
      </c>
      <c r="AN9" s="14">
        <v>2.97924693269228E-2</v>
      </c>
    </row>
    <row r="10" spans="2:40" x14ac:dyDescent="0.35">
      <c r="B10" s="15" t="s">
        <v>161</v>
      </c>
      <c r="C10" s="14">
        <v>0.57583280430588901</v>
      </c>
      <c r="D10" s="14">
        <v>0.57773364472275701</v>
      </c>
      <c r="E10" s="14">
        <v>0.57348662163055497</v>
      </c>
      <c r="F10" s="14"/>
      <c r="G10" s="14">
        <v>0.57583280430588901</v>
      </c>
      <c r="H10" s="14" t="s">
        <v>76</v>
      </c>
      <c r="I10" s="14" t="s">
        <v>76</v>
      </c>
      <c r="J10" s="14"/>
      <c r="K10" s="14">
        <v>0.57583280430588901</v>
      </c>
      <c r="L10" s="14" t="s">
        <v>76</v>
      </c>
      <c r="M10" s="14" t="s">
        <v>76</v>
      </c>
      <c r="N10" s="14"/>
      <c r="O10" s="14">
        <v>0.581809694031587</v>
      </c>
      <c r="P10" s="14">
        <v>0.49984237498376499</v>
      </c>
      <c r="Q10" s="14"/>
      <c r="R10" s="14">
        <v>0.59789643471040299</v>
      </c>
      <c r="S10" s="14">
        <v>0.66105873414430005</v>
      </c>
      <c r="T10" s="14">
        <v>0.51528735403520798</v>
      </c>
      <c r="U10" s="14">
        <v>0.485770287034061</v>
      </c>
      <c r="V10" s="14">
        <v>0.59953746659959595</v>
      </c>
      <c r="W10" s="14">
        <v>0.630454112265597</v>
      </c>
      <c r="X10" s="14">
        <v>0.77335324013423301</v>
      </c>
      <c r="Y10" s="14">
        <v>0.46271003951372702</v>
      </c>
      <c r="Z10" s="14">
        <v>0.340294303761419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0.59085558748922995</v>
      </c>
      <c r="AN10" s="14">
        <v>0.44136414017381698</v>
      </c>
    </row>
    <row r="11" spans="2:40" x14ac:dyDescent="0.35">
      <c r="B11" s="15" t="s">
        <v>162</v>
      </c>
      <c r="C11" s="14">
        <v>0.20889044437156101</v>
      </c>
      <c r="D11" s="14">
        <v>0.17051628586366999</v>
      </c>
      <c r="E11" s="14">
        <v>0.25625517055941099</v>
      </c>
      <c r="F11" s="14"/>
      <c r="G11" s="14">
        <v>0.20889044437156101</v>
      </c>
      <c r="H11" s="14" t="s">
        <v>76</v>
      </c>
      <c r="I11" s="14" t="s">
        <v>76</v>
      </c>
      <c r="J11" s="14"/>
      <c r="K11" s="14">
        <v>0.20889044437156101</v>
      </c>
      <c r="L11" s="14" t="s">
        <v>76</v>
      </c>
      <c r="M11" s="14" t="s">
        <v>76</v>
      </c>
      <c r="N11" s="14"/>
      <c r="O11" s="14">
        <v>0.22217716374681201</v>
      </c>
      <c r="P11" s="14">
        <v>0.14657543611728599</v>
      </c>
      <c r="Q11" s="14"/>
      <c r="R11" s="14">
        <v>0.14044986552987099</v>
      </c>
      <c r="S11" s="14">
        <v>0.15627321368845001</v>
      </c>
      <c r="T11" s="14">
        <v>0.33681284508001402</v>
      </c>
      <c r="U11" s="14">
        <v>0.28036672504551902</v>
      </c>
      <c r="V11" s="14">
        <v>0.21577589122711699</v>
      </c>
      <c r="W11" s="14">
        <v>0.16163179577949999</v>
      </c>
      <c r="X11" s="14">
        <v>0.124555034178068</v>
      </c>
      <c r="Y11" s="14">
        <v>0.225255734237501</v>
      </c>
      <c r="Z11" s="14">
        <v>0.35212279848217798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0.16605068223515301</v>
      </c>
      <c r="AN11" s="14">
        <v>0.45800578773490402</v>
      </c>
    </row>
    <row r="12" spans="2:40" x14ac:dyDescent="0.35">
      <c r="B12" s="15" t="s">
        <v>163</v>
      </c>
      <c r="C12" s="14">
        <v>3.0258180351827601E-2</v>
      </c>
      <c r="D12" s="14">
        <v>3.1639647289045898E-2</v>
      </c>
      <c r="E12" s="14">
        <v>2.8553053626886999E-2</v>
      </c>
      <c r="F12" s="14"/>
      <c r="G12" s="14">
        <v>3.0258180351827601E-2</v>
      </c>
      <c r="H12" s="14" t="s">
        <v>76</v>
      </c>
      <c r="I12" s="14" t="s">
        <v>76</v>
      </c>
      <c r="J12" s="14"/>
      <c r="K12" s="14">
        <v>3.0258180351827601E-2</v>
      </c>
      <c r="L12" s="14" t="s">
        <v>76</v>
      </c>
      <c r="M12" s="14" t="s">
        <v>76</v>
      </c>
      <c r="N12" s="14"/>
      <c r="O12" s="14">
        <v>3.5637779728845999E-2</v>
      </c>
      <c r="P12" s="14">
        <v>0</v>
      </c>
      <c r="Q12" s="14"/>
      <c r="R12" s="14">
        <v>0</v>
      </c>
      <c r="S12" s="14">
        <v>3.9122819146378301E-2</v>
      </c>
      <c r="T12" s="14">
        <v>6.6426000046975797E-2</v>
      </c>
      <c r="U12" s="14">
        <v>0</v>
      </c>
      <c r="V12" s="14">
        <v>3.4696849016029901E-2</v>
      </c>
      <c r="W12" s="14">
        <v>0</v>
      </c>
      <c r="X12" s="14">
        <v>0</v>
      </c>
      <c r="Y12" s="14">
        <v>0.14426670705924</v>
      </c>
      <c r="Z12" s="14">
        <v>8.6854958945624297E-2</v>
      </c>
      <c r="AA12" s="14"/>
      <c r="AB12" s="14" t="s">
        <v>76</v>
      </c>
      <c r="AC12" s="14" t="s">
        <v>76</v>
      </c>
      <c r="AD12" s="14" t="s">
        <v>76</v>
      </c>
      <c r="AE12" s="14" t="s">
        <v>76</v>
      </c>
      <c r="AF12" s="14"/>
      <c r="AG12" s="14" t="s">
        <v>76</v>
      </c>
      <c r="AH12" s="14" t="s">
        <v>76</v>
      </c>
      <c r="AI12" s="14"/>
      <c r="AJ12" s="14" t="s">
        <v>76</v>
      </c>
      <c r="AK12" s="14" t="s">
        <v>76</v>
      </c>
      <c r="AL12" s="14"/>
      <c r="AM12" s="14">
        <v>1.2132771417218999E-2</v>
      </c>
      <c r="AN12" s="14">
        <v>7.0837602764356203E-2</v>
      </c>
    </row>
    <row r="13" spans="2:40" x14ac:dyDescent="0.35">
      <c r="B13" s="15" t="s">
        <v>70</v>
      </c>
      <c r="C13" s="21">
        <v>1.8722704353597599E-2</v>
      </c>
      <c r="D13" s="21">
        <v>1.2578304576756299E-2</v>
      </c>
      <c r="E13" s="21">
        <v>2.6306657313997301E-2</v>
      </c>
      <c r="F13" s="21"/>
      <c r="G13" s="21">
        <v>1.8722704353597599E-2</v>
      </c>
      <c r="H13" s="21" t="s">
        <v>76</v>
      </c>
      <c r="I13" s="21" t="s">
        <v>76</v>
      </c>
      <c r="J13" s="21"/>
      <c r="K13" s="21">
        <v>1.8722704353597599E-2</v>
      </c>
      <c r="L13" s="21" t="s">
        <v>76</v>
      </c>
      <c r="M13" s="21" t="s">
        <v>76</v>
      </c>
      <c r="N13" s="21"/>
      <c r="O13" s="21">
        <v>2.2051412408926201E-2</v>
      </c>
      <c r="P13" s="21">
        <v>0</v>
      </c>
      <c r="Q13" s="21"/>
      <c r="R13" s="21">
        <v>0</v>
      </c>
      <c r="S13" s="21">
        <v>3.5862091304671398E-2</v>
      </c>
      <c r="T13" s="21">
        <v>0</v>
      </c>
      <c r="U13" s="21">
        <v>6.6285104718949703E-2</v>
      </c>
      <c r="V13" s="21">
        <v>0</v>
      </c>
      <c r="W13" s="21">
        <v>2.2269885794592301E-2</v>
      </c>
      <c r="X13" s="21">
        <v>0</v>
      </c>
      <c r="Y13" s="21">
        <v>0</v>
      </c>
      <c r="Z13" s="21">
        <v>3.8073279526169498E-2</v>
      </c>
      <c r="AA13" s="21"/>
      <c r="AB13" s="21" t="s">
        <v>76</v>
      </c>
      <c r="AC13" s="21" t="s">
        <v>76</v>
      </c>
      <c r="AD13" s="21" t="s">
        <v>76</v>
      </c>
      <c r="AE13" s="21" t="s">
        <v>76</v>
      </c>
      <c r="AF13" s="21"/>
      <c r="AG13" s="21" t="s">
        <v>76</v>
      </c>
      <c r="AH13" s="21" t="s">
        <v>76</v>
      </c>
      <c r="AI13" s="21"/>
      <c r="AJ13" s="21" t="s">
        <v>76</v>
      </c>
      <c r="AK13" s="21" t="s">
        <v>76</v>
      </c>
      <c r="AL13" s="21"/>
      <c r="AM13" s="21">
        <v>2.5734724136234299E-2</v>
      </c>
      <c r="AN13" s="21">
        <v>0</v>
      </c>
    </row>
    <row r="14" spans="2:40" x14ac:dyDescent="0.35">
      <c r="B14" s="15" t="s">
        <v>164</v>
      </c>
      <c r="C14" s="30">
        <v>0.74212867092301404</v>
      </c>
      <c r="D14" s="30">
        <v>0.78526576227052802</v>
      </c>
      <c r="E14" s="30">
        <v>0.68888511849970502</v>
      </c>
      <c r="F14" s="30"/>
      <c r="G14" s="30">
        <v>0.74212867092301404</v>
      </c>
      <c r="H14" s="30" t="s">
        <v>76</v>
      </c>
      <c r="I14" s="30" t="s">
        <v>76</v>
      </c>
      <c r="J14" s="30"/>
      <c r="K14" s="30">
        <v>0.74212867092301404</v>
      </c>
      <c r="L14" s="30" t="s">
        <v>76</v>
      </c>
      <c r="M14" s="30" t="s">
        <v>76</v>
      </c>
      <c r="N14" s="30"/>
      <c r="O14" s="30">
        <v>0.72013364411541603</v>
      </c>
      <c r="P14" s="30">
        <v>0.85342456388271404</v>
      </c>
      <c r="Q14" s="30"/>
      <c r="R14" s="30">
        <v>0.85955013447012896</v>
      </c>
      <c r="S14" s="30">
        <v>0.76874187586050102</v>
      </c>
      <c r="T14" s="30">
        <v>0.59676115487300996</v>
      </c>
      <c r="U14" s="30">
        <v>0.65334817023553104</v>
      </c>
      <c r="V14" s="30">
        <v>0.74952725975685297</v>
      </c>
      <c r="W14" s="30">
        <v>0.81609831842590796</v>
      </c>
      <c r="X14" s="30">
        <v>0.87544496582193199</v>
      </c>
      <c r="Y14" s="30">
        <v>0.63047755870325894</v>
      </c>
      <c r="Z14" s="30">
        <v>0.522948963046028</v>
      </c>
      <c r="AA14" s="30"/>
      <c r="AB14" s="30" t="s">
        <v>76</v>
      </c>
      <c r="AC14" s="30" t="s">
        <v>76</v>
      </c>
      <c r="AD14" s="30" t="s">
        <v>76</v>
      </c>
      <c r="AE14" s="30" t="s">
        <v>76</v>
      </c>
      <c r="AF14" s="30"/>
      <c r="AG14" s="30" t="s">
        <v>76</v>
      </c>
      <c r="AH14" s="30" t="s">
        <v>76</v>
      </c>
      <c r="AI14" s="30"/>
      <c r="AJ14" s="30" t="s">
        <v>76</v>
      </c>
      <c r="AK14" s="30" t="s">
        <v>76</v>
      </c>
      <c r="AL14" s="30"/>
      <c r="AM14" s="30">
        <v>0.79608182221139401</v>
      </c>
      <c r="AN14" s="30">
        <v>0.47115660950074001</v>
      </c>
    </row>
    <row r="15" spans="2:40" x14ac:dyDescent="0.35">
      <c r="B15" s="27" t="s">
        <v>188</v>
      </c>
    </row>
    <row r="16" spans="2:40" x14ac:dyDescent="0.35">
      <c r="B16" t="s">
        <v>72</v>
      </c>
    </row>
    <row r="17" spans="2:2" x14ac:dyDescent="0.35">
      <c r="B17" t="s">
        <v>73</v>
      </c>
    </row>
    <row r="19" spans="2:2" x14ac:dyDescent="0.35">
      <c r="B19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B2:AN18"/>
  <sheetViews>
    <sheetView showGridLines="0" workbookViewId="0">
      <pane xSplit="2" topLeftCell="C1" activePane="topRight" state="frozen"/>
      <selection pane="topRight" activeCell="E15" sqref="E15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181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252</v>
      </c>
      <c r="D7" s="10">
        <v>142</v>
      </c>
      <c r="E7" s="10">
        <v>110</v>
      </c>
      <c r="F7" s="10"/>
      <c r="G7" s="10">
        <v>252</v>
      </c>
      <c r="H7" s="10" t="s">
        <v>75</v>
      </c>
      <c r="I7" s="10" t="s">
        <v>75</v>
      </c>
      <c r="J7" s="10"/>
      <c r="K7" s="10">
        <v>252</v>
      </c>
      <c r="L7" s="10" t="s">
        <v>75</v>
      </c>
      <c r="M7" s="10" t="s">
        <v>75</v>
      </c>
      <c r="N7" s="10"/>
      <c r="O7" s="10">
        <v>214</v>
      </c>
      <c r="P7" s="10">
        <v>35</v>
      </c>
      <c r="Q7" s="10"/>
      <c r="R7" s="10">
        <v>48</v>
      </c>
      <c r="S7" s="10">
        <v>41</v>
      </c>
      <c r="T7" s="10">
        <v>22</v>
      </c>
      <c r="U7" s="10">
        <v>21</v>
      </c>
      <c r="V7" s="10">
        <v>24</v>
      </c>
      <c r="W7" s="10">
        <v>37</v>
      </c>
      <c r="X7" s="10">
        <v>16</v>
      </c>
      <c r="Y7" s="10">
        <v>10</v>
      </c>
      <c r="Z7" s="10">
        <v>33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184</v>
      </c>
      <c r="AN7" s="10">
        <v>37</v>
      </c>
    </row>
    <row r="8" spans="2:40" ht="30" customHeight="1" x14ac:dyDescent="0.35">
      <c r="B8" s="11" t="s">
        <v>20</v>
      </c>
      <c r="C8" s="11">
        <v>307</v>
      </c>
      <c r="D8" s="11">
        <v>170</v>
      </c>
      <c r="E8" s="11">
        <v>138</v>
      </c>
      <c r="F8" s="11"/>
      <c r="G8" s="11">
        <v>307</v>
      </c>
      <c r="H8" s="11" t="s">
        <v>75</v>
      </c>
      <c r="I8" s="11" t="s">
        <v>75</v>
      </c>
      <c r="J8" s="11"/>
      <c r="K8" s="11">
        <v>307</v>
      </c>
      <c r="L8" s="11" t="s">
        <v>75</v>
      </c>
      <c r="M8" s="11" t="s">
        <v>75</v>
      </c>
      <c r="N8" s="11"/>
      <c r="O8" s="11">
        <v>261</v>
      </c>
      <c r="P8" s="11">
        <v>42</v>
      </c>
      <c r="Q8" s="11"/>
      <c r="R8" s="11">
        <v>63</v>
      </c>
      <c r="S8" s="11">
        <v>45</v>
      </c>
      <c r="T8" s="11">
        <v>26</v>
      </c>
      <c r="U8" s="11">
        <v>30</v>
      </c>
      <c r="V8" s="11">
        <v>30</v>
      </c>
      <c r="W8" s="11">
        <v>36</v>
      </c>
      <c r="X8" s="11">
        <v>30</v>
      </c>
      <c r="Y8" s="11">
        <v>12</v>
      </c>
      <c r="Z8" s="11">
        <v>35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224</v>
      </c>
      <c r="AN8" s="11">
        <v>45</v>
      </c>
    </row>
    <row r="9" spans="2:40" x14ac:dyDescent="0.35">
      <c r="B9" s="15" t="s">
        <v>166</v>
      </c>
      <c r="C9" s="14">
        <v>0.19623131427948101</v>
      </c>
      <c r="D9" s="14">
        <v>0.220514098311342</v>
      </c>
      <c r="E9" s="14">
        <v>0.16625938886224301</v>
      </c>
      <c r="F9" s="14"/>
      <c r="G9" s="14">
        <v>0.19623131427948101</v>
      </c>
      <c r="H9" s="14" t="s">
        <v>76</v>
      </c>
      <c r="I9" s="14" t="s">
        <v>76</v>
      </c>
      <c r="J9" s="14"/>
      <c r="K9" s="14">
        <v>0.19623131427948101</v>
      </c>
      <c r="L9" s="14" t="s">
        <v>76</v>
      </c>
      <c r="M9" s="14" t="s">
        <v>76</v>
      </c>
      <c r="N9" s="14"/>
      <c r="O9" s="14">
        <v>0.17495616362076599</v>
      </c>
      <c r="P9" s="14">
        <v>0.34513528997250398</v>
      </c>
      <c r="Q9" s="14"/>
      <c r="R9" s="14">
        <v>0.27611175288838402</v>
      </c>
      <c r="S9" s="14">
        <v>0.10654208860606899</v>
      </c>
      <c r="T9" s="14">
        <v>0.19546992858241</v>
      </c>
      <c r="U9" s="14">
        <v>0.233862985873109</v>
      </c>
      <c r="V9" s="14">
        <v>0.19063849883174799</v>
      </c>
      <c r="W9" s="14">
        <v>0.206695428296641</v>
      </c>
      <c r="X9" s="14">
        <v>0.22331063011380201</v>
      </c>
      <c r="Y9" s="14">
        <v>0.15357053957171099</v>
      </c>
      <c r="Z9" s="14">
        <v>0.122844803066954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0.24731068750473401</v>
      </c>
      <c r="AN9" s="14">
        <v>2.97924693269228E-2</v>
      </c>
    </row>
    <row r="10" spans="2:40" x14ac:dyDescent="0.35">
      <c r="B10" s="15" t="s">
        <v>167</v>
      </c>
      <c r="C10" s="14">
        <v>0.53478266032027899</v>
      </c>
      <c r="D10" s="14">
        <v>0.54309858077748996</v>
      </c>
      <c r="E10" s="14">
        <v>0.52451842754564304</v>
      </c>
      <c r="F10" s="14"/>
      <c r="G10" s="14">
        <v>0.53478266032027899</v>
      </c>
      <c r="H10" s="14" t="s">
        <v>76</v>
      </c>
      <c r="I10" s="14" t="s">
        <v>76</v>
      </c>
      <c r="J10" s="14"/>
      <c r="K10" s="14">
        <v>0.53478266032027899</v>
      </c>
      <c r="L10" s="14" t="s">
        <v>76</v>
      </c>
      <c r="M10" s="14" t="s">
        <v>76</v>
      </c>
      <c r="N10" s="14"/>
      <c r="O10" s="14">
        <v>0.54493245375418997</v>
      </c>
      <c r="P10" s="14">
        <v>0.467762243699193</v>
      </c>
      <c r="Q10" s="14"/>
      <c r="R10" s="14">
        <v>0.59312660130506201</v>
      </c>
      <c r="S10" s="14">
        <v>0.49235561109651599</v>
      </c>
      <c r="T10" s="14">
        <v>0.30368449567203698</v>
      </c>
      <c r="U10" s="14">
        <v>0.48233119790047402</v>
      </c>
      <c r="V10" s="14">
        <v>0.502311759424933</v>
      </c>
      <c r="W10" s="14">
        <v>0.55286701987568698</v>
      </c>
      <c r="X10" s="14">
        <v>0.64598391229522301</v>
      </c>
      <c r="Y10" s="14">
        <v>0.565381138140995</v>
      </c>
      <c r="Z10" s="14">
        <v>0.60454015031504404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0.56287920928966195</v>
      </c>
      <c r="AN10" s="14">
        <v>0.43945270778769702</v>
      </c>
    </row>
    <row r="11" spans="2:40" x14ac:dyDescent="0.35">
      <c r="B11" s="15" t="s">
        <v>168</v>
      </c>
      <c r="C11" s="14">
        <v>0.19425087968656601</v>
      </c>
      <c r="D11" s="14">
        <v>0.16803729299749501</v>
      </c>
      <c r="E11" s="14">
        <v>0.226605969783824</v>
      </c>
      <c r="F11" s="14"/>
      <c r="G11" s="14">
        <v>0.19425087968656601</v>
      </c>
      <c r="H11" s="14" t="s">
        <v>76</v>
      </c>
      <c r="I11" s="14" t="s">
        <v>76</v>
      </c>
      <c r="J11" s="14"/>
      <c r="K11" s="14">
        <v>0.19425087968656601</v>
      </c>
      <c r="L11" s="14" t="s">
        <v>76</v>
      </c>
      <c r="M11" s="14" t="s">
        <v>76</v>
      </c>
      <c r="N11" s="14"/>
      <c r="O11" s="14">
        <v>0.21124063106038601</v>
      </c>
      <c r="P11" s="14">
        <v>0.10782483701595499</v>
      </c>
      <c r="Q11" s="14"/>
      <c r="R11" s="14">
        <v>0.11161024636686399</v>
      </c>
      <c r="S11" s="14">
        <v>0.30412431909355597</v>
      </c>
      <c r="T11" s="14">
        <v>0.352945784946534</v>
      </c>
      <c r="U11" s="14">
        <v>0.14547704189949701</v>
      </c>
      <c r="V11" s="14">
        <v>0.20295919084052599</v>
      </c>
      <c r="W11" s="14">
        <v>0.24043755182767201</v>
      </c>
      <c r="X11" s="14">
        <v>0.13070545759097499</v>
      </c>
      <c r="Y11" s="14">
        <v>0.13678161522805499</v>
      </c>
      <c r="Z11" s="14">
        <v>0.14381933253936799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0.1746126331683</v>
      </c>
      <c r="AN11" s="14">
        <v>0.23136800236504801</v>
      </c>
    </row>
    <row r="12" spans="2:40" x14ac:dyDescent="0.35">
      <c r="B12" s="15" t="s">
        <v>169</v>
      </c>
      <c r="C12" s="14">
        <v>6.3770075783524102E-2</v>
      </c>
      <c r="D12" s="14">
        <v>5.8108409832994597E-2</v>
      </c>
      <c r="E12" s="14">
        <v>7.0758196642480703E-2</v>
      </c>
      <c r="F12" s="14"/>
      <c r="G12" s="14">
        <v>6.3770075783524102E-2</v>
      </c>
      <c r="H12" s="14" t="s">
        <v>76</v>
      </c>
      <c r="I12" s="14" t="s">
        <v>76</v>
      </c>
      <c r="J12" s="14"/>
      <c r="K12" s="14">
        <v>6.3770075783524102E-2</v>
      </c>
      <c r="L12" s="14" t="s">
        <v>76</v>
      </c>
      <c r="M12" s="14" t="s">
        <v>76</v>
      </c>
      <c r="N12" s="14"/>
      <c r="O12" s="14">
        <v>6.2207079598754898E-2</v>
      </c>
      <c r="P12" s="14">
        <v>7.92776293123479E-2</v>
      </c>
      <c r="Q12" s="14"/>
      <c r="R12" s="14">
        <v>1.9151399439689899E-2</v>
      </c>
      <c r="S12" s="14">
        <v>6.1115883286263897E-2</v>
      </c>
      <c r="T12" s="14">
        <v>8.14737907520421E-2</v>
      </c>
      <c r="U12" s="14">
        <v>0.13832877432692001</v>
      </c>
      <c r="V12" s="14">
        <v>0.104090550902793</v>
      </c>
      <c r="W12" s="14">
        <v>0</v>
      </c>
      <c r="X12" s="14">
        <v>0</v>
      </c>
      <c r="Y12" s="14">
        <v>0.14426670705924</v>
      </c>
      <c r="Z12" s="14">
        <v>0.12879571407863499</v>
      </c>
      <c r="AA12" s="14"/>
      <c r="AB12" s="14" t="s">
        <v>76</v>
      </c>
      <c r="AC12" s="14" t="s">
        <v>76</v>
      </c>
      <c r="AD12" s="14" t="s">
        <v>76</v>
      </c>
      <c r="AE12" s="14" t="s">
        <v>76</v>
      </c>
      <c r="AF12" s="14"/>
      <c r="AG12" s="14" t="s">
        <v>76</v>
      </c>
      <c r="AH12" s="14" t="s">
        <v>76</v>
      </c>
      <c r="AI12" s="14"/>
      <c r="AJ12" s="14" t="s">
        <v>76</v>
      </c>
      <c r="AK12" s="14" t="s">
        <v>76</v>
      </c>
      <c r="AL12" s="14"/>
      <c r="AM12" s="14">
        <v>1.5197470037303901E-2</v>
      </c>
      <c r="AN12" s="14">
        <v>0.299386820520333</v>
      </c>
    </row>
    <row r="13" spans="2:40" x14ac:dyDescent="0.35">
      <c r="B13" s="15" t="s">
        <v>70</v>
      </c>
      <c r="C13" s="20">
        <v>1.0965069930150201E-2</v>
      </c>
      <c r="D13" s="20">
        <v>1.02416180806772E-2</v>
      </c>
      <c r="E13" s="20">
        <v>1.18580171658097E-2</v>
      </c>
      <c r="F13" s="20"/>
      <c r="G13" s="20">
        <v>1.0965069930150201E-2</v>
      </c>
      <c r="H13" s="20" t="s">
        <v>76</v>
      </c>
      <c r="I13" s="20" t="s">
        <v>76</v>
      </c>
      <c r="J13" s="20"/>
      <c r="K13" s="20">
        <v>1.0965069930150201E-2</v>
      </c>
      <c r="L13" s="20" t="s">
        <v>76</v>
      </c>
      <c r="M13" s="20" t="s">
        <v>76</v>
      </c>
      <c r="N13" s="20"/>
      <c r="O13" s="20">
        <v>6.6636719659028901E-3</v>
      </c>
      <c r="P13" s="20">
        <v>0</v>
      </c>
      <c r="Q13" s="20"/>
      <c r="R13" s="20">
        <v>0</v>
      </c>
      <c r="S13" s="20">
        <v>3.5862097917594898E-2</v>
      </c>
      <c r="T13" s="20">
        <v>6.6426000046975797E-2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/>
      <c r="AB13" s="20" t="s">
        <v>76</v>
      </c>
      <c r="AC13" s="20" t="s">
        <v>76</v>
      </c>
      <c r="AD13" s="20" t="s">
        <v>76</v>
      </c>
      <c r="AE13" s="20" t="s">
        <v>76</v>
      </c>
      <c r="AF13" s="20"/>
      <c r="AG13" s="20" t="s">
        <v>76</v>
      </c>
      <c r="AH13" s="20" t="s">
        <v>76</v>
      </c>
      <c r="AI13" s="20"/>
      <c r="AJ13" s="20" t="s">
        <v>76</v>
      </c>
      <c r="AK13" s="20" t="s">
        <v>76</v>
      </c>
      <c r="AL13" s="20"/>
      <c r="AM13" s="20">
        <v>0</v>
      </c>
      <c r="AN13" s="20">
        <v>0</v>
      </c>
    </row>
    <row r="14" spans="2:40" x14ac:dyDescent="0.35">
      <c r="B14" s="27" t="s">
        <v>188</v>
      </c>
    </row>
    <row r="15" spans="2:40" x14ac:dyDescent="0.35">
      <c r="B15" t="s">
        <v>72</v>
      </c>
    </row>
    <row r="16" spans="2:40" x14ac:dyDescent="0.35">
      <c r="B16" t="s">
        <v>73</v>
      </c>
    </row>
    <row r="18" spans="2:2" x14ac:dyDescent="0.35">
      <c r="B18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B2:AN16"/>
  <sheetViews>
    <sheetView showGridLines="0" workbookViewId="0">
      <pane xSplit="2" topLeftCell="C1" activePane="topRight" state="frozen"/>
      <selection pane="topRight" activeCell="B12" sqref="B12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182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429</v>
      </c>
      <c r="D7" s="10">
        <v>234</v>
      </c>
      <c r="E7" s="10">
        <v>195</v>
      </c>
      <c r="F7" s="10"/>
      <c r="G7" s="10">
        <v>429</v>
      </c>
      <c r="H7" s="10" t="s">
        <v>75</v>
      </c>
      <c r="I7" s="10" t="s">
        <v>75</v>
      </c>
      <c r="J7" s="10"/>
      <c r="K7" s="10">
        <v>429</v>
      </c>
      <c r="L7" s="10" t="s">
        <v>75</v>
      </c>
      <c r="M7" s="10" t="s">
        <v>75</v>
      </c>
      <c r="N7" s="10"/>
      <c r="O7" s="10">
        <v>381</v>
      </c>
      <c r="P7" s="10">
        <v>43</v>
      </c>
      <c r="Q7" s="10"/>
      <c r="R7" s="10">
        <v>68</v>
      </c>
      <c r="S7" s="10">
        <v>65</v>
      </c>
      <c r="T7" s="10">
        <v>43</v>
      </c>
      <c r="U7" s="10">
        <v>41</v>
      </c>
      <c r="V7" s="10">
        <v>41</v>
      </c>
      <c r="W7" s="10">
        <v>57</v>
      </c>
      <c r="X7" s="10">
        <v>28</v>
      </c>
      <c r="Y7" s="10">
        <v>21</v>
      </c>
      <c r="Z7" s="10">
        <v>65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301</v>
      </c>
      <c r="AN7" s="10">
        <v>63</v>
      </c>
    </row>
    <row r="8" spans="2:40" ht="30" customHeight="1" x14ac:dyDescent="0.35">
      <c r="B8" s="11" t="s">
        <v>20</v>
      </c>
      <c r="C8" s="11">
        <v>559</v>
      </c>
      <c r="D8" s="11">
        <v>295</v>
      </c>
      <c r="E8" s="11">
        <v>264</v>
      </c>
      <c r="F8" s="11"/>
      <c r="G8" s="11">
        <v>559</v>
      </c>
      <c r="H8" s="11" t="s">
        <v>75</v>
      </c>
      <c r="I8" s="11" t="s">
        <v>75</v>
      </c>
      <c r="J8" s="11"/>
      <c r="K8" s="11">
        <v>559</v>
      </c>
      <c r="L8" s="11" t="s">
        <v>75</v>
      </c>
      <c r="M8" s="11" t="s">
        <v>75</v>
      </c>
      <c r="N8" s="11"/>
      <c r="O8" s="11">
        <v>500</v>
      </c>
      <c r="P8" s="11">
        <v>53</v>
      </c>
      <c r="Q8" s="11"/>
      <c r="R8" s="11">
        <v>96</v>
      </c>
      <c r="S8" s="11">
        <v>78</v>
      </c>
      <c r="T8" s="11">
        <v>58</v>
      </c>
      <c r="U8" s="11">
        <v>62</v>
      </c>
      <c r="V8" s="11">
        <v>53</v>
      </c>
      <c r="W8" s="11">
        <v>57</v>
      </c>
      <c r="X8" s="11">
        <v>56</v>
      </c>
      <c r="Y8" s="11">
        <v>26</v>
      </c>
      <c r="Z8" s="11">
        <v>72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396</v>
      </c>
      <c r="AN8" s="11">
        <v>77</v>
      </c>
    </row>
    <row r="9" spans="2:40" x14ac:dyDescent="0.35">
      <c r="B9" s="15" t="s">
        <v>44</v>
      </c>
      <c r="C9" s="14">
        <v>0.88432035563755995</v>
      </c>
      <c r="D9" s="14">
        <v>0.88294152592920605</v>
      </c>
      <c r="E9" s="14">
        <v>0.88586105853236197</v>
      </c>
      <c r="F9" s="14"/>
      <c r="G9" s="14">
        <v>0.88432035563755995</v>
      </c>
      <c r="H9" s="14" t="s">
        <v>76</v>
      </c>
      <c r="I9" s="14" t="s">
        <v>76</v>
      </c>
      <c r="J9" s="14"/>
      <c r="K9" s="14">
        <v>0.88432035563755995</v>
      </c>
      <c r="L9" s="14" t="s">
        <v>76</v>
      </c>
      <c r="M9" s="14" t="s">
        <v>76</v>
      </c>
      <c r="N9" s="14"/>
      <c r="O9" s="14">
        <v>0.87836435258291601</v>
      </c>
      <c r="P9" s="14">
        <v>0.95705990376997596</v>
      </c>
      <c r="Q9" s="14"/>
      <c r="R9" s="14">
        <v>0.96803710979103896</v>
      </c>
      <c r="S9" s="14">
        <v>0.89205690598264897</v>
      </c>
      <c r="T9" s="14">
        <v>0.90308552194398595</v>
      </c>
      <c r="U9" s="14">
        <v>0.94800710443566105</v>
      </c>
      <c r="V9" s="14">
        <v>0.89080159486190102</v>
      </c>
      <c r="W9" s="14">
        <v>0.83207880119276001</v>
      </c>
      <c r="X9" s="14">
        <v>0.73195607835086895</v>
      </c>
      <c r="Y9" s="14">
        <v>0.79040103575116205</v>
      </c>
      <c r="Z9" s="14">
        <v>0.88436446726994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0.89783445532199402</v>
      </c>
      <c r="AN9" s="14">
        <v>0.91132913760557499</v>
      </c>
    </row>
    <row r="10" spans="2:40" x14ac:dyDescent="0.35">
      <c r="B10" s="15" t="s">
        <v>45</v>
      </c>
      <c r="C10" s="14">
        <v>9.3427625331993697E-2</v>
      </c>
      <c r="D10" s="14">
        <v>8.7797899381467398E-2</v>
      </c>
      <c r="E10" s="14">
        <v>9.9718275305925905E-2</v>
      </c>
      <c r="F10" s="14"/>
      <c r="G10" s="14">
        <v>9.3427625331993697E-2</v>
      </c>
      <c r="H10" s="14" t="s">
        <v>76</v>
      </c>
      <c r="I10" s="14" t="s">
        <v>76</v>
      </c>
      <c r="J10" s="14"/>
      <c r="K10" s="14">
        <v>9.3427625331993697E-2</v>
      </c>
      <c r="L10" s="14" t="s">
        <v>76</v>
      </c>
      <c r="M10" s="14" t="s">
        <v>76</v>
      </c>
      <c r="N10" s="14"/>
      <c r="O10" s="14">
        <v>9.6737728440575294E-2</v>
      </c>
      <c r="P10" s="14">
        <v>4.2940096230024198E-2</v>
      </c>
      <c r="Q10" s="14"/>
      <c r="R10" s="14">
        <v>1.9408771214514099E-2</v>
      </c>
      <c r="S10" s="14">
        <v>0.10794309401735</v>
      </c>
      <c r="T10" s="14">
        <v>7.8683569031819695E-2</v>
      </c>
      <c r="U10" s="14">
        <v>5.1992895564339198E-2</v>
      </c>
      <c r="V10" s="14">
        <v>9.2841794735396901E-2</v>
      </c>
      <c r="W10" s="14">
        <v>0.122797124820562</v>
      </c>
      <c r="X10" s="14">
        <v>0.17789565585302999</v>
      </c>
      <c r="Y10" s="14">
        <v>0.209598964248838</v>
      </c>
      <c r="Z10" s="14">
        <v>9.2637209502012E-2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9.3673830318463297E-2</v>
      </c>
      <c r="AN10" s="14">
        <v>7.4834758606220395E-2</v>
      </c>
    </row>
    <row r="11" spans="2:40" x14ac:dyDescent="0.35">
      <c r="B11" s="15" t="s">
        <v>70</v>
      </c>
      <c r="C11" s="20">
        <v>2.2252019030446098E-2</v>
      </c>
      <c r="D11" s="20">
        <v>2.9260574689326298E-2</v>
      </c>
      <c r="E11" s="20">
        <v>1.44206661617126E-2</v>
      </c>
      <c r="F11" s="20"/>
      <c r="G11" s="20">
        <v>2.2252019030446098E-2</v>
      </c>
      <c r="H11" s="20" t="s">
        <v>76</v>
      </c>
      <c r="I11" s="20" t="s">
        <v>76</v>
      </c>
      <c r="J11" s="20"/>
      <c r="K11" s="20">
        <v>2.2252019030446098E-2</v>
      </c>
      <c r="L11" s="20" t="s">
        <v>76</v>
      </c>
      <c r="M11" s="20" t="s">
        <v>76</v>
      </c>
      <c r="N11" s="20"/>
      <c r="O11" s="20">
        <v>2.4897918976509E-2</v>
      </c>
      <c r="P11" s="20">
        <v>0</v>
      </c>
      <c r="Q11" s="20"/>
      <c r="R11" s="20">
        <v>1.25541189944475E-2</v>
      </c>
      <c r="S11" s="20">
        <v>0</v>
      </c>
      <c r="T11" s="20">
        <v>1.82309090241944E-2</v>
      </c>
      <c r="U11" s="20">
        <v>0</v>
      </c>
      <c r="V11" s="20">
        <v>1.6356610402701699E-2</v>
      </c>
      <c r="W11" s="20">
        <v>4.5124073986677497E-2</v>
      </c>
      <c r="X11" s="20">
        <v>9.0148265796101398E-2</v>
      </c>
      <c r="Y11" s="20">
        <v>0</v>
      </c>
      <c r="Z11" s="20">
        <v>2.2998323228047401E-2</v>
      </c>
      <c r="AA11" s="20"/>
      <c r="AB11" s="20" t="s">
        <v>76</v>
      </c>
      <c r="AC11" s="20" t="s">
        <v>76</v>
      </c>
      <c r="AD11" s="20" t="s">
        <v>76</v>
      </c>
      <c r="AE11" s="20" t="s">
        <v>76</v>
      </c>
      <c r="AF11" s="20"/>
      <c r="AG11" s="20" t="s">
        <v>76</v>
      </c>
      <c r="AH11" s="20" t="s">
        <v>76</v>
      </c>
      <c r="AI11" s="20"/>
      <c r="AJ11" s="20" t="s">
        <v>76</v>
      </c>
      <c r="AK11" s="20" t="s">
        <v>76</v>
      </c>
      <c r="AL11" s="20"/>
      <c r="AM11" s="20">
        <v>8.4917143595427905E-3</v>
      </c>
      <c r="AN11" s="20">
        <v>1.3836103788204801E-2</v>
      </c>
    </row>
    <row r="12" spans="2:40" x14ac:dyDescent="0.35">
      <c r="B12" s="27" t="s">
        <v>173</v>
      </c>
    </row>
    <row r="13" spans="2:40" x14ac:dyDescent="0.35">
      <c r="B13" t="s">
        <v>72</v>
      </c>
    </row>
    <row r="14" spans="2:40" x14ac:dyDescent="0.35">
      <c r="B14" t="s">
        <v>73</v>
      </c>
    </row>
    <row r="16" spans="2:40" x14ac:dyDescent="0.35">
      <c r="B16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B2:AN18"/>
  <sheetViews>
    <sheetView showGridLines="0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183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382</v>
      </c>
      <c r="D7" s="10">
        <v>209</v>
      </c>
      <c r="E7" s="10">
        <v>173</v>
      </c>
      <c r="F7" s="10"/>
      <c r="G7" s="10">
        <v>382</v>
      </c>
      <c r="H7" s="10" t="s">
        <v>75</v>
      </c>
      <c r="I7" s="10" t="s">
        <v>75</v>
      </c>
      <c r="J7" s="10"/>
      <c r="K7" s="10">
        <v>382</v>
      </c>
      <c r="L7" s="10" t="s">
        <v>75</v>
      </c>
      <c r="M7" s="10" t="s">
        <v>75</v>
      </c>
      <c r="N7" s="10"/>
      <c r="O7" s="10">
        <v>338</v>
      </c>
      <c r="P7" s="10">
        <v>40</v>
      </c>
      <c r="Q7" s="10"/>
      <c r="R7" s="10">
        <v>66</v>
      </c>
      <c r="S7" s="10">
        <v>59</v>
      </c>
      <c r="T7" s="10">
        <v>39</v>
      </c>
      <c r="U7" s="10">
        <v>39</v>
      </c>
      <c r="V7" s="10">
        <v>36</v>
      </c>
      <c r="W7" s="10">
        <v>48</v>
      </c>
      <c r="X7" s="10">
        <v>22</v>
      </c>
      <c r="Y7" s="10">
        <v>16</v>
      </c>
      <c r="Z7" s="10">
        <v>57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272</v>
      </c>
      <c r="AN7" s="10">
        <v>57</v>
      </c>
    </row>
    <row r="8" spans="2:40" ht="30" customHeight="1" x14ac:dyDescent="0.35">
      <c r="B8" s="11" t="s">
        <v>20</v>
      </c>
      <c r="C8" s="11">
        <v>494</v>
      </c>
      <c r="D8" s="11">
        <v>260</v>
      </c>
      <c r="E8" s="11">
        <v>234</v>
      </c>
      <c r="F8" s="11"/>
      <c r="G8" s="11">
        <v>494</v>
      </c>
      <c r="H8" s="11" t="s">
        <v>75</v>
      </c>
      <c r="I8" s="11" t="s">
        <v>75</v>
      </c>
      <c r="J8" s="11"/>
      <c r="K8" s="11">
        <v>494</v>
      </c>
      <c r="L8" s="11" t="s">
        <v>75</v>
      </c>
      <c r="M8" s="11" t="s">
        <v>75</v>
      </c>
      <c r="N8" s="11"/>
      <c r="O8" s="11">
        <v>439</v>
      </c>
      <c r="P8" s="11">
        <v>50</v>
      </c>
      <c r="Q8" s="11"/>
      <c r="R8" s="11">
        <v>93</v>
      </c>
      <c r="S8" s="11">
        <v>70</v>
      </c>
      <c r="T8" s="11">
        <v>53</v>
      </c>
      <c r="U8" s="11">
        <v>58</v>
      </c>
      <c r="V8" s="11">
        <v>47</v>
      </c>
      <c r="W8" s="11">
        <v>48</v>
      </c>
      <c r="X8" s="11">
        <v>41</v>
      </c>
      <c r="Y8" s="11">
        <v>21</v>
      </c>
      <c r="Z8" s="11">
        <v>63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356</v>
      </c>
      <c r="AN8" s="11">
        <v>70</v>
      </c>
    </row>
    <row r="9" spans="2:40" x14ac:dyDescent="0.35">
      <c r="B9" s="15" t="s">
        <v>155</v>
      </c>
      <c r="C9" s="14">
        <v>0.35802855234123698</v>
      </c>
      <c r="D9" s="14">
        <v>0.350106552457636</v>
      </c>
      <c r="E9" s="14">
        <v>0.366851413191846</v>
      </c>
      <c r="F9" s="14"/>
      <c r="G9" s="14">
        <v>0.35802855234123698</v>
      </c>
      <c r="H9" s="14" t="s">
        <v>76</v>
      </c>
      <c r="I9" s="14" t="s">
        <v>76</v>
      </c>
      <c r="J9" s="14"/>
      <c r="K9" s="14">
        <v>0.35802855234123698</v>
      </c>
      <c r="L9" s="14" t="s">
        <v>76</v>
      </c>
      <c r="M9" s="14" t="s">
        <v>76</v>
      </c>
      <c r="N9" s="14"/>
      <c r="O9" s="14">
        <v>0.35162340618767801</v>
      </c>
      <c r="P9" s="14">
        <v>0.449373891818454</v>
      </c>
      <c r="Q9" s="14"/>
      <c r="R9" s="14">
        <v>0.462031743519904</v>
      </c>
      <c r="S9" s="14">
        <v>0.276145980908934</v>
      </c>
      <c r="T9" s="14">
        <v>0.3297978415692</v>
      </c>
      <c r="U9" s="14">
        <v>0.38793048790886397</v>
      </c>
      <c r="V9" s="14">
        <v>0.28003291832390798</v>
      </c>
      <c r="W9" s="14">
        <v>0.40178823968090499</v>
      </c>
      <c r="X9" s="14">
        <v>0.452370020540455</v>
      </c>
      <c r="Y9" s="14">
        <v>0.30009097121101302</v>
      </c>
      <c r="Z9" s="14">
        <v>0.27467487786720601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0.36434040873587598</v>
      </c>
      <c r="AN9" s="14">
        <v>0.28213774551176901</v>
      </c>
    </row>
    <row r="10" spans="2:40" x14ac:dyDescent="0.35">
      <c r="B10" s="15" t="s">
        <v>156</v>
      </c>
      <c r="C10" s="14">
        <v>0.46544309770021097</v>
      </c>
      <c r="D10" s="14">
        <v>0.45095004322600701</v>
      </c>
      <c r="E10" s="14">
        <v>0.481584249531193</v>
      </c>
      <c r="F10" s="14"/>
      <c r="G10" s="14">
        <v>0.46544309770021097</v>
      </c>
      <c r="H10" s="14" t="s">
        <v>76</v>
      </c>
      <c r="I10" s="14" t="s">
        <v>76</v>
      </c>
      <c r="J10" s="14"/>
      <c r="K10" s="14">
        <v>0.46544309770021097</v>
      </c>
      <c r="L10" s="14" t="s">
        <v>76</v>
      </c>
      <c r="M10" s="14" t="s">
        <v>76</v>
      </c>
      <c r="N10" s="14"/>
      <c r="O10" s="14">
        <v>0.46836826406371901</v>
      </c>
      <c r="P10" s="14">
        <v>0.42821655251002899</v>
      </c>
      <c r="Q10" s="14"/>
      <c r="R10" s="14">
        <v>0.40286391654038201</v>
      </c>
      <c r="S10" s="14">
        <v>0.50417741896366397</v>
      </c>
      <c r="T10" s="14">
        <v>0.47598187209744802</v>
      </c>
      <c r="U10" s="14">
        <v>0.419623472449141</v>
      </c>
      <c r="V10" s="14">
        <v>0.49736497978107103</v>
      </c>
      <c r="W10" s="14">
        <v>0.49318450276418502</v>
      </c>
      <c r="X10" s="14">
        <v>0.43332843202954602</v>
      </c>
      <c r="Y10" s="14">
        <v>0.49190398031954702</v>
      </c>
      <c r="Z10" s="14">
        <v>0.51563919933649804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0.46133616053460702</v>
      </c>
      <c r="AN10" s="14">
        <v>0.47675825252068699</v>
      </c>
    </row>
    <row r="11" spans="2:40" x14ac:dyDescent="0.35">
      <c r="B11" s="15" t="s">
        <v>157</v>
      </c>
      <c r="C11" s="14">
        <v>0.12685732175775299</v>
      </c>
      <c r="D11" s="14">
        <v>0.14842311869556801</v>
      </c>
      <c r="E11" s="14">
        <v>0.102839140956118</v>
      </c>
      <c r="F11" s="14"/>
      <c r="G11" s="14">
        <v>0.12685732175775299</v>
      </c>
      <c r="H11" s="14" t="s">
        <v>76</v>
      </c>
      <c r="I11" s="14" t="s">
        <v>76</v>
      </c>
      <c r="J11" s="14"/>
      <c r="K11" s="14">
        <v>0.12685732175775299</v>
      </c>
      <c r="L11" s="14" t="s">
        <v>76</v>
      </c>
      <c r="M11" s="14" t="s">
        <v>76</v>
      </c>
      <c r="N11" s="14"/>
      <c r="O11" s="14">
        <v>0.12405425786074301</v>
      </c>
      <c r="P11" s="14">
        <v>0.122409555671517</v>
      </c>
      <c r="Q11" s="14"/>
      <c r="R11" s="14">
        <v>8.0120349061450796E-2</v>
      </c>
      <c r="S11" s="14">
        <v>0.196239241507009</v>
      </c>
      <c r="T11" s="14">
        <v>9.1864487393475996E-2</v>
      </c>
      <c r="U11" s="14">
        <v>0.158450182351008</v>
      </c>
      <c r="V11" s="14">
        <v>0.200773350585216</v>
      </c>
      <c r="W11" s="14">
        <v>3.3257834620063202E-2</v>
      </c>
      <c r="X11" s="14">
        <v>7.5530506685211898E-2</v>
      </c>
      <c r="Y11" s="14">
        <v>0.127428192532405</v>
      </c>
      <c r="Z11" s="14">
        <v>0.16728114060422999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0.12103012478507</v>
      </c>
      <c r="AN11" s="14">
        <v>0.194454588359944</v>
      </c>
    </row>
    <row r="12" spans="2:40" x14ac:dyDescent="0.35">
      <c r="B12" s="15" t="s">
        <v>158</v>
      </c>
      <c r="C12" s="14">
        <v>2.8837284788676001E-2</v>
      </c>
      <c r="D12" s="14">
        <v>2.36873263540897E-2</v>
      </c>
      <c r="E12" s="14">
        <v>3.4572877735204698E-2</v>
      </c>
      <c r="F12" s="14"/>
      <c r="G12" s="14">
        <v>2.8837284788676001E-2</v>
      </c>
      <c r="H12" s="14" t="s">
        <v>76</v>
      </c>
      <c r="I12" s="14" t="s">
        <v>76</v>
      </c>
      <c r="J12" s="14"/>
      <c r="K12" s="14">
        <v>2.8837284788676001E-2</v>
      </c>
      <c r="L12" s="14" t="s">
        <v>76</v>
      </c>
      <c r="M12" s="14" t="s">
        <v>76</v>
      </c>
      <c r="N12" s="14"/>
      <c r="O12" s="14">
        <v>3.2485003120799001E-2</v>
      </c>
      <c r="P12" s="14">
        <v>0</v>
      </c>
      <c r="Q12" s="14"/>
      <c r="R12" s="14">
        <v>2.2638604603058301E-2</v>
      </c>
      <c r="S12" s="14">
        <v>0</v>
      </c>
      <c r="T12" s="14">
        <v>0.10235579893987599</v>
      </c>
      <c r="U12" s="14">
        <v>3.3995857290987003E-2</v>
      </c>
      <c r="V12" s="14">
        <v>2.1828751309805002E-2</v>
      </c>
      <c r="W12" s="14">
        <v>4.4654158177474E-2</v>
      </c>
      <c r="X12" s="14">
        <v>3.8771040744786898E-2</v>
      </c>
      <c r="Y12" s="14">
        <v>0</v>
      </c>
      <c r="Z12" s="14">
        <v>0</v>
      </c>
      <c r="AA12" s="14"/>
      <c r="AB12" s="14" t="s">
        <v>76</v>
      </c>
      <c r="AC12" s="14" t="s">
        <v>76</v>
      </c>
      <c r="AD12" s="14" t="s">
        <v>76</v>
      </c>
      <c r="AE12" s="14" t="s">
        <v>76</v>
      </c>
      <c r="AF12" s="14"/>
      <c r="AG12" s="14" t="s">
        <v>76</v>
      </c>
      <c r="AH12" s="14" t="s">
        <v>76</v>
      </c>
      <c r="AI12" s="14"/>
      <c r="AJ12" s="14" t="s">
        <v>76</v>
      </c>
      <c r="AK12" s="14" t="s">
        <v>76</v>
      </c>
      <c r="AL12" s="14"/>
      <c r="AM12" s="14">
        <v>2.8138875084396199E-2</v>
      </c>
      <c r="AN12" s="14">
        <v>4.6649413607600401E-2</v>
      </c>
    </row>
    <row r="13" spans="2:40" x14ac:dyDescent="0.35">
      <c r="B13" s="15" t="s">
        <v>70</v>
      </c>
      <c r="C13" s="20">
        <v>2.0833743412123001E-2</v>
      </c>
      <c r="D13" s="20">
        <v>2.6832959266699201E-2</v>
      </c>
      <c r="E13" s="20">
        <v>1.4152318585638301E-2</v>
      </c>
      <c r="F13" s="20"/>
      <c r="G13" s="20">
        <v>2.0833743412123001E-2</v>
      </c>
      <c r="H13" s="20" t="s">
        <v>76</v>
      </c>
      <c r="I13" s="20" t="s">
        <v>76</v>
      </c>
      <c r="J13" s="20"/>
      <c r="K13" s="20">
        <v>2.0833743412123001E-2</v>
      </c>
      <c r="L13" s="20" t="s">
        <v>76</v>
      </c>
      <c r="M13" s="20" t="s">
        <v>76</v>
      </c>
      <c r="N13" s="20"/>
      <c r="O13" s="20">
        <v>2.34690687670604E-2</v>
      </c>
      <c r="P13" s="20">
        <v>0</v>
      </c>
      <c r="Q13" s="20"/>
      <c r="R13" s="20">
        <v>3.23453862752053E-2</v>
      </c>
      <c r="S13" s="20">
        <v>2.3437358620392999E-2</v>
      </c>
      <c r="T13" s="20">
        <v>0</v>
      </c>
      <c r="U13" s="20">
        <v>0</v>
      </c>
      <c r="V13" s="20">
        <v>0</v>
      </c>
      <c r="W13" s="20">
        <v>2.7115264757372401E-2</v>
      </c>
      <c r="X13" s="20">
        <v>0</v>
      </c>
      <c r="Y13" s="20">
        <v>8.05768559370348E-2</v>
      </c>
      <c r="Z13" s="20">
        <v>4.2404782192065699E-2</v>
      </c>
      <c r="AA13" s="20"/>
      <c r="AB13" s="20" t="s">
        <v>76</v>
      </c>
      <c r="AC13" s="20" t="s">
        <v>76</v>
      </c>
      <c r="AD13" s="20" t="s">
        <v>76</v>
      </c>
      <c r="AE13" s="20" t="s">
        <v>76</v>
      </c>
      <c r="AF13" s="20"/>
      <c r="AG13" s="20" t="s">
        <v>76</v>
      </c>
      <c r="AH13" s="20" t="s">
        <v>76</v>
      </c>
      <c r="AI13" s="20"/>
      <c r="AJ13" s="20" t="s">
        <v>76</v>
      </c>
      <c r="AK13" s="20" t="s">
        <v>76</v>
      </c>
      <c r="AL13" s="20"/>
      <c r="AM13" s="20">
        <v>2.5154430860050699E-2</v>
      </c>
      <c r="AN13" s="20">
        <v>0</v>
      </c>
    </row>
    <row r="14" spans="2:40" x14ac:dyDescent="0.35">
      <c r="B14" s="27" t="s">
        <v>193</v>
      </c>
    </row>
    <row r="15" spans="2:40" x14ac:dyDescent="0.35">
      <c r="B15" t="s">
        <v>72</v>
      </c>
    </row>
    <row r="16" spans="2:40" x14ac:dyDescent="0.35">
      <c r="B16" t="s">
        <v>73</v>
      </c>
    </row>
    <row r="18" spans="2:2" x14ac:dyDescent="0.35">
      <c r="B18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B2:AN19"/>
  <sheetViews>
    <sheetView showGridLines="0" workbookViewId="0">
      <pane xSplit="2" topLeftCell="C1" activePane="topRight" state="frozen"/>
      <selection pane="topRight" activeCell="AP14" sqref="AP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184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382</v>
      </c>
      <c r="D7" s="10">
        <v>209</v>
      </c>
      <c r="E7" s="10">
        <v>173</v>
      </c>
      <c r="F7" s="10"/>
      <c r="G7" s="10">
        <v>382</v>
      </c>
      <c r="H7" s="10" t="s">
        <v>75</v>
      </c>
      <c r="I7" s="10" t="s">
        <v>75</v>
      </c>
      <c r="J7" s="10"/>
      <c r="K7" s="10">
        <v>382</v>
      </c>
      <c r="L7" s="10" t="s">
        <v>75</v>
      </c>
      <c r="M7" s="10" t="s">
        <v>75</v>
      </c>
      <c r="N7" s="10"/>
      <c r="O7" s="10">
        <v>338</v>
      </c>
      <c r="P7" s="10">
        <v>40</v>
      </c>
      <c r="Q7" s="10"/>
      <c r="R7" s="10">
        <v>66</v>
      </c>
      <c r="S7" s="10">
        <v>59</v>
      </c>
      <c r="T7" s="10">
        <v>39</v>
      </c>
      <c r="U7" s="10">
        <v>39</v>
      </c>
      <c r="V7" s="10">
        <v>36</v>
      </c>
      <c r="W7" s="10">
        <v>48</v>
      </c>
      <c r="X7" s="10">
        <v>22</v>
      </c>
      <c r="Y7" s="10">
        <v>16</v>
      </c>
      <c r="Z7" s="10">
        <v>57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272</v>
      </c>
      <c r="AN7" s="10">
        <v>57</v>
      </c>
    </row>
    <row r="8" spans="2:40" ht="30" customHeight="1" x14ac:dyDescent="0.35">
      <c r="B8" s="11" t="s">
        <v>20</v>
      </c>
      <c r="C8" s="11">
        <v>494</v>
      </c>
      <c r="D8" s="11">
        <v>260</v>
      </c>
      <c r="E8" s="11">
        <v>234</v>
      </c>
      <c r="F8" s="11"/>
      <c r="G8" s="11">
        <v>494</v>
      </c>
      <c r="H8" s="11" t="s">
        <v>75</v>
      </c>
      <c r="I8" s="11" t="s">
        <v>75</v>
      </c>
      <c r="J8" s="11"/>
      <c r="K8" s="11">
        <v>494</v>
      </c>
      <c r="L8" s="11" t="s">
        <v>75</v>
      </c>
      <c r="M8" s="11" t="s">
        <v>75</v>
      </c>
      <c r="N8" s="11"/>
      <c r="O8" s="11">
        <v>439</v>
      </c>
      <c r="P8" s="11">
        <v>50</v>
      </c>
      <c r="Q8" s="11"/>
      <c r="R8" s="11">
        <v>93</v>
      </c>
      <c r="S8" s="11">
        <v>70</v>
      </c>
      <c r="T8" s="11">
        <v>53</v>
      </c>
      <c r="U8" s="11">
        <v>58</v>
      </c>
      <c r="V8" s="11">
        <v>47</v>
      </c>
      <c r="W8" s="11">
        <v>48</v>
      </c>
      <c r="X8" s="11">
        <v>41</v>
      </c>
      <c r="Y8" s="11">
        <v>21</v>
      </c>
      <c r="Z8" s="11">
        <v>63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356</v>
      </c>
      <c r="AN8" s="11">
        <v>70</v>
      </c>
    </row>
    <row r="9" spans="2:40" x14ac:dyDescent="0.35">
      <c r="B9" s="15" t="s">
        <v>160</v>
      </c>
      <c r="C9" s="14">
        <v>0.44596163022735302</v>
      </c>
      <c r="D9" s="14">
        <v>0.45431731924614399</v>
      </c>
      <c r="E9" s="14">
        <v>0.43665576269302298</v>
      </c>
      <c r="F9" s="14"/>
      <c r="G9" s="14">
        <v>0.44596163022735302</v>
      </c>
      <c r="H9" s="14" t="s">
        <v>76</v>
      </c>
      <c r="I9" s="14" t="s">
        <v>76</v>
      </c>
      <c r="J9" s="14"/>
      <c r="K9" s="14">
        <v>0.44596163022735302</v>
      </c>
      <c r="L9" s="14" t="s">
        <v>76</v>
      </c>
      <c r="M9" s="14" t="s">
        <v>76</v>
      </c>
      <c r="N9" s="14"/>
      <c r="O9" s="14">
        <v>0.43071329884633602</v>
      </c>
      <c r="P9" s="14">
        <v>0.58148902623057597</v>
      </c>
      <c r="Q9" s="14"/>
      <c r="R9" s="14">
        <v>0.54492401884215802</v>
      </c>
      <c r="S9" s="14">
        <v>0.37435311692899498</v>
      </c>
      <c r="T9" s="14">
        <v>0.34352514441974602</v>
      </c>
      <c r="U9" s="14">
        <v>0.30250739817304001</v>
      </c>
      <c r="V9" s="14">
        <v>0.45203053484324701</v>
      </c>
      <c r="W9" s="14">
        <v>0.48881043153601</v>
      </c>
      <c r="X9" s="14">
        <v>0.65400258756127305</v>
      </c>
      <c r="Y9" s="14">
        <v>0.51065984388033603</v>
      </c>
      <c r="Z9" s="14">
        <v>0.40416783151092101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0.49551376200677899</v>
      </c>
      <c r="AN9" s="14">
        <v>0.38188595226209399</v>
      </c>
    </row>
    <row r="10" spans="2:40" x14ac:dyDescent="0.35">
      <c r="B10" s="15" t="s">
        <v>161</v>
      </c>
      <c r="C10" s="14">
        <v>0.49282286457176699</v>
      </c>
      <c r="D10" s="14">
        <v>0.47944690663382</v>
      </c>
      <c r="E10" s="14">
        <v>0.50771988771795695</v>
      </c>
      <c r="F10" s="14"/>
      <c r="G10" s="14">
        <v>0.49282286457176699</v>
      </c>
      <c r="H10" s="14" t="s">
        <v>76</v>
      </c>
      <c r="I10" s="14" t="s">
        <v>76</v>
      </c>
      <c r="J10" s="14"/>
      <c r="K10" s="14">
        <v>0.49282286457176699</v>
      </c>
      <c r="L10" s="14" t="s">
        <v>76</v>
      </c>
      <c r="M10" s="14" t="s">
        <v>76</v>
      </c>
      <c r="N10" s="14"/>
      <c r="O10" s="14">
        <v>0.50685009847033502</v>
      </c>
      <c r="P10" s="14">
        <v>0.36181260162234102</v>
      </c>
      <c r="Q10" s="14"/>
      <c r="R10" s="14">
        <v>0.42163342938325599</v>
      </c>
      <c r="S10" s="14">
        <v>0.61201924581915401</v>
      </c>
      <c r="T10" s="14">
        <v>0.58573508948344799</v>
      </c>
      <c r="U10" s="14">
        <v>0.54231653117799505</v>
      </c>
      <c r="V10" s="14">
        <v>0.48935202819826301</v>
      </c>
      <c r="W10" s="14">
        <v>0.46226857972364399</v>
      </c>
      <c r="X10" s="14">
        <v>0.270466897763325</v>
      </c>
      <c r="Y10" s="14">
        <v>0.44248880870831098</v>
      </c>
      <c r="Z10" s="14">
        <v>0.52962255256971402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0.45276876112778203</v>
      </c>
      <c r="AN10" s="14">
        <v>0.51056244628417302</v>
      </c>
    </row>
    <row r="11" spans="2:40" x14ac:dyDescent="0.35">
      <c r="B11" s="15" t="s">
        <v>162</v>
      </c>
      <c r="C11" s="14">
        <v>5.61558278682203E-2</v>
      </c>
      <c r="D11" s="14">
        <v>5.6633039391471802E-2</v>
      </c>
      <c r="E11" s="14">
        <v>5.56243495890206E-2</v>
      </c>
      <c r="F11" s="14"/>
      <c r="G11" s="14">
        <v>5.61558278682203E-2</v>
      </c>
      <c r="H11" s="14" t="s">
        <v>76</v>
      </c>
      <c r="I11" s="14" t="s">
        <v>76</v>
      </c>
      <c r="J11" s="14"/>
      <c r="K11" s="14">
        <v>5.61558278682203E-2</v>
      </c>
      <c r="L11" s="14" t="s">
        <v>76</v>
      </c>
      <c r="M11" s="14" t="s">
        <v>76</v>
      </c>
      <c r="N11" s="14"/>
      <c r="O11" s="14">
        <v>5.6736910942369601E-2</v>
      </c>
      <c r="P11" s="14">
        <v>5.6698372147082302E-2</v>
      </c>
      <c r="Q11" s="14"/>
      <c r="R11" s="14">
        <v>3.34425517745853E-2</v>
      </c>
      <c r="S11" s="14">
        <v>1.3627637251850599E-2</v>
      </c>
      <c r="T11" s="14">
        <v>7.0739766096805795E-2</v>
      </c>
      <c r="U11" s="14">
        <v>0.13540920445312599</v>
      </c>
      <c r="V11" s="14">
        <v>5.8617436958489998E-2</v>
      </c>
      <c r="W11" s="14">
        <v>4.8920988740346297E-2</v>
      </c>
      <c r="X11" s="14">
        <v>7.5530514675402102E-2</v>
      </c>
      <c r="Y11" s="14">
        <v>4.6851347411352898E-2</v>
      </c>
      <c r="Z11" s="14">
        <v>4.5007218329589503E-2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4.84701398967654E-2</v>
      </c>
      <c r="AN11" s="14">
        <v>0.10755160145373301</v>
      </c>
    </row>
    <row r="12" spans="2:40" x14ac:dyDescent="0.35">
      <c r="B12" s="15" t="s">
        <v>163</v>
      </c>
      <c r="C12" s="14">
        <v>0</v>
      </c>
      <c r="D12" s="14">
        <v>0</v>
      </c>
      <c r="E12" s="14">
        <v>0</v>
      </c>
      <c r="F12" s="14"/>
      <c r="G12" s="14">
        <v>0</v>
      </c>
      <c r="H12" s="14" t="s">
        <v>76</v>
      </c>
      <c r="I12" s="14" t="s">
        <v>76</v>
      </c>
      <c r="J12" s="14"/>
      <c r="K12" s="14">
        <v>0</v>
      </c>
      <c r="L12" s="14" t="s">
        <v>76</v>
      </c>
      <c r="M12" s="14" t="s">
        <v>76</v>
      </c>
      <c r="N12" s="14"/>
      <c r="O12" s="14">
        <v>0</v>
      </c>
      <c r="P12" s="14">
        <v>0</v>
      </c>
      <c r="Q12" s="14"/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/>
      <c r="AB12" s="14" t="s">
        <v>76</v>
      </c>
      <c r="AC12" s="14" t="s">
        <v>76</v>
      </c>
      <c r="AD12" s="14" t="s">
        <v>76</v>
      </c>
      <c r="AE12" s="14" t="s">
        <v>76</v>
      </c>
      <c r="AF12" s="14"/>
      <c r="AG12" s="14" t="s">
        <v>76</v>
      </c>
      <c r="AH12" s="14" t="s">
        <v>76</v>
      </c>
      <c r="AI12" s="14"/>
      <c r="AJ12" s="14" t="s">
        <v>76</v>
      </c>
      <c r="AK12" s="14" t="s">
        <v>76</v>
      </c>
      <c r="AL12" s="14"/>
      <c r="AM12" s="14">
        <v>0</v>
      </c>
      <c r="AN12" s="14">
        <v>0</v>
      </c>
    </row>
    <row r="13" spans="2:40" x14ac:dyDescent="0.35">
      <c r="B13" s="15" t="s">
        <v>70</v>
      </c>
      <c r="C13" s="21">
        <v>5.0596773326606103E-3</v>
      </c>
      <c r="D13" s="21">
        <v>9.6027347285644795E-3</v>
      </c>
      <c r="E13" s="21">
        <v>0</v>
      </c>
      <c r="F13" s="21"/>
      <c r="G13" s="21">
        <v>5.0596773326606103E-3</v>
      </c>
      <c r="H13" s="21" t="s">
        <v>76</v>
      </c>
      <c r="I13" s="21" t="s">
        <v>76</v>
      </c>
      <c r="J13" s="21"/>
      <c r="K13" s="21">
        <v>5.0596773326606103E-3</v>
      </c>
      <c r="L13" s="21" t="s">
        <v>76</v>
      </c>
      <c r="M13" s="21" t="s">
        <v>76</v>
      </c>
      <c r="N13" s="21"/>
      <c r="O13" s="21">
        <v>5.6996917409595704E-3</v>
      </c>
      <c r="P13" s="21">
        <v>0</v>
      </c>
      <c r="Q13" s="21"/>
      <c r="R13" s="21">
        <v>0</v>
      </c>
      <c r="S13" s="21">
        <v>0</v>
      </c>
      <c r="T13" s="21">
        <v>0</v>
      </c>
      <c r="U13" s="21">
        <v>1.9766866195838999E-2</v>
      </c>
      <c r="V13" s="21">
        <v>0</v>
      </c>
      <c r="W13" s="21">
        <v>0</v>
      </c>
      <c r="X13" s="21">
        <v>0</v>
      </c>
      <c r="Y13" s="21">
        <v>0</v>
      </c>
      <c r="Z13" s="21">
        <v>2.1202397589775698E-2</v>
      </c>
      <c r="AA13" s="21"/>
      <c r="AB13" s="21" t="s">
        <v>76</v>
      </c>
      <c r="AC13" s="21" t="s">
        <v>76</v>
      </c>
      <c r="AD13" s="21" t="s">
        <v>76</v>
      </c>
      <c r="AE13" s="21" t="s">
        <v>76</v>
      </c>
      <c r="AF13" s="21"/>
      <c r="AG13" s="21" t="s">
        <v>76</v>
      </c>
      <c r="AH13" s="21" t="s">
        <v>76</v>
      </c>
      <c r="AI13" s="21"/>
      <c r="AJ13" s="21" t="s">
        <v>76</v>
      </c>
      <c r="AK13" s="21" t="s">
        <v>76</v>
      </c>
      <c r="AL13" s="21"/>
      <c r="AM13" s="21">
        <v>3.2473369686733698E-3</v>
      </c>
      <c r="AN13" s="21">
        <v>0</v>
      </c>
    </row>
    <row r="14" spans="2:40" x14ac:dyDescent="0.35">
      <c r="B14" s="15" t="s">
        <v>164</v>
      </c>
      <c r="C14" s="30">
        <v>0.93878449479911896</v>
      </c>
      <c r="D14" s="30">
        <v>0.93376422587996399</v>
      </c>
      <c r="E14" s="30">
        <v>0.94437565041097904</v>
      </c>
      <c r="F14" s="30"/>
      <c r="G14" s="30">
        <v>0.93878449479911896</v>
      </c>
      <c r="H14" s="30" t="s">
        <v>76</v>
      </c>
      <c r="I14" s="30" t="s">
        <v>76</v>
      </c>
      <c r="J14" s="30"/>
      <c r="K14" s="30">
        <v>0.93878449479911896</v>
      </c>
      <c r="L14" s="30" t="s">
        <v>76</v>
      </c>
      <c r="M14" s="30" t="s">
        <v>76</v>
      </c>
      <c r="N14" s="30"/>
      <c r="O14" s="30">
        <v>0.93756339731667104</v>
      </c>
      <c r="P14" s="30">
        <v>0.94330162785291805</v>
      </c>
      <c r="Q14" s="30"/>
      <c r="R14" s="30">
        <v>0.96655744822541501</v>
      </c>
      <c r="S14" s="30">
        <v>0.98637236274814899</v>
      </c>
      <c r="T14" s="30">
        <v>0.92926023390319401</v>
      </c>
      <c r="U14" s="30">
        <v>0.84482392935103501</v>
      </c>
      <c r="V14" s="30">
        <v>0.94138256304151002</v>
      </c>
      <c r="W14" s="30">
        <v>0.95107901125965399</v>
      </c>
      <c r="X14" s="30">
        <v>0.92446948532459805</v>
      </c>
      <c r="Y14" s="30">
        <v>0.95314865258864701</v>
      </c>
      <c r="Z14" s="30">
        <v>0.93379038408063497</v>
      </c>
      <c r="AA14" s="30"/>
      <c r="AB14" s="30" t="s">
        <v>76</v>
      </c>
      <c r="AC14" s="30" t="s">
        <v>76</v>
      </c>
      <c r="AD14" s="30" t="s">
        <v>76</v>
      </c>
      <c r="AE14" s="30" t="s">
        <v>76</v>
      </c>
      <c r="AF14" s="30"/>
      <c r="AG14" s="30" t="s">
        <v>76</v>
      </c>
      <c r="AH14" s="30" t="s">
        <v>76</v>
      </c>
      <c r="AI14" s="30"/>
      <c r="AJ14" s="30" t="s">
        <v>76</v>
      </c>
      <c r="AK14" s="30" t="s">
        <v>76</v>
      </c>
      <c r="AL14" s="30"/>
      <c r="AM14" s="30">
        <v>0.94828252313456096</v>
      </c>
      <c r="AN14" s="30">
        <v>0.89244839854626701</v>
      </c>
    </row>
    <row r="15" spans="2:40" x14ac:dyDescent="0.35">
      <c r="B15" s="27" t="s">
        <v>193</v>
      </c>
    </row>
    <row r="16" spans="2:40" x14ac:dyDescent="0.35">
      <c r="B16" t="s">
        <v>72</v>
      </c>
    </row>
    <row r="17" spans="2:2" x14ac:dyDescent="0.35">
      <c r="B17" t="s">
        <v>73</v>
      </c>
    </row>
    <row r="19" spans="2:2" x14ac:dyDescent="0.35">
      <c r="B19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B2:AN18"/>
  <sheetViews>
    <sheetView showGridLines="0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185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382</v>
      </c>
      <c r="D7" s="10">
        <v>209</v>
      </c>
      <c r="E7" s="10">
        <v>173</v>
      </c>
      <c r="F7" s="10"/>
      <c r="G7" s="10">
        <v>382</v>
      </c>
      <c r="H7" s="10" t="s">
        <v>75</v>
      </c>
      <c r="I7" s="10" t="s">
        <v>75</v>
      </c>
      <c r="J7" s="10"/>
      <c r="K7" s="10">
        <v>382</v>
      </c>
      <c r="L7" s="10" t="s">
        <v>75</v>
      </c>
      <c r="M7" s="10" t="s">
        <v>75</v>
      </c>
      <c r="N7" s="10"/>
      <c r="O7" s="10">
        <v>338</v>
      </c>
      <c r="P7" s="10">
        <v>40</v>
      </c>
      <c r="Q7" s="10"/>
      <c r="R7" s="10">
        <v>66</v>
      </c>
      <c r="S7" s="10">
        <v>59</v>
      </c>
      <c r="T7" s="10">
        <v>39</v>
      </c>
      <c r="U7" s="10">
        <v>39</v>
      </c>
      <c r="V7" s="10">
        <v>36</v>
      </c>
      <c r="W7" s="10">
        <v>48</v>
      </c>
      <c r="X7" s="10">
        <v>22</v>
      </c>
      <c r="Y7" s="10">
        <v>16</v>
      </c>
      <c r="Z7" s="10">
        <v>57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272</v>
      </c>
      <c r="AN7" s="10">
        <v>57</v>
      </c>
    </row>
    <row r="8" spans="2:40" ht="30" customHeight="1" x14ac:dyDescent="0.35">
      <c r="B8" s="11" t="s">
        <v>20</v>
      </c>
      <c r="C8" s="11">
        <v>494</v>
      </c>
      <c r="D8" s="11">
        <v>260</v>
      </c>
      <c r="E8" s="11">
        <v>234</v>
      </c>
      <c r="F8" s="11"/>
      <c r="G8" s="11">
        <v>494</v>
      </c>
      <c r="H8" s="11" t="s">
        <v>75</v>
      </c>
      <c r="I8" s="11" t="s">
        <v>75</v>
      </c>
      <c r="J8" s="11"/>
      <c r="K8" s="11">
        <v>494</v>
      </c>
      <c r="L8" s="11" t="s">
        <v>75</v>
      </c>
      <c r="M8" s="11" t="s">
        <v>75</v>
      </c>
      <c r="N8" s="11"/>
      <c r="O8" s="11">
        <v>439</v>
      </c>
      <c r="P8" s="11">
        <v>50</v>
      </c>
      <c r="Q8" s="11"/>
      <c r="R8" s="11">
        <v>93</v>
      </c>
      <c r="S8" s="11">
        <v>70</v>
      </c>
      <c r="T8" s="11">
        <v>53</v>
      </c>
      <c r="U8" s="11">
        <v>58</v>
      </c>
      <c r="V8" s="11">
        <v>47</v>
      </c>
      <c r="W8" s="11">
        <v>48</v>
      </c>
      <c r="X8" s="11">
        <v>41</v>
      </c>
      <c r="Y8" s="11">
        <v>21</v>
      </c>
      <c r="Z8" s="11">
        <v>63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356</v>
      </c>
      <c r="AN8" s="11">
        <v>70</v>
      </c>
    </row>
    <row r="9" spans="2:40" x14ac:dyDescent="0.35">
      <c r="B9" s="15" t="s">
        <v>166</v>
      </c>
      <c r="C9" s="14">
        <v>0.385127408771053</v>
      </c>
      <c r="D9" s="14">
        <v>0.39360912254184899</v>
      </c>
      <c r="E9" s="14">
        <v>0.37568118540902701</v>
      </c>
      <c r="F9" s="14"/>
      <c r="G9" s="14">
        <v>0.385127408771053</v>
      </c>
      <c r="H9" s="14" t="s">
        <v>76</v>
      </c>
      <c r="I9" s="14" t="s">
        <v>76</v>
      </c>
      <c r="J9" s="14"/>
      <c r="K9" s="14">
        <v>0.385127408771053</v>
      </c>
      <c r="L9" s="14" t="s">
        <v>76</v>
      </c>
      <c r="M9" s="14" t="s">
        <v>76</v>
      </c>
      <c r="N9" s="14"/>
      <c r="O9" s="14">
        <v>0.36533692578098997</v>
      </c>
      <c r="P9" s="14">
        <v>0.59553197613434605</v>
      </c>
      <c r="Q9" s="14"/>
      <c r="R9" s="14">
        <v>0.44028978002140401</v>
      </c>
      <c r="S9" s="14">
        <v>0.28205185215769502</v>
      </c>
      <c r="T9" s="14">
        <v>0.28296306611051197</v>
      </c>
      <c r="U9" s="14">
        <v>0.33466372060948502</v>
      </c>
      <c r="V9" s="14">
        <v>0.36768873267542102</v>
      </c>
      <c r="W9" s="14">
        <v>0.47309149866230099</v>
      </c>
      <c r="X9" s="14">
        <v>0.46669167917410098</v>
      </c>
      <c r="Y9" s="14">
        <v>0.38066782714804798</v>
      </c>
      <c r="Z9" s="14">
        <v>0.44460534923477701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0.455032298926835</v>
      </c>
      <c r="AN9" s="14">
        <v>0.19165233565497899</v>
      </c>
    </row>
    <row r="10" spans="2:40" x14ac:dyDescent="0.35">
      <c r="B10" s="15" t="s">
        <v>167</v>
      </c>
      <c r="C10" s="14">
        <v>0.467424166451755</v>
      </c>
      <c r="D10" s="14">
        <v>0.47390081803953898</v>
      </c>
      <c r="E10" s="14">
        <v>0.46021101363977401</v>
      </c>
      <c r="F10" s="14"/>
      <c r="G10" s="14">
        <v>0.467424166451755</v>
      </c>
      <c r="H10" s="14" t="s">
        <v>76</v>
      </c>
      <c r="I10" s="14" t="s">
        <v>76</v>
      </c>
      <c r="J10" s="14"/>
      <c r="K10" s="14">
        <v>0.467424166451755</v>
      </c>
      <c r="L10" s="14" t="s">
        <v>76</v>
      </c>
      <c r="M10" s="14" t="s">
        <v>76</v>
      </c>
      <c r="N10" s="14"/>
      <c r="O10" s="14">
        <v>0.481118166737522</v>
      </c>
      <c r="P10" s="14">
        <v>0.33059406684575798</v>
      </c>
      <c r="Q10" s="14"/>
      <c r="R10" s="14">
        <v>0.454592077321124</v>
      </c>
      <c r="S10" s="14">
        <v>0.51678385601737897</v>
      </c>
      <c r="T10" s="14">
        <v>0.57096265648158295</v>
      </c>
      <c r="U10" s="14">
        <v>0.55521884846601799</v>
      </c>
      <c r="V10" s="14">
        <v>0.43073457555136802</v>
      </c>
      <c r="W10" s="14">
        <v>0.44381970186721897</v>
      </c>
      <c r="X10" s="14">
        <v>0.333419062780002</v>
      </c>
      <c r="Y10" s="14">
        <v>0.39563746129695798</v>
      </c>
      <c r="Z10" s="14">
        <v>0.420512521536133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0.42616478780855299</v>
      </c>
      <c r="AN10" s="14">
        <v>0.52308725618638796</v>
      </c>
    </row>
    <row r="11" spans="2:40" x14ac:dyDescent="0.35">
      <c r="B11" s="15" t="s">
        <v>168</v>
      </c>
      <c r="C11" s="14">
        <v>0.11909508753281101</v>
      </c>
      <c r="D11" s="14">
        <v>9.5686225545569506E-2</v>
      </c>
      <c r="E11" s="14">
        <v>0.14516592002702899</v>
      </c>
      <c r="F11" s="14"/>
      <c r="G11" s="14">
        <v>0.11909508753281101</v>
      </c>
      <c r="H11" s="14" t="s">
        <v>76</v>
      </c>
      <c r="I11" s="14" t="s">
        <v>76</v>
      </c>
      <c r="J11" s="14"/>
      <c r="K11" s="14">
        <v>0.11909508753281101</v>
      </c>
      <c r="L11" s="14" t="s">
        <v>76</v>
      </c>
      <c r="M11" s="14" t="s">
        <v>76</v>
      </c>
      <c r="N11" s="14"/>
      <c r="O11" s="14">
        <v>0.127353791120211</v>
      </c>
      <c r="P11" s="14">
        <v>2.3899855170867401E-2</v>
      </c>
      <c r="Q11" s="14"/>
      <c r="R11" s="14">
        <v>0.10511814265747201</v>
      </c>
      <c r="S11" s="14">
        <v>0.12797484313707699</v>
      </c>
      <c r="T11" s="14">
        <v>0.11315656718084401</v>
      </c>
      <c r="U11" s="14">
        <v>7.3929158551659394E-2</v>
      </c>
      <c r="V11" s="14">
        <v>0.201576691773212</v>
      </c>
      <c r="W11" s="14">
        <v>6.5549906050377901E-2</v>
      </c>
      <c r="X11" s="14">
        <v>0.16111821503330201</v>
      </c>
      <c r="Y11" s="14">
        <v>0.129992016732289</v>
      </c>
      <c r="Z11" s="14">
        <v>0.124080048919951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0.10370297927812901</v>
      </c>
      <c r="AN11" s="14">
        <v>0.19816600415490601</v>
      </c>
    </row>
    <row r="12" spans="2:40" x14ac:dyDescent="0.35">
      <c r="B12" s="15" t="s">
        <v>169</v>
      </c>
      <c r="C12" s="14">
        <v>2.0809724107727301E-2</v>
      </c>
      <c r="D12" s="14">
        <v>2.56887778702268E-2</v>
      </c>
      <c r="E12" s="14">
        <v>1.5375842125692801E-2</v>
      </c>
      <c r="F12" s="14"/>
      <c r="G12" s="14">
        <v>2.0809724107727301E-2</v>
      </c>
      <c r="H12" s="14" t="s">
        <v>76</v>
      </c>
      <c r="I12" s="14" t="s">
        <v>76</v>
      </c>
      <c r="J12" s="14"/>
      <c r="K12" s="14">
        <v>2.0809724107727301E-2</v>
      </c>
      <c r="L12" s="14" t="s">
        <v>76</v>
      </c>
      <c r="M12" s="14" t="s">
        <v>76</v>
      </c>
      <c r="N12" s="14"/>
      <c r="O12" s="14">
        <v>1.7693288008779E-2</v>
      </c>
      <c r="P12" s="14">
        <v>4.9974101849028903E-2</v>
      </c>
      <c r="Q12" s="14"/>
      <c r="R12" s="14">
        <v>0</v>
      </c>
      <c r="S12" s="14">
        <v>7.3189448687848796E-2</v>
      </c>
      <c r="T12" s="14">
        <v>0</v>
      </c>
      <c r="U12" s="14">
        <v>1.64214061769987E-2</v>
      </c>
      <c r="V12" s="14">
        <v>0</v>
      </c>
      <c r="W12" s="14">
        <v>0</v>
      </c>
      <c r="X12" s="14">
        <v>3.87710430125957E-2</v>
      </c>
      <c r="Y12" s="14">
        <v>9.3702694822705698E-2</v>
      </c>
      <c r="Z12" s="14">
        <v>1.08020803091383E-2</v>
      </c>
      <c r="AA12" s="14"/>
      <c r="AB12" s="14" t="s">
        <v>76</v>
      </c>
      <c r="AC12" s="14" t="s">
        <v>76</v>
      </c>
      <c r="AD12" s="14" t="s">
        <v>76</v>
      </c>
      <c r="AE12" s="14" t="s">
        <v>76</v>
      </c>
      <c r="AF12" s="14"/>
      <c r="AG12" s="14" t="s">
        <v>76</v>
      </c>
      <c r="AH12" s="14" t="s">
        <v>76</v>
      </c>
      <c r="AI12" s="14"/>
      <c r="AJ12" s="14" t="s">
        <v>76</v>
      </c>
      <c r="AK12" s="14" t="s">
        <v>76</v>
      </c>
      <c r="AL12" s="14"/>
      <c r="AM12" s="14">
        <v>4.6233306997936997E-3</v>
      </c>
      <c r="AN12" s="14">
        <v>8.7094404003727394E-2</v>
      </c>
    </row>
    <row r="13" spans="2:40" x14ac:dyDescent="0.35">
      <c r="B13" s="15" t="s">
        <v>70</v>
      </c>
      <c r="C13" s="20">
        <v>7.5436131366539696E-3</v>
      </c>
      <c r="D13" s="20">
        <v>1.1115056002815701E-2</v>
      </c>
      <c r="E13" s="20">
        <v>3.5660387984772501E-3</v>
      </c>
      <c r="F13" s="20"/>
      <c r="G13" s="20">
        <v>7.5436131366539696E-3</v>
      </c>
      <c r="H13" s="20" t="s">
        <v>76</v>
      </c>
      <c r="I13" s="20" t="s">
        <v>76</v>
      </c>
      <c r="J13" s="20"/>
      <c r="K13" s="20">
        <v>7.5436131366539696E-3</v>
      </c>
      <c r="L13" s="20" t="s">
        <v>76</v>
      </c>
      <c r="M13" s="20" t="s">
        <v>76</v>
      </c>
      <c r="N13" s="20"/>
      <c r="O13" s="20">
        <v>8.4978283524991798E-3</v>
      </c>
      <c r="P13" s="20">
        <v>0</v>
      </c>
      <c r="Q13" s="20"/>
      <c r="R13" s="20">
        <v>0</v>
      </c>
      <c r="S13" s="20">
        <v>0</v>
      </c>
      <c r="T13" s="20">
        <v>3.2917710227060797E-2</v>
      </c>
      <c r="U13" s="20">
        <v>1.9766866195838999E-2</v>
      </c>
      <c r="V13" s="20">
        <v>0</v>
      </c>
      <c r="W13" s="20">
        <v>1.7538893420101599E-2</v>
      </c>
      <c r="X13" s="20">
        <v>0</v>
      </c>
      <c r="Y13" s="20">
        <v>0</v>
      </c>
      <c r="Z13" s="20">
        <v>0</v>
      </c>
      <c r="AA13" s="20"/>
      <c r="AB13" s="20" t="s">
        <v>76</v>
      </c>
      <c r="AC13" s="20" t="s">
        <v>76</v>
      </c>
      <c r="AD13" s="20" t="s">
        <v>76</v>
      </c>
      <c r="AE13" s="20" t="s">
        <v>76</v>
      </c>
      <c r="AF13" s="20"/>
      <c r="AG13" s="20" t="s">
        <v>76</v>
      </c>
      <c r="AH13" s="20" t="s">
        <v>76</v>
      </c>
      <c r="AI13" s="20"/>
      <c r="AJ13" s="20" t="s">
        <v>76</v>
      </c>
      <c r="AK13" s="20" t="s">
        <v>76</v>
      </c>
      <c r="AL13" s="20"/>
      <c r="AM13" s="20">
        <v>1.0476603286689401E-2</v>
      </c>
      <c r="AN13" s="20">
        <v>0</v>
      </c>
    </row>
    <row r="14" spans="2:40" x14ac:dyDescent="0.35">
      <c r="B14" s="27" t="s">
        <v>193</v>
      </c>
    </row>
    <row r="15" spans="2:40" x14ac:dyDescent="0.35">
      <c r="B15" t="s">
        <v>72</v>
      </c>
    </row>
    <row r="16" spans="2:40" x14ac:dyDescent="0.35">
      <c r="B16" t="s">
        <v>73</v>
      </c>
    </row>
    <row r="18" spans="2:2" x14ac:dyDescent="0.35">
      <c r="B18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B2:AN16"/>
  <sheetViews>
    <sheetView showGridLines="0" workbookViewId="0">
      <pane xSplit="2" topLeftCell="C1" activePane="topRight" state="frozen"/>
      <selection pane="topRight" activeCell="B12" sqref="B12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186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429</v>
      </c>
      <c r="D7" s="10">
        <v>234</v>
      </c>
      <c r="E7" s="10">
        <v>195</v>
      </c>
      <c r="F7" s="10"/>
      <c r="G7" s="10">
        <v>429</v>
      </c>
      <c r="H7" s="10" t="s">
        <v>75</v>
      </c>
      <c r="I7" s="10" t="s">
        <v>75</v>
      </c>
      <c r="J7" s="10"/>
      <c r="K7" s="10">
        <v>429</v>
      </c>
      <c r="L7" s="10" t="s">
        <v>75</v>
      </c>
      <c r="M7" s="10" t="s">
        <v>75</v>
      </c>
      <c r="N7" s="10"/>
      <c r="O7" s="10">
        <v>381</v>
      </c>
      <c r="P7" s="10">
        <v>43</v>
      </c>
      <c r="Q7" s="10"/>
      <c r="R7" s="10">
        <v>68</v>
      </c>
      <c r="S7" s="10">
        <v>65</v>
      </c>
      <c r="T7" s="10">
        <v>43</v>
      </c>
      <c r="U7" s="10">
        <v>41</v>
      </c>
      <c r="V7" s="10">
        <v>41</v>
      </c>
      <c r="W7" s="10">
        <v>57</v>
      </c>
      <c r="X7" s="10">
        <v>28</v>
      </c>
      <c r="Y7" s="10">
        <v>21</v>
      </c>
      <c r="Z7" s="10">
        <v>65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301</v>
      </c>
      <c r="AN7" s="10">
        <v>63</v>
      </c>
    </row>
    <row r="8" spans="2:40" ht="30" customHeight="1" x14ac:dyDescent="0.35">
      <c r="B8" s="11" t="s">
        <v>20</v>
      </c>
      <c r="C8" s="11">
        <v>559</v>
      </c>
      <c r="D8" s="11">
        <v>295</v>
      </c>
      <c r="E8" s="11">
        <v>264</v>
      </c>
      <c r="F8" s="11"/>
      <c r="G8" s="11">
        <v>559</v>
      </c>
      <c r="H8" s="11" t="s">
        <v>75</v>
      </c>
      <c r="I8" s="11" t="s">
        <v>75</v>
      </c>
      <c r="J8" s="11"/>
      <c r="K8" s="11">
        <v>559</v>
      </c>
      <c r="L8" s="11" t="s">
        <v>75</v>
      </c>
      <c r="M8" s="11" t="s">
        <v>75</v>
      </c>
      <c r="N8" s="11"/>
      <c r="O8" s="11">
        <v>500</v>
      </c>
      <c r="P8" s="11">
        <v>53</v>
      </c>
      <c r="Q8" s="11"/>
      <c r="R8" s="11">
        <v>96</v>
      </c>
      <c r="S8" s="11">
        <v>78</v>
      </c>
      <c r="T8" s="11">
        <v>58</v>
      </c>
      <c r="U8" s="11">
        <v>62</v>
      </c>
      <c r="V8" s="11">
        <v>53</v>
      </c>
      <c r="W8" s="11">
        <v>57</v>
      </c>
      <c r="X8" s="11">
        <v>56</v>
      </c>
      <c r="Y8" s="11">
        <v>26</v>
      </c>
      <c r="Z8" s="11">
        <v>72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396</v>
      </c>
      <c r="AN8" s="11">
        <v>77</v>
      </c>
    </row>
    <row r="9" spans="2:40" x14ac:dyDescent="0.35">
      <c r="B9" s="15" t="s">
        <v>44</v>
      </c>
      <c r="C9" s="14">
        <v>0.34453257729993098</v>
      </c>
      <c r="D9" s="14">
        <v>0.31109476043909601</v>
      </c>
      <c r="E9" s="14">
        <v>0.38189595939214499</v>
      </c>
      <c r="F9" s="14"/>
      <c r="G9" s="14">
        <v>0.34453257729993098</v>
      </c>
      <c r="H9" s="14" t="s">
        <v>76</v>
      </c>
      <c r="I9" s="14" t="s">
        <v>76</v>
      </c>
      <c r="J9" s="14"/>
      <c r="K9" s="14">
        <v>0.34453257729993098</v>
      </c>
      <c r="L9" s="14" t="s">
        <v>76</v>
      </c>
      <c r="M9" s="14" t="s">
        <v>76</v>
      </c>
      <c r="N9" s="14"/>
      <c r="O9" s="14">
        <v>0.318356716861464</v>
      </c>
      <c r="P9" s="14">
        <v>0.55861978190557704</v>
      </c>
      <c r="Q9" s="14"/>
      <c r="R9" s="14">
        <v>0.447669477166663</v>
      </c>
      <c r="S9" s="14">
        <v>0.34521654268548702</v>
      </c>
      <c r="T9" s="14">
        <v>0.25440579052107598</v>
      </c>
      <c r="U9" s="14">
        <v>0.337805298521279</v>
      </c>
      <c r="V9" s="14">
        <v>0.37304259324065298</v>
      </c>
      <c r="W9" s="14">
        <v>0.32467319357226498</v>
      </c>
      <c r="X9" s="14">
        <v>0.38306940382431798</v>
      </c>
      <c r="Y9" s="14">
        <v>0.41064064738512801</v>
      </c>
      <c r="Z9" s="14">
        <v>0.225117758040209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0.36280169619279501</v>
      </c>
      <c r="AN9" s="14">
        <v>0.31717035948703398</v>
      </c>
    </row>
    <row r="10" spans="2:40" x14ac:dyDescent="0.35">
      <c r="B10" s="15" t="s">
        <v>45</v>
      </c>
      <c r="C10" s="14">
        <v>0.54563885598241102</v>
      </c>
      <c r="D10" s="14">
        <v>0.59797053141136003</v>
      </c>
      <c r="E10" s="14">
        <v>0.48716349580219198</v>
      </c>
      <c r="F10" s="14"/>
      <c r="G10" s="14">
        <v>0.54563885598241102</v>
      </c>
      <c r="H10" s="14" t="s">
        <v>76</v>
      </c>
      <c r="I10" s="14" t="s">
        <v>76</v>
      </c>
      <c r="J10" s="14"/>
      <c r="K10" s="14">
        <v>0.54563885598241102</v>
      </c>
      <c r="L10" s="14" t="s">
        <v>76</v>
      </c>
      <c r="M10" s="14" t="s">
        <v>76</v>
      </c>
      <c r="N10" s="14"/>
      <c r="O10" s="14">
        <v>0.56438764549301002</v>
      </c>
      <c r="P10" s="14">
        <v>0.40601744976722698</v>
      </c>
      <c r="Q10" s="14"/>
      <c r="R10" s="14">
        <v>0.467523141322645</v>
      </c>
      <c r="S10" s="14">
        <v>0.57516817121493702</v>
      </c>
      <c r="T10" s="14">
        <v>0.56411823194189503</v>
      </c>
      <c r="U10" s="14">
        <v>0.51686108787998397</v>
      </c>
      <c r="V10" s="14">
        <v>0.49101369458833899</v>
      </c>
      <c r="W10" s="14">
        <v>0.57921038445600803</v>
      </c>
      <c r="X10" s="14">
        <v>0.47296969878693401</v>
      </c>
      <c r="Y10" s="14">
        <v>0.58935935261487205</v>
      </c>
      <c r="Z10" s="14">
        <v>0.68247747989937801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0.54534956343889096</v>
      </c>
      <c r="AN10" s="14">
        <v>0.57916931790274995</v>
      </c>
    </row>
    <row r="11" spans="2:40" x14ac:dyDescent="0.35">
      <c r="B11" s="15" t="s">
        <v>70</v>
      </c>
      <c r="C11" s="20">
        <v>0.109828566717658</v>
      </c>
      <c r="D11" s="20">
        <v>9.0934708149544602E-2</v>
      </c>
      <c r="E11" s="20">
        <v>0.130940544805663</v>
      </c>
      <c r="F11" s="20"/>
      <c r="G11" s="20">
        <v>0.109828566717658</v>
      </c>
      <c r="H11" s="20" t="s">
        <v>76</v>
      </c>
      <c r="I11" s="20" t="s">
        <v>76</v>
      </c>
      <c r="J11" s="20"/>
      <c r="K11" s="20">
        <v>0.109828566717658</v>
      </c>
      <c r="L11" s="20" t="s">
        <v>76</v>
      </c>
      <c r="M11" s="20" t="s">
        <v>76</v>
      </c>
      <c r="N11" s="20"/>
      <c r="O11" s="20">
        <v>0.117255637645526</v>
      </c>
      <c r="P11" s="20">
        <v>3.5362768327195697E-2</v>
      </c>
      <c r="Q11" s="20"/>
      <c r="R11" s="20">
        <v>8.4807381510692004E-2</v>
      </c>
      <c r="S11" s="20">
        <v>7.9615286099576202E-2</v>
      </c>
      <c r="T11" s="20">
        <v>0.18147597753702899</v>
      </c>
      <c r="U11" s="20">
        <v>0.145333613598737</v>
      </c>
      <c r="V11" s="20">
        <v>0.13594371217100801</v>
      </c>
      <c r="W11" s="20">
        <v>9.6116421971726596E-2</v>
      </c>
      <c r="X11" s="20">
        <v>0.14396089738874801</v>
      </c>
      <c r="Y11" s="20">
        <v>0</v>
      </c>
      <c r="Z11" s="20">
        <v>9.2404762060412801E-2</v>
      </c>
      <c r="AA11" s="20"/>
      <c r="AB11" s="20" t="s">
        <v>76</v>
      </c>
      <c r="AC11" s="20" t="s">
        <v>76</v>
      </c>
      <c r="AD11" s="20" t="s">
        <v>76</v>
      </c>
      <c r="AE11" s="20" t="s">
        <v>76</v>
      </c>
      <c r="AF11" s="20"/>
      <c r="AG11" s="20" t="s">
        <v>76</v>
      </c>
      <c r="AH11" s="20" t="s">
        <v>76</v>
      </c>
      <c r="AI11" s="20"/>
      <c r="AJ11" s="20" t="s">
        <v>76</v>
      </c>
      <c r="AK11" s="20" t="s">
        <v>76</v>
      </c>
      <c r="AL11" s="20"/>
      <c r="AM11" s="20">
        <v>9.1848740368313503E-2</v>
      </c>
      <c r="AN11" s="20">
        <v>0.103660322610217</v>
      </c>
    </row>
    <row r="12" spans="2:40" x14ac:dyDescent="0.35">
      <c r="B12" s="27" t="s">
        <v>173</v>
      </c>
    </row>
    <row r="13" spans="2:40" x14ac:dyDescent="0.35">
      <c r="B13" t="s">
        <v>72</v>
      </c>
    </row>
    <row r="14" spans="2:40" x14ac:dyDescent="0.35">
      <c r="B14" t="s">
        <v>73</v>
      </c>
    </row>
    <row r="16" spans="2:40" x14ac:dyDescent="0.35">
      <c r="B16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B2:AN18"/>
  <sheetViews>
    <sheetView showGridLines="0" topLeftCell="A6" workbookViewId="0">
      <pane xSplit="2" topLeftCell="C1" activePane="topRight" state="frozen"/>
      <selection pane="topRight" activeCell="B18" sqref="B18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187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159</v>
      </c>
      <c r="D7" s="10">
        <v>81</v>
      </c>
      <c r="E7" s="10">
        <v>78</v>
      </c>
      <c r="F7" s="10"/>
      <c r="G7" s="10">
        <v>159</v>
      </c>
      <c r="H7" s="10" t="s">
        <v>75</v>
      </c>
      <c r="I7" s="10" t="s">
        <v>75</v>
      </c>
      <c r="J7" s="10"/>
      <c r="K7" s="10">
        <v>159</v>
      </c>
      <c r="L7" s="10" t="s">
        <v>75</v>
      </c>
      <c r="M7" s="10" t="s">
        <v>75</v>
      </c>
      <c r="N7" s="10"/>
      <c r="O7" s="10">
        <v>131</v>
      </c>
      <c r="P7" s="10">
        <v>25</v>
      </c>
      <c r="Q7" s="10"/>
      <c r="R7" s="10">
        <v>32</v>
      </c>
      <c r="S7" s="10">
        <v>25</v>
      </c>
      <c r="T7" s="10">
        <v>12</v>
      </c>
      <c r="U7" s="10">
        <v>16</v>
      </c>
      <c r="V7" s="10">
        <v>16</v>
      </c>
      <c r="W7" s="10">
        <v>21</v>
      </c>
      <c r="X7" s="10">
        <v>11</v>
      </c>
      <c r="Y7" s="10">
        <v>10</v>
      </c>
      <c r="Z7" s="10">
        <v>16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117</v>
      </c>
      <c r="AN7" s="10">
        <v>22</v>
      </c>
    </row>
    <row r="8" spans="2:40" ht="30" customHeight="1" x14ac:dyDescent="0.35">
      <c r="B8" s="11" t="s">
        <v>20</v>
      </c>
      <c r="C8" s="11">
        <v>193</v>
      </c>
      <c r="D8" s="11">
        <v>92</v>
      </c>
      <c r="E8" s="11">
        <v>101</v>
      </c>
      <c r="F8" s="11"/>
      <c r="G8" s="11">
        <v>193</v>
      </c>
      <c r="H8" s="11" t="s">
        <v>75</v>
      </c>
      <c r="I8" s="11" t="s">
        <v>75</v>
      </c>
      <c r="J8" s="11"/>
      <c r="K8" s="11">
        <v>193</v>
      </c>
      <c r="L8" s="11" t="s">
        <v>75</v>
      </c>
      <c r="M8" s="11" t="s">
        <v>75</v>
      </c>
      <c r="N8" s="11"/>
      <c r="O8" s="11">
        <v>159</v>
      </c>
      <c r="P8" s="11">
        <v>29</v>
      </c>
      <c r="Q8" s="11"/>
      <c r="R8" s="11">
        <v>43</v>
      </c>
      <c r="S8" s="11">
        <v>27</v>
      </c>
      <c r="T8" s="11">
        <v>15</v>
      </c>
      <c r="U8" s="11">
        <v>21</v>
      </c>
      <c r="V8" s="11">
        <v>20</v>
      </c>
      <c r="W8" s="11">
        <v>19</v>
      </c>
      <c r="X8" s="11">
        <v>22</v>
      </c>
      <c r="Y8" s="11">
        <v>11</v>
      </c>
      <c r="Z8" s="11">
        <v>16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144</v>
      </c>
      <c r="AN8" s="11">
        <v>24</v>
      </c>
    </row>
    <row r="9" spans="2:40" x14ac:dyDescent="0.35">
      <c r="B9" s="15" t="s">
        <v>155</v>
      </c>
      <c r="C9" s="14">
        <v>0.155063177693362</v>
      </c>
      <c r="D9" s="14">
        <v>0.22788081565844101</v>
      </c>
      <c r="E9" s="14">
        <v>8.8781653475162994E-2</v>
      </c>
      <c r="F9" s="14"/>
      <c r="G9" s="14">
        <v>0.155063177693362</v>
      </c>
      <c r="H9" s="14" t="s">
        <v>76</v>
      </c>
      <c r="I9" s="14" t="s">
        <v>76</v>
      </c>
      <c r="J9" s="14"/>
      <c r="K9" s="14">
        <v>0.155063177693362</v>
      </c>
      <c r="L9" s="14" t="s">
        <v>76</v>
      </c>
      <c r="M9" s="14" t="s">
        <v>76</v>
      </c>
      <c r="N9" s="14"/>
      <c r="O9" s="14">
        <v>0.11729915339365</v>
      </c>
      <c r="P9" s="14">
        <v>0.380386329763581</v>
      </c>
      <c r="Q9" s="14"/>
      <c r="R9" s="14">
        <v>0.26087939824506701</v>
      </c>
      <c r="S9" s="14">
        <v>0.16368831647935</v>
      </c>
      <c r="T9" s="14">
        <v>0.116483852024498</v>
      </c>
      <c r="U9" s="14">
        <v>5.54731665492336E-2</v>
      </c>
      <c r="V9" s="14">
        <v>0.17464436207848899</v>
      </c>
      <c r="W9" s="14">
        <v>0.215416675600583</v>
      </c>
      <c r="X9" s="14">
        <v>0</v>
      </c>
      <c r="Y9" s="14">
        <v>9.0179464103416304E-2</v>
      </c>
      <c r="Z9" s="14">
        <v>0.17960399281810699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0.17580309044748099</v>
      </c>
      <c r="AN9" s="14">
        <v>0.11499401861245</v>
      </c>
    </row>
    <row r="10" spans="2:40" x14ac:dyDescent="0.35">
      <c r="B10" s="15" t="s">
        <v>156</v>
      </c>
      <c r="C10" s="14">
        <v>0.48186604421600598</v>
      </c>
      <c r="D10" s="14">
        <v>0.40234275671215602</v>
      </c>
      <c r="E10" s="14">
        <v>0.55425131863434296</v>
      </c>
      <c r="F10" s="14"/>
      <c r="G10" s="14">
        <v>0.48186604421600598</v>
      </c>
      <c r="H10" s="14" t="s">
        <v>76</v>
      </c>
      <c r="I10" s="14" t="s">
        <v>76</v>
      </c>
      <c r="J10" s="14"/>
      <c r="K10" s="14">
        <v>0.48186604421600598</v>
      </c>
      <c r="L10" s="14" t="s">
        <v>76</v>
      </c>
      <c r="M10" s="14" t="s">
        <v>76</v>
      </c>
      <c r="N10" s="14"/>
      <c r="O10" s="14">
        <v>0.48585123195744401</v>
      </c>
      <c r="P10" s="14">
        <v>0.44902635494509102</v>
      </c>
      <c r="Q10" s="14"/>
      <c r="R10" s="14">
        <v>0.46700379871443498</v>
      </c>
      <c r="S10" s="14">
        <v>0.27570434298046398</v>
      </c>
      <c r="T10" s="14">
        <v>0.54528879197072799</v>
      </c>
      <c r="U10" s="14">
        <v>0.82750923613304594</v>
      </c>
      <c r="V10" s="14">
        <v>0.35330835331918098</v>
      </c>
      <c r="W10" s="14">
        <v>0.51394677717306303</v>
      </c>
      <c r="X10" s="14">
        <v>0.43173305168515702</v>
      </c>
      <c r="Y10" s="14">
        <v>0.53276183024365997</v>
      </c>
      <c r="Z10" s="14">
        <v>0.51487956779446598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0.44129251791600699</v>
      </c>
      <c r="AN10" s="14">
        <v>0.61452647797503901</v>
      </c>
    </row>
    <row r="11" spans="2:40" x14ac:dyDescent="0.35">
      <c r="B11" s="15" t="s">
        <v>157</v>
      </c>
      <c r="C11" s="14">
        <v>0.242293113515898</v>
      </c>
      <c r="D11" s="14">
        <v>0.285111791701462</v>
      </c>
      <c r="E11" s="14">
        <v>0.203317841391461</v>
      </c>
      <c r="F11" s="14"/>
      <c r="G11" s="14">
        <v>0.242293113515898</v>
      </c>
      <c r="H11" s="14" t="s">
        <v>76</v>
      </c>
      <c r="I11" s="14" t="s">
        <v>76</v>
      </c>
      <c r="J11" s="14"/>
      <c r="K11" s="14">
        <v>0.242293113515898</v>
      </c>
      <c r="L11" s="14" t="s">
        <v>76</v>
      </c>
      <c r="M11" s="14" t="s">
        <v>76</v>
      </c>
      <c r="N11" s="14"/>
      <c r="O11" s="14">
        <v>0.27656946351131501</v>
      </c>
      <c r="P11" s="14">
        <v>9.0818513011134402E-2</v>
      </c>
      <c r="Q11" s="14"/>
      <c r="R11" s="14">
        <v>0.18944195625631</v>
      </c>
      <c r="S11" s="14">
        <v>0.213214009108224</v>
      </c>
      <c r="T11" s="14">
        <v>0.14332151201185001</v>
      </c>
      <c r="U11" s="14">
        <v>0.11701759731772</v>
      </c>
      <c r="V11" s="14">
        <v>0.29275167996340701</v>
      </c>
      <c r="W11" s="14">
        <v>0.270636547226354</v>
      </c>
      <c r="X11" s="14">
        <v>0.45373497423793302</v>
      </c>
      <c r="Y11" s="14">
        <v>0.37705870565292399</v>
      </c>
      <c r="Z11" s="14">
        <v>0.21766588357692501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0.25380528847518402</v>
      </c>
      <c r="AN11" s="14">
        <v>0.136590936798476</v>
      </c>
    </row>
    <row r="12" spans="2:40" x14ac:dyDescent="0.35">
      <c r="B12" s="15" t="s">
        <v>158</v>
      </c>
      <c r="C12" s="14">
        <v>0.104988702344897</v>
      </c>
      <c r="D12" s="14">
        <v>8.4664635927940698E-2</v>
      </c>
      <c r="E12" s="14">
        <v>0.123488479844872</v>
      </c>
      <c r="F12" s="14"/>
      <c r="G12" s="14">
        <v>0.104988702344897</v>
      </c>
      <c r="H12" s="14" t="s">
        <v>76</v>
      </c>
      <c r="I12" s="14" t="s">
        <v>76</v>
      </c>
      <c r="J12" s="14"/>
      <c r="K12" s="14">
        <v>0.104988702344897</v>
      </c>
      <c r="L12" s="14" t="s">
        <v>76</v>
      </c>
      <c r="M12" s="14" t="s">
        <v>76</v>
      </c>
      <c r="N12" s="14"/>
      <c r="O12" s="14">
        <v>0.101161225320708</v>
      </c>
      <c r="P12" s="14">
        <v>7.9768802280192994E-2</v>
      </c>
      <c r="Q12" s="14"/>
      <c r="R12" s="14">
        <v>5.4631570137534301E-2</v>
      </c>
      <c r="S12" s="14">
        <v>0.34739333143196299</v>
      </c>
      <c r="T12" s="14">
        <v>7.1660747134936198E-2</v>
      </c>
      <c r="U12" s="14">
        <v>0</v>
      </c>
      <c r="V12" s="14">
        <v>0.179295604638923</v>
      </c>
      <c r="W12" s="14">
        <v>0</v>
      </c>
      <c r="X12" s="14">
        <v>0.11453197407691</v>
      </c>
      <c r="Y12" s="14">
        <v>0</v>
      </c>
      <c r="Z12" s="14">
        <v>8.7850555810501801E-2</v>
      </c>
      <c r="AA12" s="14"/>
      <c r="AB12" s="14" t="s">
        <v>76</v>
      </c>
      <c r="AC12" s="14" t="s">
        <v>76</v>
      </c>
      <c r="AD12" s="14" t="s">
        <v>76</v>
      </c>
      <c r="AE12" s="14" t="s">
        <v>76</v>
      </c>
      <c r="AF12" s="14"/>
      <c r="AG12" s="14" t="s">
        <v>76</v>
      </c>
      <c r="AH12" s="14" t="s">
        <v>76</v>
      </c>
      <c r="AI12" s="14"/>
      <c r="AJ12" s="14" t="s">
        <v>76</v>
      </c>
      <c r="AK12" s="14" t="s">
        <v>76</v>
      </c>
      <c r="AL12" s="14"/>
      <c r="AM12" s="14">
        <v>0.10795728628705099</v>
      </c>
      <c r="AN12" s="14">
        <v>0.133888566614034</v>
      </c>
    </row>
    <row r="13" spans="2:40" x14ac:dyDescent="0.35">
      <c r="B13" s="15" t="s">
        <v>70</v>
      </c>
      <c r="C13" s="20">
        <v>1.57889622298364E-2</v>
      </c>
      <c r="D13" s="20">
        <v>0</v>
      </c>
      <c r="E13" s="20">
        <v>3.0160706654161401E-2</v>
      </c>
      <c r="F13" s="20"/>
      <c r="G13" s="20">
        <v>1.57889622298364E-2</v>
      </c>
      <c r="H13" s="20" t="s">
        <v>76</v>
      </c>
      <c r="I13" s="20" t="s">
        <v>76</v>
      </c>
      <c r="J13" s="20"/>
      <c r="K13" s="20">
        <v>1.57889622298364E-2</v>
      </c>
      <c r="L13" s="20" t="s">
        <v>76</v>
      </c>
      <c r="M13" s="20" t="s">
        <v>76</v>
      </c>
      <c r="N13" s="20"/>
      <c r="O13" s="20">
        <v>1.91189258168841E-2</v>
      </c>
      <c r="P13" s="20">
        <v>0</v>
      </c>
      <c r="Q13" s="20"/>
      <c r="R13" s="20">
        <v>2.8043276646653501E-2</v>
      </c>
      <c r="S13" s="20">
        <v>0</v>
      </c>
      <c r="T13" s="20">
        <v>0.123245096857987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/>
      <c r="AB13" s="20" t="s">
        <v>76</v>
      </c>
      <c r="AC13" s="20" t="s">
        <v>76</v>
      </c>
      <c r="AD13" s="20" t="s">
        <v>76</v>
      </c>
      <c r="AE13" s="20" t="s">
        <v>76</v>
      </c>
      <c r="AF13" s="20"/>
      <c r="AG13" s="20" t="s">
        <v>76</v>
      </c>
      <c r="AH13" s="20" t="s">
        <v>76</v>
      </c>
      <c r="AI13" s="20"/>
      <c r="AJ13" s="20" t="s">
        <v>76</v>
      </c>
      <c r="AK13" s="20" t="s">
        <v>76</v>
      </c>
      <c r="AL13" s="20"/>
      <c r="AM13" s="20">
        <v>2.1141816874276201E-2</v>
      </c>
      <c r="AN13" s="20">
        <v>0</v>
      </c>
    </row>
    <row r="14" spans="2:40" x14ac:dyDescent="0.35">
      <c r="B14" s="27" t="s">
        <v>198</v>
      </c>
    </row>
    <row r="15" spans="2:40" x14ac:dyDescent="0.35">
      <c r="B15" t="s">
        <v>72</v>
      </c>
    </row>
    <row r="16" spans="2:40" x14ac:dyDescent="0.35">
      <c r="B16" t="s">
        <v>73</v>
      </c>
    </row>
    <row r="18" spans="2:2" x14ac:dyDescent="0.35">
      <c r="B18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B2:AN19"/>
  <sheetViews>
    <sheetView showGridLines="0" workbookViewId="0">
      <pane xSplit="2" topLeftCell="C1" activePane="topRight" state="frozen"/>
      <selection pane="topRight" activeCell="AP12" sqref="AP12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189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159</v>
      </c>
      <c r="D7" s="10">
        <v>81</v>
      </c>
      <c r="E7" s="10">
        <v>78</v>
      </c>
      <c r="F7" s="10"/>
      <c r="G7" s="10">
        <v>159</v>
      </c>
      <c r="H7" s="10" t="s">
        <v>75</v>
      </c>
      <c r="I7" s="10" t="s">
        <v>75</v>
      </c>
      <c r="J7" s="10"/>
      <c r="K7" s="10">
        <v>159</v>
      </c>
      <c r="L7" s="10" t="s">
        <v>75</v>
      </c>
      <c r="M7" s="10" t="s">
        <v>75</v>
      </c>
      <c r="N7" s="10"/>
      <c r="O7" s="10">
        <v>131</v>
      </c>
      <c r="P7" s="10">
        <v>25</v>
      </c>
      <c r="Q7" s="10"/>
      <c r="R7" s="10">
        <v>32</v>
      </c>
      <c r="S7" s="10">
        <v>25</v>
      </c>
      <c r="T7" s="10">
        <v>12</v>
      </c>
      <c r="U7" s="10">
        <v>16</v>
      </c>
      <c r="V7" s="10">
        <v>16</v>
      </c>
      <c r="W7" s="10">
        <v>21</v>
      </c>
      <c r="X7" s="10">
        <v>11</v>
      </c>
      <c r="Y7" s="10">
        <v>10</v>
      </c>
      <c r="Z7" s="10">
        <v>16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117</v>
      </c>
      <c r="AN7" s="10">
        <v>22</v>
      </c>
    </row>
    <row r="8" spans="2:40" ht="30" customHeight="1" x14ac:dyDescent="0.35">
      <c r="B8" s="11" t="s">
        <v>20</v>
      </c>
      <c r="C8" s="11">
        <v>193</v>
      </c>
      <c r="D8" s="11">
        <v>92</v>
      </c>
      <c r="E8" s="11">
        <v>101</v>
      </c>
      <c r="F8" s="11"/>
      <c r="G8" s="11">
        <v>193</v>
      </c>
      <c r="H8" s="11" t="s">
        <v>75</v>
      </c>
      <c r="I8" s="11" t="s">
        <v>75</v>
      </c>
      <c r="J8" s="11"/>
      <c r="K8" s="11">
        <v>193</v>
      </c>
      <c r="L8" s="11" t="s">
        <v>75</v>
      </c>
      <c r="M8" s="11" t="s">
        <v>75</v>
      </c>
      <c r="N8" s="11"/>
      <c r="O8" s="11">
        <v>159</v>
      </c>
      <c r="P8" s="11">
        <v>29</v>
      </c>
      <c r="Q8" s="11"/>
      <c r="R8" s="11">
        <v>43</v>
      </c>
      <c r="S8" s="11">
        <v>27</v>
      </c>
      <c r="T8" s="11">
        <v>15</v>
      </c>
      <c r="U8" s="11">
        <v>21</v>
      </c>
      <c r="V8" s="11">
        <v>20</v>
      </c>
      <c r="W8" s="11">
        <v>19</v>
      </c>
      <c r="X8" s="11">
        <v>22</v>
      </c>
      <c r="Y8" s="11">
        <v>11</v>
      </c>
      <c r="Z8" s="11">
        <v>16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144</v>
      </c>
      <c r="AN8" s="11">
        <v>24</v>
      </c>
    </row>
    <row r="9" spans="2:40" x14ac:dyDescent="0.35">
      <c r="B9" s="15" t="s">
        <v>160</v>
      </c>
      <c r="C9" s="14">
        <v>0.156321410526258</v>
      </c>
      <c r="D9" s="14">
        <v>0.21017870375411701</v>
      </c>
      <c r="E9" s="14">
        <v>0.107298349834274</v>
      </c>
      <c r="F9" s="14"/>
      <c r="G9" s="14">
        <v>0.156321410526258</v>
      </c>
      <c r="H9" s="14" t="s">
        <v>76</v>
      </c>
      <c r="I9" s="14" t="s">
        <v>76</v>
      </c>
      <c r="J9" s="14"/>
      <c r="K9" s="14">
        <v>0.156321410526258</v>
      </c>
      <c r="L9" s="14" t="s">
        <v>76</v>
      </c>
      <c r="M9" s="14" t="s">
        <v>76</v>
      </c>
      <c r="N9" s="14"/>
      <c r="O9" s="14">
        <v>0.12128150090454699</v>
      </c>
      <c r="P9" s="14">
        <v>0.36711392277940502</v>
      </c>
      <c r="Q9" s="14"/>
      <c r="R9" s="14">
        <v>0.27801479742753799</v>
      </c>
      <c r="S9" s="14">
        <v>0.13475984876935801</v>
      </c>
      <c r="T9" s="14">
        <v>7.1660747134936198E-2</v>
      </c>
      <c r="U9" s="14">
        <v>0.15760865587817299</v>
      </c>
      <c r="V9" s="14">
        <v>8.9647802319461595E-2</v>
      </c>
      <c r="W9" s="14">
        <v>0.17279976156396101</v>
      </c>
      <c r="X9" s="14">
        <v>5.8351137735119803E-2</v>
      </c>
      <c r="Y9" s="14">
        <v>9.5114312409291302E-2</v>
      </c>
      <c r="Z9" s="14">
        <v>0.179130903759047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0.163566735258283</v>
      </c>
      <c r="AN9" s="14">
        <v>0.190015610571202</v>
      </c>
    </row>
    <row r="10" spans="2:40" x14ac:dyDescent="0.35">
      <c r="B10" s="15" t="s">
        <v>161</v>
      </c>
      <c r="C10" s="14">
        <v>0.47794498824669002</v>
      </c>
      <c r="D10" s="14">
        <v>0.46423910143312302</v>
      </c>
      <c r="E10" s="14">
        <v>0.49042063417743298</v>
      </c>
      <c r="F10" s="14"/>
      <c r="G10" s="14">
        <v>0.47794498824669002</v>
      </c>
      <c r="H10" s="14" t="s">
        <v>76</v>
      </c>
      <c r="I10" s="14" t="s">
        <v>76</v>
      </c>
      <c r="J10" s="14"/>
      <c r="K10" s="14">
        <v>0.47794498824669002</v>
      </c>
      <c r="L10" s="14" t="s">
        <v>76</v>
      </c>
      <c r="M10" s="14" t="s">
        <v>76</v>
      </c>
      <c r="N10" s="14"/>
      <c r="O10" s="14">
        <v>0.49485087386494098</v>
      </c>
      <c r="P10" s="14">
        <v>0.41363814582647501</v>
      </c>
      <c r="Q10" s="14"/>
      <c r="R10" s="14">
        <v>0.46114483070655099</v>
      </c>
      <c r="S10" s="14">
        <v>0.47519864655734001</v>
      </c>
      <c r="T10" s="14">
        <v>0.341473900289268</v>
      </c>
      <c r="U10" s="14">
        <v>0.72840937596701205</v>
      </c>
      <c r="V10" s="14">
        <v>0.273370632773418</v>
      </c>
      <c r="W10" s="14">
        <v>0.54915151243482196</v>
      </c>
      <c r="X10" s="14">
        <v>0.57069079127024602</v>
      </c>
      <c r="Y10" s="14">
        <v>0.35039020287936301</v>
      </c>
      <c r="Z10" s="14">
        <v>0.46147674465250899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0.52839135563667206</v>
      </c>
      <c r="AN10" s="14">
        <v>0.21151973333350799</v>
      </c>
    </row>
    <row r="11" spans="2:40" x14ac:dyDescent="0.35">
      <c r="B11" s="15" t="s">
        <v>162</v>
      </c>
      <c r="C11" s="14">
        <v>0.302128900454182</v>
      </c>
      <c r="D11" s="14">
        <v>0.26839590593694801</v>
      </c>
      <c r="E11" s="14">
        <v>0.33283402019616998</v>
      </c>
      <c r="F11" s="14"/>
      <c r="G11" s="14">
        <v>0.302128900454182</v>
      </c>
      <c r="H11" s="14" t="s">
        <v>76</v>
      </c>
      <c r="I11" s="14" t="s">
        <v>76</v>
      </c>
      <c r="J11" s="14"/>
      <c r="K11" s="14">
        <v>0.302128900454182</v>
      </c>
      <c r="L11" s="14" t="s">
        <v>76</v>
      </c>
      <c r="M11" s="14" t="s">
        <v>76</v>
      </c>
      <c r="N11" s="14"/>
      <c r="O11" s="14">
        <v>0.30684840522227003</v>
      </c>
      <c r="P11" s="14">
        <v>0.21924793139411999</v>
      </c>
      <c r="Q11" s="14"/>
      <c r="R11" s="14">
        <v>0.26084037186591102</v>
      </c>
      <c r="S11" s="14">
        <v>0.204060110910011</v>
      </c>
      <c r="T11" s="14">
        <v>0.39195950858287298</v>
      </c>
      <c r="U11" s="14">
        <v>0.113981968154815</v>
      </c>
      <c r="V11" s="14">
        <v>0.63698156490711999</v>
      </c>
      <c r="W11" s="14">
        <v>0.16360817564597599</v>
      </c>
      <c r="X11" s="14">
        <v>0.37095807099463401</v>
      </c>
      <c r="Y11" s="14">
        <v>0.55449548471134502</v>
      </c>
      <c r="Z11" s="14">
        <v>0.222223823058251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0.24186663619847701</v>
      </c>
      <c r="AN11" s="14">
        <v>0.48673583904455597</v>
      </c>
    </row>
    <row r="12" spans="2:40" x14ac:dyDescent="0.35">
      <c r="B12" s="15" t="s">
        <v>163</v>
      </c>
      <c r="C12" s="14">
        <v>3.6258675650070397E-2</v>
      </c>
      <c r="D12" s="14">
        <v>2.84774778900319E-2</v>
      </c>
      <c r="E12" s="14">
        <v>4.3341432825274702E-2</v>
      </c>
      <c r="F12" s="14"/>
      <c r="G12" s="14">
        <v>3.6258675650070397E-2</v>
      </c>
      <c r="H12" s="14" t="s">
        <v>76</v>
      </c>
      <c r="I12" s="14" t="s">
        <v>76</v>
      </c>
      <c r="J12" s="14"/>
      <c r="K12" s="14">
        <v>3.6258675650070397E-2</v>
      </c>
      <c r="L12" s="14" t="s">
        <v>76</v>
      </c>
      <c r="M12" s="14" t="s">
        <v>76</v>
      </c>
      <c r="N12" s="14"/>
      <c r="O12" s="14">
        <v>4.39057944329087E-2</v>
      </c>
      <c r="P12" s="14">
        <v>0</v>
      </c>
      <c r="Q12" s="14"/>
      <c r="R12" s="14">
        <v>0</v>
      </c>
      <c r="S12" s="14">
        <v>8.8276559947995895E-2</v>
      </c>
      <c r="T12" s="14">
        <v>0.19490584399292299</v>
      </c>
      <c r="U12" s="14">
        <v>0</v>
      </c>
      <c r="V12" s="14">
        <v>0</v>
      </c>
      <c r="W12" s="14">
        <v>4.4949020287431501E-2</v>
      </c>
      <c r="X12" s="14">
        <v>0</v>
      </c>
      <c r="Y12" s="14">
        <v>0</v>
      </c>
      <c r="Z12" s="14">
        <v>5.3875912201016701E-2</v>
      </c>
      <c r="AA12" s="14"/>
      <c r="AB12" s="14" t="s">
        <v>76</v>
      </c>
      <c r="AC12" s="14" t="s">
        <v>76</v>
      </c>
      <c r="AD12" s="14" t="s">
        <v>76</v>
      </c>
      <c r="AE12" s="14" t="s">
        <v>76</v>
      </c>
      <c r="AF12" s="14"/>
      <c r="AG12" s="14" t="s">
        <v>76</v>
      </c>
      <c r="AH12" s="14" t="s">
        <v>76</v>
      </c>
      <c r="AI12" s="14"/>
      <c r="AJ12" s="14" t="s">
        <v>76</v>
      </c>
      <c r="AK12" s="14" t="s">
        <v>76</v>
      </c>
      <c r="AL12" s="14"/>
      <c r="AM12" s="14">
        <v>2.9558258629781401E-2</v>
      </c>
      <c r="AN12" s="14">
        <v>0.111728817050733</v>
      </c>
    </row>
    <row r="13" spans="2:40" x14ac:dyDescent="0.35">
      <c r="B13" s="15" t="s">
        <v>70</v>
      </c>
      <c r="C13" s="21">
        <v>2.7346025122798601E-2</v>
      </c>
      <c r="D13" s="21">
        <v>2.8708810985780198E-2</v>
      </c>
      <c r="E13" s="21">
        <v>2.61055629668474E-2</v>
      </c>
      <c r="F13" s="21"/>
      <c r="G13" s="21">
        <v>2.7346025122798601E-2</v>
      </c>
      <c r="H13" s="21" t="s">
        <v>76</v>
      </c>
      <c r="I13" s="21" t="s">
        <v>76</v>
      </c>
      <c r="J13" s="21"/>
      <c r="K13" s="21">
        <v>2.7346025122798601E-2</v>
      </c>
      <c r="L13" s="21" t="s">
        <v>76</v>
      </c>
      <c r="M13" s="21" t="s">
        <v>76</v>
      </c>
      <c r="N13" s="21"/>
      <c r="O13" s="21">
        <v>3.31134255753332E-2</v>
      </c>
      <c r="P13" s="21">
        <v>0</v>
      </c>
      <c r="Q13" s="21"/>
      <c r="R13" s="21">
        <v>0</v>
      </c>
      <c r="S13" s="21">
        <v>9.7704833815294601E-2</v>
      </c>
      <c r="T13" s="21">
        <v>0</v>
      </c>
      <c r="U13" s="21">
        <v>0</v>
      </c>
      <c r="V13" s="21">
        <v>0</v>
      </c>
      <c r="W13" s="21">
        <v>6.9491530067809407E-2</v>
      </c>
      <c r="X13" s="21">
        <v>0</v>
      </c>
      <c r="Y13" s="21">
        <v>0</v>
      </c>
      <c r="Z13" s="21">
        <v>8.3292616329175895E-2</v>
      </c>
      <c r="AA13" s="21"/>
      <c r="AB13" s="21" t="s">
        <v>76</v>
      </c>
      <c r="AC13" s="21" t="s">
        <v>76</v>
      </c>
      <c r="AD13" s="21" t="s">
        <v>76</v>
      </c>
      <c r="AE13" s="21" t="s">
        <v>76</v>
      </c>
      <c r="AF13" s="21"/>
      <c r="AG13" s="21" t="s">
        <v>76</v>
      </c>
      <c r="AH13" s="21" t="s">
        <v>76</v>
      </c>
      <c r="AI13" s="21"/>
      <c r="AJ13" s="21" t="s">
        <v>76</v>
      </c>
      <c r="AK13" s="21" t="s">
        <v>76</v>
      </c>
      <c r="AL13" s="21"/>
      <c r="AM13" s="21">
        <v>3.6617014276786597E-2</v>
      </c>
      <c r="AN13" s="21">
        <v>0</v>
      </c>
    </row>
    <row r="14" spans="2:40" x14ac:dyDescent="0.35">
      <c r="B14" s="15" t="s">
        <v>164</v>
      </c>
      <c r="C14" s="30">
        <v>0.63426639877294899</v>
      </c>
      <c r="D14" s="30">
        <v>0.67441780518724004</v>
      </c>
      <c r="E14" s="30">
        <v>0.59771898401170798</v>
      </c>
      <c r="F14" s="30"/>
      <c r="G14" s="30">
        <v>0.63426639877294899</v>
      </c>
      <c r="H14" s="30" t="s">
        <v>76</v>
      </c>
      <c r="I14" s="30" t="s">
        <v>76</v>
      </c>
      <c r="J14" s="30"/>
      <c r="K14" s="30">
        <v>0.63426639877294899</v>
      </c>
      <c r="L14" s="30" t="s">
        <v>76</v>
      </c>
      <c r="M14" s="30" t="s">
        <v>76</v>
      </c>
      <c r="N14" s="30"/>
      <c r="O14" s="30">
        <v>0.61613237476948801</v>
      </c>
      <c r="P14" s="30">
        <v>0.78075206860587998</v>
      </c>
      <c r="Q14" s="30"/>
      <c r="R14" s="30">
        <v>0.73915962813408898</v>
      </c>
      <c r="S14" s="30">
        <v>0.60995849532669799</v>
      </c>
      <c r="T14" s="30">
        <v>0.41313464742420403</v>
      </c>
      <c r="U14" s="30">
        <v>0.88601803184518502</v>
      </c>
      <c r="V14" s="30">
        <v>0.36301843509288001</v>
      </c>
      <c r="W14" s="30">
        <v>0.72195127399878301</v>
      </c>
      <c r="X14" s="30">
        <v>0.62904192900536604</v>
      </c>
      <c r="Y14" s="30">
        <v>0.44550451528865498</v>
      </c>
      <c r="Z14" s="30">
        <v>0.64060764841155704</v>
      </c>
      <c r="AA14" s="30"/>
      <c r="AB14" s="30" t="s">
        <v>76</v>
      </c>
      <c r="AC14" s="30" t="s">
        <v>76</v>
      </c>
      <c r="AD14" s="30" t="s">
        <v>76</v>
      </c>
      <c r="AE14" s="30" t="s">
        <v>76</v>
      </c>
      <c r="AF14" s="30"/>
      <c r="AG14" s="30" t="s">
        <v>76</v>
      </c>
      <c r="AH14" s="30" t="s">
        <v>76</v>
      </c>
      <c r="AI14" s="30"/>
      <c r="AJ14" s="30" t="s">
        <v>76</v>
      </c>
      <c r="AK14" s="30" t="s">
        <v>76</v>
      </c>
      <c r="AL14" s="30"/>
      <c r="AM14" s="30">
        <v>0.69195809089495497</v>
      </c>
      <c r="AN14" s="30">
        <v>0.40153534390471102</v>
      </c>
    </row>
    <row r="15" spans="2:40" x14ac:dyDescent="0.35">
      <c r="B15" s="27" t="s">
        <v>198</v>
      </c>
    </row>
    <row r="16" spans="2:40" x14ac:dyDescent="0.35">
      <c r="B16" t="s">
        <v>72</v>
      </c>
    </row>
    <row r="17" spans="2:2" x14ac:dyDescent="0.35">
      <c r="B17" t="s">
        <v>73</v>
      </c>
    </row>
    <row r="19" spans="2:2" x14ac:dyDescent="0.35">
      <c r="B19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B2:AN18"/>
  <sheetViews>
    <sheetView showGridLines="0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190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159</v>
      </c>
      <c r="D7" s="10">
        <v>81</v>
      </c>
      <c r="E7" s="10">
        <v>78</v>
      </c>
      <c r="F7" s="10"/>
      <c r="G7" s="10">
        <v>159</v>
      </c>
      <c r="H7" s="10" t="s">
        <v>75</v>
      </c>
      <c r="I7" s="10" t="s">
        <v>75</v>
      </c>
      <c r="J7" s="10"/>
      <c r="K7" s="10">
        <v>159</v>
      </c>
      <c r="L7" s="10" t="s">
        <v>75</v>
      </c>
      <c r="M7" s="10" t="s">
        <v>75</v>
      </c>
      <c r="N7" s="10"/>
      <c r="O7" s="10">
        <v>131</v>
      </c>
      <c r="P7" s="10">
        <v>25</v>
      </c>
      <c r="Q7" s="10"/>
      <c r="R7" s="10">
        <v>32</v>
      </c>
      <c r="S7" s="10">
        <v>25</v>
      </c>
      <c r="T7" s="10">
        <v>12</v>
      </c>
      <c r="U7" s="10">
        <v>16</v>
      </c>
      <c r="V7" s="10">
        <v>16</v>
      </c>
      <c r="W7" s="10">
        <v>21</v>
      </c>
      <c r="X7" s="10">
        <v>11</v>
      </c>
      <c r="Y7" s="10">
        <v>10</v>
      </c>
      <c r="Z7" s="10">
        <v>16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117</v>
      </c>
      <c r="AN7" s="10">
        <v>22</v>
      </c>
    </row>
    <row r="8" spans="2:40" ht="30" customHeight="1" x14ac:dyDescent="0.35">
      <c r="B8" s="11" t="s">
        <v>20</v>
      </c>
      <c r="C8" s="11">
        <v>193</v>
      </c>
      <c r="D8" s="11">
        <v>92</v>
      </c>
      <c r="E8" s="11">
        <v>101</v>
      </c>
      <c r="F8" s="11"/>
      <c r="G8" s="11">
        <v>193</v>
      </c>
      <c r="H8" s="11" t="s">
        <v>75</v>
      </c>
      <c r="I8" s="11" t="s">
        <v>75</v>
      </c>
      <c r="J8" s="11"/>
      <c r="K8" s="11">
        <v>193</v>
      </c>
      <c r="L8" s="11" t="s">
        <v>75</v>
      </c>
      <c r="M8" s="11" t="s">
        <v>75</v>
      </c>
      <c r="N8" s="11"/>
      <c r="O8" s="11">
        <v>159</v>
      </c>
      <c r="P8" s="11">
        <v>29</v>
      </c>
      <c r="Q8" s="11"/>
      <c r="R8" s="11">
        <v>43</v>
      </c>
      <c r="S8" s="11">
        <v>27</v>
      </c>
      <c r="T8" s="11">
        <v>15</v>
      </c>
      <c r="U8" s="11">
        <v>21</v>
      </c>
      <c r="V8" s="11">
        <v>20</v>
      </c>
      <c r="W8" s="11">
        <v>19</v>
      </c>
      <c r="X8" s="11">
        <v>22</v>
      </c>
      <c r="Y8" s="11">
        <v>11</v>
      </c>
      <c r="Z8" s="11">
        <v>16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144</v>
      </c>
      <c r="AN8" s="11">
        <v>24</v>
      </c>
    </row>
    <row r="9" spans="2:40" x14ac:dyDescent="0.35">
      <c r="B9" s="15" t="s">
        <v>166</v>
      </c>
      <c r="C9" s="14">
        <v>0.186496009468235</v>
      </c>
      <c r="D9" s="14">
        <v>0.21496878215026699</v>
      </c>
      <c r="E9" s="14">
        <v>0.16057895386436499</v>
      </c>
      <c r="F9" s="14"/>
      <c r="G9" s="14">
        <v>0.186496009468235</v>
      </c>
      <c r="H9" s="14" t="s">
        <v>76</v>
      </c>
      <c r="I9" s="14" t="s">
        <v>76</v>
      </c>
      <c r="J9" s="14"/>
      <c r="K9" s="14">
        <v>0.186496009468235</v>
      </c>
      <c r="L9" s="14" t="s">
        <v>76</v>
      </c>
      <c r="M9" s="14" t="s">
        <v>76</v>
      </c>
      <c r="N9" s="14"/>
      <c r="O9" s="14">
        <v>0.16271410124976299</v>
      </c>
      <c r="P9" s="14">
        <v>0.34069571124152198</v>
      </c>
      <c r="Q9" s="14"/>
      <c r="R9" s="14">
        <v>0.34050927138438303</v>
      </c>
      <c r="S9" s="14">
        <v>9.7618339376409596E-2</v>
      </c>
      <c r="T9" s="14">
        <v>7.1660747134936198E-2</v>
      </c>
      <c r="U9" s="14">
        <v>0.15087816317995201</v>
      </c>
      <c r="V9" s="14">
        <v>0.179295604638923</v>
      </c>
      <c r="W9" s="14">
        <v>0.20347712257601899</v>
      </c>
      <c r="X9" s="14">
        <v>5.8351137735119803E-2</v>
      </c>
      <c r="Y9" s="14">
        <v>0.27547324036155901</v>
      </c>
      <c r="Z9" s="14">
        <v>0.176808731182061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0.21020170967485699</v>
      </c>
      <c r="AN9" s="14">
        <v>0.143231959637627</v>
      </c>
    </row>
    <row r="10" spans="2:40" x14ac:dyDescent="0.35">
      <c r="B10" s="15" t="s">
        <v>167</v>
      </c>
      <c r="C10" s="14">
        <v>0.432729240753436</v>
      </c>
      <c r="D10" s="14">
        <v>0.44803109329152901</v>
      </c>
      <c r="E10" s="14">
        <v>0.41880088303777802</v>
      </c>
      <c r="F10" s="14"/>
      <c r="G10" s="14">
        <v>0.432729240753436</v>
      </c>
      <c r="H10" s="14" t="s">
        <v>76</v>
      </c>
      <c r="I10" s="14" t="s">
        <v>76</v>
      </c>
      <c r="J10" s="14"/>
      <c r="K10" s="14">
        <v>0.432729240753436</v>
      </c>
      <c r="L10" s="14" t="s">
        <v>76</v>
      </c>
      <c r="M10" s="14" t="s">
        <v>76</v>
      </c>
      <c r="N10" s="14"/>
      <c r="O10" s="14">
        <v>0.42801296949989998</v>
      </c>
      <c r="P10" s="14">
        <v>0.440056357364358</v>
      </c>
      <c r="Q10" s="14"/>
      <c r="R10" s="14">
        <v>0.44437798446968502</v>
      </c>
      <c r="S10" s="14">
        <v>0.41848935220257699</v>
      </c>
      <c r="T10" s="14">
        <v>0.13193957630895101</v>
      </c>
      <c r="U10" s="14">
        <v>0.68653342440454301</v>
      </c>
      <c r="V10" s="14">
        <v>0.230067041005527</v>
      </c>
      <c r="W10" s="14">
        <v>0.38829130306208898</v>
      </c>
      <c r="X10" s="14">
        <v>0.68522276534715598</v>
      </c>
      <c r="Y10" s="14">
        <v>0.17003127492709499</v>
      </c>
      <c r="Z10" s="14">
        <v>0.51487956814806901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0.48832369465283398</v>
      </c>
      <c r="AN10" s="14">
        <v>0.21229259852642801</v>
      </c>
    </row>
    <row r="11" spans="2:40" x14ac:dyDescent="0.35">
      <c r="B11" s="15" t="s">
        <v>168</v>
      </c>
      <c r="C11" s="14">
        <v>0.30234158070394801</v>
      </c>
      <c r="D11" s="14">
        <v>0.27106241541513199</v>
      </c>
      <c r="E11" s="14">
        <v>0.33081312701543197</v>
      </c>
      <c r="F11" s="14"/>
      <c r="G11" s="14">
        <v>0.30234158070394801</v>
      </c>
      <c r="H11" s="14" t="s">
        <v>76</v>
      </c>
      <c r="I11" s="14" t="s">
        <v>76</v>
      </c>
      <c r="J11" s="14"/>
      <c r="K11" s="14">
        <v>0.30234158070394801</v>
      </c>
      <c r="L11" s="14" t="s">
        <v>76</v>
      </c>
      <c r="M11" s="14" t="s">
        <v>76</v>
      </c>
      <c r="N11" s="14"/>
      <c r="O11" s="14">
        <v>0.31429784986972298</v>
      </c>
      <c r="P11" s="14">
        <v>0.21924793139411999</v>
      </c>
      <c r="Q11" s="14"/>
      <c r="R11" s="14">
        <v>0.18852445328537801</v>
      </c>
      <c r="S11" s="14">
        <v>0.29983792410761601</v>
      </c>
      <c r="T11" s="14">
        <v>0.46970658636509699</v>
      </c>
      <c r="U11" s="14">
        <v>0.16258841241550501</v>
      </c>
      <c r="V11" s="14">
        <v>0.53565926436820199</v>
      </c>
      <c r="W11" s="14">
        <v>0.36328255407445997</v>
      </c>
      <c r="X11" s="14">
        <v>0.256426096917725</v>
      </c>
      <c r="Y11" s="14">
        <v>0.55449548471134502</v>
      </c>
      <c r="Z11" s="14">
        <v>0.171143172139678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0.229081360451342</v>
      </c>
      <c r="AN11" s="14">
        <v>0.45252097044156497</v>
      </c>
    </row>
    <row r="12" spans="2:40" x14ac:dyDescent="0.35">
      <c r="B12" s="15" t="s">
        <v>169</v>
      </c>
      <c r="C12" s="14">
        <v>5.3452206178552897E-2</v>
      </c>
      <c r="D12" s="14">
        <v>5.1278446800230103E-2</v>
      </c>
      <c r="E12" s="14">
        <v>5.5430848838562599E-2</v>
      </c>
      <c r="F12" s="14"/>
      <c r="G12" s="14">
        <v>5.3452206178552897E-2</v>
      </c>
      <c r="H12" s="14" t="s">
        <v>76</v>
      </c>
      <c r="I12" s="14" t="s">
        <v>76</v>
      </c>
      <c r="J12" s="14"/>
      <c r="K12" s="14">
        <v>5.3452206178552897E-2</v>
      </c>
      <c r="L12" s="14" t="s">
        <v>76</v>
      </c>
      <c r="M12" s="14" t="s">
        <v>76</v>
      </c>
      <c r="N12" s="14"/>
      <c r="O12" s="14">
        <v>6.4725518358981798E-2</v>
      </c>
      <c r="P12" s="14">
        <v>0</v>
      </c>
      <c r="Q12" s="14"/>
      <c r="R12" s="14">
        <v>2.6588290860554802E-2</v>
      </c>
      <c r="S12" s="14">
        <v>0.123491059891051</v>
      </c>
      <c r="T12" s="14">
        <v>0.20344799333302899</v>
      </c>
      <c r="U12" s="14">
        <v>0</v>
      </c>
      <c r="V12" s="14">
        <v>5.4978089987347697E-2</v>
      </c>
      <c r="W12" s="14">
        <v>4.4949020287431501E-2</v>
      </c>
      <c r="X12" s="14">
        <v>0</v>
      </c>
      <c r="Y12" s="14">
        <v>0</v>
      </c>
      <c r="Z12" s="14">
        <v>5.3875912201016701E-2</v>
      </c>
      <c r="AA12" s="14"/>
      <c r="AB12" s="14" t="s">
        <v>76</v>
      </c>
      <c r="AC12" s="14" t="s">
        <v>76</v>
      </c>
      <c r="AD12" s="14" t="s">
        <v>76</v>
      </c>
      <c r="AE12" s="14" t="s">
        <v>76</v>
      </c>
      <c r="AF12" s="14"/>
      <c r="AG12" s="14" t="s">
        <v>76</v>
      </c>
      <c r="AH12" s="14" t="s">
        <v>76</v>
      </c>
      <c r="AI12" s="14"/>
      <c r="AJ12" s="14" t="s">
        <v>76</v>
      </c>
      <c r="AK12" s="14" t="s">
        <v>76</v>
      </c>
      <c r="AL12" s="14"/>
      <c r="AM12" s="14">
        <v>3.89430986509606E-2</v>
      </c>
      <c r="AN12" s="14">
        <v>0.19195447139437999</v>
      </c>
    </row>
    <row r="13" spans="2:40" x14ac:dyDescent="0.35">
      <c r="B13" s="15" t="s">
        <v>70</v>
      </c>
      <c r="C13" s="20">
        <v>2.4980962895828299E-2</v>
      </c>
      <c r="D13" s="20">
        <v>1.46592623428413E-2</v>
      </c>
      <c r="E13" s="20">
        <v>3.4376187243861898E-2</v>
      </c>
      <c r="F13" s="20"/>
      <c r="G13" s="20">
        <v>2.4980962895828299E-2</v>
      </c>
      <c r="H13" s="20" t="s">
        <v>76</v>
      </c>
      <c r="I13" s="20" t="s">
        <v>76</v>
      </c>
      <c r="J13" s="20"/>
      <c r="K13" s="20">
        <v>2.4980962895828299E-2</v>
      </c>
      <c r="L13" s="20" t="s">
        <v>76</v>
      </c>
      <c r="M13" s="20" t="s">
        <v>76</v>
      </c>
      <c r="N13" s="20"/>
      <c r="O13" s="20">
        <v>3.0249561021631701E-2</v>
      </c>
      <c r="P13" s="20">
        <v>0</v>
      </c>
      <c r="Q13" s="20"/>
      <c r="R13" s="20">
        <v>0</v>
      </c>
      <c r="S13" s="20">
        <v>6.0563324422346201E-2</v>
      </c>
      <c r="T13" s="20">
        <v>0.123245096857987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8.3292616329175895E-2</v>
      </c>
      <c r="AA13" s="20"/>
      <c r="AB13" s="20" t="s">
        <v>76</v>
      </c>
      <c r="AC13" s="20" t="s">
        <v>76</v>
      </c>
      <c r="AD13" s="20" t="s">
        <v>76</v>
      </c>
      <c r="AE13" s="20" t="s">
        <v>76</v>
      </c>
      <c r="AF13" s="20"/>
      <c r="AG13" s="20" t="s">
        <v>76</v>
      </c>
      <c r="AH13" s="20" t="s">
        <v>76</v>
      </c>
      <c r="AI13" s="20"/>
      <c r="AJ13" s="20" t="s">
        <v>76</v>
      </c>
      <c r="AK13" s="20" t="s">
        <v>76</v>
      </c>
      <c r="AL13" s="20"/>
      <c r="AM13" s="20">
        <v>3.3450136570005701E-2</v>
      </c>
      <c r="AN13" s="20">
        <v>0</v>
      </c>
    </row>
    <row r="14" spans="2:40" x14ac:dyDescent="0.35">
      <c r="B14" s="27" t="s">
        <v>198</v>
      </c>
    </row>
    <row r="15" spans="2:40" x14ac:dyDescent="0.35">
      <c r="B15" t="s">
        <v>72</v>
      </c>
    </row>
    <row r="16" spans="2:40" x14ac:dyDescent="0.35">
      <c r="B16" t="s">
        <v>73</v>
      </c>
    </row>
    <row r="18" spans="2:2" x14ac:dyDescent="0.35">
      <c r="B18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B2:AN16"/>
  <sheetViews>
    <sheetView showGridLines="0" workbookViewId="0">
      <pane xSplit="2" topLeftCell="C1" activePane="topRight" state="frozen"/>
      <selection pane="topRight" activeCell="B12" sqref="B12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191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429</v>
      </c>
      <c r="D7" s="10">
        <v>234</v>
      </c>
      <c r="E7" s="10">
        <v>195</v>
      </c>
      <c r="F7" s="10"/>
      <c r="G7" s="10">
        <v>429</v>
      </c>
      <c r="H7" s="10" t="s">
        <v>75</v>
      </c>
      <c r="I7" s="10" t="s">
        <v>75</v>
      </c>
      <c r="J7" s="10"/>
      <c r="K7" s="10">
        <v>429</v>
      </c>
      <c r="L7" s="10" t="s">
        <v>75</v>
      </c>
      <c r="M7" s="10" t="s">
        <v>75</v>
      </c>
      <c r="N7" s="10"/>
      <c r="O7" s="10">
        <v>381</v>
      </c>
      <c r="P7" s="10">
        <v>43</v>
      </c>
      <c r="Q7" s="10"/>
      <c r="R7" s="10">
        <v>68</v>
      </c>
      <c r="S7" s="10">
        <v>65</v>
      </c>
      <c r="T7" s="10">
        <v>43</v>
      </c>
      <c r="U7" s="10">
        <v>41</v>
      </c>
      <c r="V7" s="10">
        <v>41</v>
      </c>
      <c r="W7" s="10">
        <v>57</v>
      </c>
      <c r="X7" s="10">
        <v>28</v>
      </c>
      <c r="Y7" s="10">
        <v>21</v>
      </c>
      <c r="Z7" s="10">
        <v>65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301</v>
      </c>
      <c r="AN7" s="10">
        <v>63</v>
      </c>
    </row>
    <row r="8" spans="2:40" ht="30" customHeight="1" x14ac:dyDescent="0.35">
      <c r="B8" s="11" t="s">
        <v>20</v>
      </c>
      <c r="C8" s="11">
        <v>559</v>
      </c>
      <c r="D8" s="11">
        <v>295</v>
      </c>
      <c r="E8" s="11">
        <v>264</v>
      </c>
      <c r="F8" s="11"/>
      <c r="G8" s="11">
        <v>559</v>
      </c>
      <c r="H8" s="11" t="s">
        <v>75</v>
      </c>
      <c r="I8" s="11" t="s">
        <v>75</v>
      </c>
      <c r="J8" s="11"/>
      <c r="K8" s="11">
        <v>559</v>
      </c>
      <c r="L8" s="11" t="s">
        <v>75</v>
      </c>
      <c r="M8" s="11" t="s">
        <v>75</v>
      </c>
      <c r="N8" s="11"/>
      <c r="O8" s="11">
        <v>500</v>
      </c>
      <c r="P8" s="11">
        <v>53</v>
      </c>
      <c r="Q8" s="11"/>
      <c r="R8" s="11">
        <v>96</v>
      </c>
      <c r="S8" s="11">
        <v>78</v>
      </c>
      <c r="T8" s="11">
        <v>58</v>
      </c>
      <c r="U8" s="11">
        <v>62</v>
      </c>
      <c r="V8" s="11">
        <v>53</v>
      </c>
      <c r="W8" s="11">
        <v>57</v>
      </c>
      <c r="X8" s="11">
        <v>56</v>
      </c>
      <c r="Y8" s="11">
        <v>26</v>
      </c>
      <c r="Z8" s="11">
        <v>72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396</v>
      </c>
      <c r="AN8" s="11">
        <v>77</v>
      </c>
    </row>
    <row r="9" spans="2:40" x14ac:dyDescent="0.35">
      <c r="B9" s="15" t="s">
        <v>44</v>
      </c>
      <c r="C9" s="14">
        <v>0.67218942509700896</v>
      </c>
      <c r="D9" s="14">
        <v>0.64577857498570101</v>
      </c>
      <c r="E9" s="14">
        <v>0.70170088178677903</v>
      </c>
      <c r="F9" s="14"/>
      <c r="G9" s="14">
        <v>0.67218942509700896</v>
      </c>
      <c r="H9" s="14" t="s">
        <v>76</v>
      </c>
      <c r="I9" s="14" t="s">
        <v>76</v>
      </c>
      <c r="J9" s="14"/>
      <c r="K9" s="14">
        <v>0.67218942509700896</v>
      </c>
      <c r="L9" s="14" t="s">
        <v>76</v>
      </c>
      <c r="M9" s="14" t="s">
        <v>76</v>
      </c>
      <c r="N9" s="14"/>
      <c r="O9" s="14">
        <v>0.66625063343937596</v>
      </c>
      <c r="P9" s="14">
        <v>0.705034056004742</v>
      </c>
      <c r="Q9" s="14"/>
      <c r="R9" s="14">
        <v>0.69989332377829405</v>
      </c>
      <c r="S9" s="14">
        <v>0.70227748492070796</v>
      </c>
      <c r="T9" s="14">
        <v>0.64548525718102001</v>
      </c>
      <c r="U9" s="14">
        <v>0.68565582069556996</v>
      </c>
      <c r="V9" s="14">
        <v>0.72377698368596</v>
      </c>
      <c r="W9" s="14">
        <v>0.662822698380237</v>
      </c>
      <c r="X9" s="14">
        <v>0.51334189970657096</v>
      </c>
      <c r="Y9" s="14">
        <v>0.723749973057493</v>
      </c>
      <c r="Z9" s="14">
        <v>0.68723061631751303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0.71097825179840202</v>
      </c>
      <c r="AN9" s="14">
        <v>0.63940454219799403</v>
      </c>
    </row>
    <row r="10" spans="2:40" x14ac:dyDescent="0.35">
      <c r="B10" s="15" t="s">
        <v>45</v>
      </c>
      <c r="C10" s="14">
        <v>0.245069818119555</v>
      </c>
      <c r="D10" s="14">
        <v>0.25068614708572501</v>
      </c>
      <c r="E10" s="14">
        <v>0.238794137922133</v>
      </c>
      <c r="F10" s="14"/>
      <c r="G10" s="14">
        <v>0.245069818119555</v>
      </c>
      <c r="H10" s="14" t="s">
        <v>76</v>
      </c>
      <c r="I10" s="14" t="s">
        <v>76</v>
      </c>
      <c r="J10" s="14"/>
      <c r="K10" s="14">
        <v>0.245069818119555</v>
      </c>
      <c r="L10" s="14" t="s">
        <v>76</v>
      </c>
      <c r="M10" s="14" t="s">
        <v>76</v>
      </c>
      <c r="N10" s="14"/>
      <c r="O10" s="14">
        <v>0.24968331927557999</v>
      </c>
      <c r="P10" s="14">
        <v>0.23231575220106701</v>
      </c>
      <c r="Q10" s="14"/>
      <c r="R10" s="14">
        <v>0.276301143685107</v>
      </c>
      <c r="S10" s="14">
        <v>0.18519961308580499</v>
      </c>
      <c r="T10" s="14">
        <v>0.237742587186271</v>
      </c>
      <c r="U10" s="14">
        <v>0.21025609520333499</v>
      </c>
      <c r="V10" s="14">
        <v>0.17889380779154099</v>
      </c>
      <c r="W10" s="14">
        <v>0.246929153646408</v>
      </c>
      <c r="X10" s="14">
        <v>0.39891070589478</v>
      </c>
      <c r="Y10" s="14">
        <v>0.23921867342223599</v>
      </c>
      <c r="Z10" s="14">
        <v>0.23351912504929301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0.23437384262543801</v>
      </c>
      <c r="AN10" s="14">
        <v>0.223547800372835</v>
      </c>
    </row>
    <row r="11" spans="2:40" x14ac:dyDescent="0.35">
      <c r="B11" s="15" t="s">
        <v>70</v>
      </c>
      <c r="C11" s="20">
        <v>8.2740756783436203E-2</v>
      </c>
      <c r="D11" s="20">
        <v>0.103535277928575</v>
      </c>
      <c r="E11" s="20">
        <v>5.95049802910885E-2</v>
      </c>
      <c r="F11" s="20"/>
      <c r="G11" s="20">
        <v>8.2740756783436203E-2</v>
      </c>
      <c r="H11" s="20" t="s">
        <v>76</v>
      </c>
      <c r="I11" s="20" t="s">
        <v>76</v>
      </c>
      <c r="J11" s="20"/>
      <c r="K11" s="20">
        <v>8.2740756783436203E-2</v>
      </c>
      <c r="L11" s="20" t="s">
        <v>76</v>
      </c>
      <c r="M11" s="20" t="s">
        <v>76</v>
      </c>
      <c r="N11" s="20"/>
      <c r="O11" s="20">
        <v>8.4066047285044104E-2</v>
      </c>
      <c r="P11" s="20">
        <v>6.2650191794190596E-2</v>
      </c>
      <c r="Q11" s="20"/>
      <c r="R11" s="20">
        <v>2.3805532536599502E-2</v>
      </c>
      <c r="S11" s="20">
        <v>0.112522901993487</v>
      </c>
      <c r="T11" s="20">
        <v>0.116772155632709</v>
      </c>
      <c r="U11" s="20">
        <v>0.104088084101095</v>
      </c>
      <c r="V11" s="20">
        <v>9.7329208522499294E-2</v>
      </c>
      <c r="W11" s="20">
        <v>9.0248147973354995E-2</v>
      </c>
      <c r="X11" s="20">
        <v>8.7747394398648801E-2</v>
      </c>
      <c r="Y11" s="20">
        <v>3.7031353520270802E-2</v>
      </c>
      <c r="Z11" s="20">
        <v>7.9250258633194307E-2</v>
      </c>
      <c r="AA11" s="20"/>
      <c r="AB11" s="20" t="s">
        <v>76</v>
      </c>
      <c r="AC11" s="20" t="s">
        <v>76</v>
      </c>
      <c r="AD11" s="20" t="s">
        <v>76</v>
      </c>
      <c r="AE11" s="20" t="s">
        <v>76</v>
      </c>
      <c r="AF11" s="20"/>
      <c r="AG11" s="20" t="s">
        <v>76</v>
      </c>
      <c r="AH11" s="20" t="s">
        <v>76</v>
      </c>
      <c r="AI11" s="20"/>
      <c r="AJ11" s="20" t="s">
        <v>76</v>
      </c>
      <c r="AK11" s="20" t="s">
        <v>76</v>
      </c>
      <c r="AL11" s="20"/>
      <c r="AM11" s="20">
        <v>5.4647905576160803E-2</v>
      </c>
      <c r="AN11" s="20">
        <v>0.13704765742917099</v>
      </c>
    </row>
    <row r="12" spans="2:40" x14ac:dyDescent="0.35">
      <c r="B12" s="27" t="s">
        <v>173</v>
      </c>
    </row>
    <row r="13" spans="2:40" x14ac:dyDescent="0.35">
      <c r="B13" t="s">
        <v>72</v>
      </c>
    </row>
    <row r="14" spans="2:40" x14ac:dyDescent="0.35">
      <c r="B14" t="s">
        <v>73</v>
      </c>
    </row>
    <row r="16" spans="2:40" x14ac:dyDescent="0.35">
      <c r="B16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B2:AN18"/>
  <sheetViews>
    <sheetView showGridLines="0" workbookViewId="0">
      <pane xSplit="2" topLeftCell="C1" activePane="topRight" state="frozen"/>
      <selection pane="topRight" activeCell="B15" sqref="B15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192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293</v>
      </c>
      <c r="D7" s="10">
        <v>156</v>
      </c>
      <c r="E7" s="10">
        <v>137</v>
      </c>
      <c r="F7" s="10"/>
      <c r="G7" s="10">
        <v>293</v>
      </c>
      <c r="H7" s="10" t="s">
        <v>75</v>
      </c>
      <c r="I7" s="10" t="s">
        <v>75</v>
      </c>
      <c r="J7" s="10"/>
      <c r="K7" s="10">
        <v>293</v>
      </c>
      <c r="L7" s="10" t="s">
        <v>75</v>
      </c>
      <c r="M7" s="10" t="s">
        <v>75</v>
      </c>
      <c r="N7" s="10"/>
      <c r="O7" s="10">
        <v>258</v>
      </c>
      <c r="P7" s="10">
        <v>31</v>
      </c>
      <c r="Q7" s="10"/>
      <c r="R7" s="10">
        <v>48</v>
      </c>
      <c r="S7" s="10">
        <v>44</v>
      </c>
      <c r="T7" s="10">
        <v>28</v>
      </c>
      <c r="U7" s="10">
        <v>28</v>
      </c>
      <c r="V7" s="10">
        <v>29</v>
      </c>
      <c r="W7" s="10">
        <v>40</v>
      </c>
      <c r="X7" s="10">
        <v>16</v>
      </c>
      <c r="Y7" s="10">
        <v>15</v>
      </c>
      <c r="Z7" s="10">
        <v>45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216</v>
      </c>
      <c r="AN7" s="10">
        <v>41</v>
      </c>
    </row>
    <row r="8" spans="2:40" ht="30" customHeight="1" x14ac:dyDescent="0.35">
      <c r="B8" s="11" t="s">
        <v>20</v>
      </c>
      <c r="C8" s="11">
        <v>376</v>
      </c>
      <c r="D8" s="11">
        <v>190</v>
      </c>
      <c r="E8" s="11">
        <v>185</v>
      </c>
      <c r="F8" s="11"/>
      <c r="G8" s="11">
        <v>376</v>
      </c>
      <c r="H8" s="11" t="s">
        <v>75</v>
      </c>
      <c r="I8" s="11" t="s">
        <v>75</v>
      </c>
      <c r="J8" s="11"/>
      <c r="K8" s="11">
        <v>376</v>
      </c>
      <c r="L8" s="11" t="s">
        <v>75</v>
      </c>
      <c r="M8" s="11" t="s">
        <v>75</v>
      </c>
      <c r="N8" s="11"/>
      <c r="O8" s="11">
        <v>333</v>
      </c>
      <c r="P8" s="11">
        <v>37</v>
      </c>
      <c r="Q8" s="11"/>
      <c r="R8" s="11">
        <v>67</v>
      </c>
      <c r="S8" s="11">
        <v>55</v>
      </c>
      <c r="T8" s="11">
        <v>38</v>
      </c>
      <c r="U8" s="11">
        <v>42</v>
      </c>
      <c r="V8" s="11">
        <v>39</v>
      </c>
      <c r="W8" s="11">
        <v>38</v>
      </c>
      <c r="X8" s="11">
        <v>29</v>
      </c>
      <c r="Y8" s="11">
        <v>19</v>
      </c>
      <c r="Z8" s="11">
        <v>49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282</v>
      </c>
      <c r="AN8" s="11">
        <v>49</v>
      </c>
    </row>
    <row r="9" spans="2:40" x14ac:dyDescent="0.35">
      <c r="B9" s="15" t="s">
        <v>155</v>
      </c>
      <c r="C9" s="14">
        <v>0.22291600014224</v>
      </c>
      <c r="D9" s="14">
        <v>0.228256074369073</v>
      </c>
      <c r="E9" s="14">
        <v>0.217424548416357</v>
      </c>
      <c r="F9" s="14"/>
      <c r="G9" s="14">
        <v>0.22291600014224</v>
      </c>
      <c r="H9" s="14" t="s">
        <v>76</v>
      </c>
      <c r="I9" s="14" t="s">
        <v>76</v>
      </c>
      <c r="J9" s="14"/>
      <c r="K9" s="14">
        <v>0.22291600014224</v>
      </c>
      <c r="L9" s="14" t="s">
        <v>76</v>
      </c>
      <c r="M9" s="14" t="s">
        <v>76</v>
      </c>
      <c r="N9" s="14"/>
      <c r="O9" s="14">
        <v>0.21659622966646599</v>
      </c>
      <c r="P9" s="14">
        <v>0.28296035559729599</v>
      </c>
      <c r="Q9" s="14"/>
      <c r="R9" s="14">
        <v>0.27579493804030902</v>
      </c>
      <c r="S9" s="14">
        <v>7.9302300452590804E-2</v>
      </c>
      <c r="T9" s="14">
        <v>0.152662270142115</v>
      </c>
      <c r="U9" s="14">
        <v>0.35628975537137902</v>
      </c>
      <c r="V9" s="14">
        <v>0.26689041958569198</v>
      </c>
      <c r="W9" s="14">
        <v>0.251899924058965</v>
      </c>
      <c r="X9" s="14">
        <v>0.14074907126583</v>
      </c>
      <c r="Y9" s="14">
        <v>0.13916322992729699</v>
      </c>
      <c r="Z9" s="14">
        <v>0.27365215907912699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0.25328730556067502</v>
      </c>
      <c r="AN9" s="14">
        <v>8.6851921381977004E-2</v>
      </c>
    </row>
    <row r="10" spans="2:40" x14ac:dyDescent="0.35">
      <c r="B10" s="15" t="s">
        <v>156</v>
      </c>
      <c r="C10" s="14">
        <v>0.51572343999512904</v>
      </c>
      <c r="D10" s="14">
        <v>0.47069097709983498</v>
      </c>
      <c r="E10" s="14">
        <v>0.56203245848115302</v>
      </c>
      <c r="F10" s="14"/>
      <c r="G10" s="14">
        <v>0.51572343999512904</v>
      </c>
      <c r="H10" s="14" t="s">
        <v>76</v>
      </c>
      <c r="I10" s="14" t="s">
        <v>76</v>
      </c>
      <c r="J10" s="14"/>
      <c r="K10" s="14">
        <v>0.51572343999512904</v>
      </c>
      <c r="L10" s="14" t="s">
        <v>76</v>
      </c>
      <c r="M10" s="14" t="s">
        <v>76</v>
      </c>
      <c r="N10" s="14"/>
      <c r="O10" s="14">
        <v>0.50759944945660895</v>
      </c>
      <c r="P10" s="14">
        <v>0.63656575440863505</v>
      </c>
      <c r="Q10" s="14"/>
      <c r="R10" s="14">
        <v>0.58184896272141495</v>
      </c>
      <c r="S10" s="14">
        <v>0.67072059734931</v>
      </c>
      <c r="T10" s="14">
        <v>0.54355876837001604</v>
      </c>
      <c r="U10" s="14">
        <v>0.376495499137731</v>
      </c>
      <c r="V10" s="14">
        <v>0.41967881055138101</v>
      </c>
      <c r="W10" s="14">
        <v>0.47326955794199199</v>
      </c>
      <c r="X10" s="14">
        <v>0.53756328392620101</v>
      </c>
      <c r="Y10" s="14">
        <v>0.49451305210604002</v>
      </c>
      <c r="Z10" s="14">
        <v>0.454442514857618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0.50965698940640403</v>
      </c>
      <c r="AN10" s="14">
        <v>0.49474677246710203</v>
      </c>
    </row>
    <row r="11" spans="2:40" x14ac:dyDescent="0.35">
      <c r="B11" s="15" t="s">
        <v>157</v>
      </c>
      <c r="C11" s="14">
        <v>0.152565057242251</v>
      </c>
      <c r="D11" s="14">
        <v>0.18241586385181899</v>
      </c>
      <c r="E11" s="14">
        <v>0.121868056318286</v>
      </c>
      <c r="F11" s="14"/>
      <c r="G11" s="14">
        <v>0.152565057242251</v>
      </c>
      <c r="H11" s="14" t="s">
        <v>76</v>
      </c>
      <c r="I11" s="14" t="s">
        <v>76</v>
      </c>
      <c r="J11" s="14"/>
      <c r="K11" s="14">
        <v>0.152565057242251</v>
      </c>
      <c r="L11" s="14" t="s">
        <v>76</v>
      </c>
      <c r="M11" s="14" t="s">
        <v>76</v>
      </c>
      <c r="N11" s="14"/>
      <c r="O11" s="14">
        <v>0.16132527445860401</v>
      </c>
      <c r="P11" s="14">
        <v>4.9713903780667403E-2</v>
      </c>
      <c r="Q11" s="14"/>
      <c r="R11" s="14">
        <v>9.0405818600629601E-2</v>
      </c>
      <c r="S11" s="14">
        <v>0.22020616133847201</v>
      </c>
      <c r="T11" s="14">
        <v>0.105062173903955</v>
      </c>
      <c r="U11" s="14">
        <v>0.17137242175661799</v>
      </c>
      <c r="V11" s="14">
        <v>9.9937720108820294E-2</v>
      </c>
      <c r="W11" s="14">
        <v>0.15200056483049201</v>
      </c>
      <c r="X11" s="14">
        <v>0.18380680922476</v>
      </c>
      <c r="Y11" s="14">
        <v>0.19032917782957701</v>
      </c>
      <c r="Z11" s="14">
        <v>0.191098781951172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0.12918736518684901</v>
      </c>
      <c r="AN11" s="14">
        <v>0.25588373753722199</v>
      </c>
    </row>
    <row r="12" spans="2:40" x14ac:dyDescent="0.35">
      <c r="B12" s="15" t="s">
        <v>158</v>
      </c>
      <c r="C12" s="14">
        <v>6.9923190885619005E-2</v>
      </c>
      <c r="D12" s="14">
        <v>9.9198530403460702E-2</v>
      </c>
      <c r="E12" s="14">
        <v>3.9817970079273499E-2</v>
      </c>
      <c r="F12" s="14"/>
      <c r="G12" s="14">
        <v>6.9923190885619005E-2</v>
      </c>
      <c r="H12" s="14" t="s">
        <v>76</v>
      </c>
      <c r="I12" s="14" t="s">
        <v>76</v>
      </c>
      <c r="J12" s="14"/>
      <c r="K12" s="14">
        <v>6.9923190885619005E-2</v>
      </c>
      <c r="L12" s="14" t="s">
        <v>76</v>
      </c>
      <c r="M12" s="14" t="s">
        <v>76</v>
      </c>
      <c r="N12" s="14"/>
      <c r="O12" s="14">
        <v>7.0596882394753799E-2</v>
      </c>
      <c r="P12" s="14">
        <v>3.0759986213400599E-2</v>
      </c>
      <c r="Q12" s="14"/>
      <c r="R12" s="14">
        <v>3.4013091400470701E-2</v>
      </c>
      <c r="S12" s="14">
        <v>2.97709408596268E-2</v>
      </c>
      <c r="T12" s="14">
        <v>0.120352754329883</v>
      </c>
      <c r="U12" s="14">
        <v>6.8512096205431E-2</v>
      </c>
      <c r="V12" s="14">
        <v>0.158290606457655</v>
      </c>
      <c r="W12" s="14">
        <v>0.122829953168552</v>
      </c>
      <c r="X12" s="14">
        <v>8.5466815049390701E-2</v>
      </c>
      <c r="Y12" s="14">
        <v>0</v>
      </c>
      <c r="Z12" s="14">
        <v>3.43808695655832E-2</v>
      </c>
      <c r="AA12" s="14"/>
      <c r="AB12" s="14" t="s">
        <v>76</v>
      </c>
      <c r="AC12" s="14" t="s">
        <v>76</v>
      </c>
      <c r="AD12" s="14" t="s">
        <v>76</v>
      </c>
      <c r="AE12" s="14" t="s">
        <v>76</v>
      </c>
      <c r="AF12" s="14"/>
      <c r="AG12" s="14" t="s">
        <v>76</v>
      </c>
      <c r="AH12" s="14" t="s">
        <v>76</v>
      </c>
      <c r="AI12" s="14"/>
      <c r="AJ12" s="14" t="s">
        <v>76</v>
      </c>
      <c r="AK12" s="14" t="s">
        <v>76</v>
      </c>
      <c r="AL12" s="14"/>
      <c r="AM12" s="14">
        <v>6.3126035481285606E-2</v>
      </c>
      <c r="AN12" s="14">
        <v>0.122040288774228</v>
      </c>
    </row>
    <row r="13" spans="2:40" x14ac:dyDescent="0.35">
      <c r="B13" s="15" t="s">
        <v>70</v>
      </c>
      <c r="C13" s="20">
        <v>3.8872311734761002E-2</v>
      </c>
      <c r="D13" s="20">
        <v>1.9438554275811998E-2</v>
      </c>
      <c r="E13" s="20">
        <v>5.8856966704930097E-2</v>
      </c>
      <c r="F13" s="20"/>
      <c r="G13" s="20">
        <v>3.8872311734761002E-2</v>
      </c>
      <c r="H13" s="20" t="s">
        <v>76</v>
      </c>
      <c r="I13" s="20" t="s">
        <v>76</v>
      </c>
      <c r="J13" s="20"/>
      <c r="K13" s="20">
        <v>3.8872311734761002E-2</v>
      </c>
      <c r="L13" s="20" t="s">
        <v>76</v>
      </c>
      <c r="M13" s="20" t="s">
        <v>76</v>
      </c>
      <c r="N13" s="20"/>
      <c r="O13" s="20">
        <v>4.3882164023566303E-2</v>
      </c>
      <c r="P13" s="20">
        <v>0</v>
      </c>
      <c r="Q13" s="20"/>
      <c r="R13" s="20">
        <v>1.7937189237176202E-2</v>
      </c>
      <c r="S13" s="20">
        <v>0</v>
      </c>
      <c r="T13" s="20">
        <v>7.8364033254031795E-2</v>
      </c>
      <c r="U13" s="20">
        <v>2.73302275288415E-2</v>
      </c>
      <c r="V13" s="20">
        <v>5.5202443296450403E-2</v>
      </c>
      <c r="W13" s="20">
        <v>0</v>
      </c>
      <c r="X13" s="20">
        <v>5.2414020533817898E-2</v>
      </c>
      <c r="Y13" s="20">
        <v>0.17599454013708499</v>
      </c>
      <c r="Z13" s="20">
        <v>4.6425674546499297E-2</v>
      </c>
      <c r="AA13" s="20"/>
      <c r="AB13" s="20" t="s">
        <v>76</v>
      </c>
      <c r="AC13" s="20" t="s">
        <v>76</v>
      </c>
      <c r="AD13" s="20" t="s">
        <v>76</v>
      </c>
      <c r="AE13" s="20" t="s">
        <v>76</v>
      </c>
      <c r="AF13" s="20"/>
      <c r="AG13" s="20" t="s">
        <v>76</v>
      </c>
      <c r="AH13" s="20" t="s">
        <v>76</v>
      </c>
      <c r="AI13" s="20"/>
      <c r="AJ13" s="20" t="s">
        <v>76</v>
      </c>
      <c r="AK13" s="20" t="s">
        <v>76</v>
      </c>
      <c r="AL13" s="20"/>
      <c r="AM13" s="20">
        <v>4.4742304364787003E-2</v>
      </c>
      <c r="AN13" s="20">
        <v>4.0477279839470401E-2</v>
      </c>
    </row>
    <row r="14" spans="2:40" x14ac:dyDescent="0.35">
      <c r="B14" s="27" t="s">
        <v>202</v>
      </c>
    </row>
    <row r="15" spans="2:40" x14ac:dyDescent="0.35">
      <c r="B15" t="s">
        <v>72</v>
      </c>
    </row>
    <row r="16" spans="2:40" x14ac:dyDescent="0.35">
      <c r="B16" t="s">
        <v>73</v>
      </c>
    </row>
    <row r="18" spans="2:2" x14ac:dyDescent="0.35">
      <c r="B18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B2:AN19"/>
  <sheetViews>
    <sheetView showGridLines="0" workbookViewId="0">
      <pane xSplit="2" topLeftCell="C1" activePane="topRight" state="frozen"/>
      <selection pane="topRight" activeCell="AP14" sqref="AP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194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293</v>
      </c>
      <c r="D7" s="10">
        <v>156</v>
      </c>
      <c r="E7" s="10">
        <v>137</v>
      </c>
      <c r="F7" s="10"/>
      <c r="G7" s="10">
        <v>293</v>
      </c>
      <c r="H7" s="10" t="s">
        <v>75</v>
      </c>
      <c r="I7" s="10" t="s">
        <v>75</v>
      </c>
      <c r="J7" s="10"/>
      <c r="K7" s="10">
        <v>293</v>
      </c>
      <c r="L7" s="10" t="s">
        <v>75</v>
      </c>
      <c r="M7" s="10" t="s">
        <v>75</v>
      </c>
      <c r="N7" s="10"/>
      <c r="O7" s="10">
        <v>258</v>
      </c>
      <c r="P7" s="10">
        <v>31</v>
      </c>
      <c r="Q7" s="10"/>
      <c r="R7" s="10">
        <v>48</v>
      </c>
      <c r="S7" s="10">
        <v>44</v>
      </c>
      <c r="T7" s="10">
        <v>28</v>
      </c>
      <c r="U7" s="10">
        <v>28</v>
      </c>
      <c r="V7" s="10">
        <v>29</v>
      </c>
      <c r="W7" s="10">
        <v>40</v>
      </c>
      <c r="X7" s="10">
        <v>16</v>
      </c>
      <c r="Y7" s="10">
        <v>15</v>
      </c>
      <c r="Z7" s="10">
        <v>45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216</v>
      </c>
      <c r="AN7" s="10">
        <v>41</v>
      </c>
    </row>
    <row r="8" spans="2:40" ht="30" customHeight="1" x14ac:dyDescent="0.35">
      <c r="B8" s="11" t="s">
        <v>20</v>
      </c>
      <c r="C8" s="11">
        <v>376</v>
      </c>
      <c r="D8" s="11">
        <v>190</v>
      </c>
      <c r="E8" s="11">
        <v>185</v>
      </c>
      <c r="F8" s="11"/>
      <c r="G8" s="11">
        <v>376</v>
      </c>
      <c r="H8" s="11" t="s">
        <v>75</v>
      </c>
      <c r="I8" s="11" t="s">
        <v>75</v>
      </c>
      <c r="J8" s="11"/>
      <c r="K8" s="11">
        <v>376</v>
      </c>
      <c r="L8" s="11" t="s">
        <v>75</v>
      </c>
      <c r="M8" s="11" t="s">
        <v>75</v>
      </c>
      <c r="N8" s="11"/>
      <c r="O8" s="11">
        <v>333</v>
      </c>
      <c r="P8" s="11">
        <v>37</v>
      </c>
      <c r="Q8" s="11"/>
      <c r="R8" s="11">
        <v>67</v>
      </c>
      <c r="S8" s="11">
        <v>55</v>
      </c>
      <c r="T8" s="11">
        <v>38</v>
      </c>
      <c r="U8" s="11">
        <v>42</v>
      </c>
      <c r="V8" s="11">
        <v>39</v>
      </c>
      <c r="W8" s="11">
        <v>38</v>
      </c>
      <c r="X8" s="11">
        <v>29</v>
      </c>
      <c r="Y8" s="11">
        <v>19</v>
      </c>
      <c r="Z8" s="11">
        <v>49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282</v>
      </c>
      <c r="AN8" s="11">
        <v>49</v>
      </c>
    </row>
    <row r="9" spans="2:40" x14ac:dyDescent="0.35">
      <c r="B9" s="15" t="s">
        <v>160</v>
      </c>
      <c r="C9" s="14">
        <v>0.24378063934969399</v>
      </c>
      <c r="D9" s="14">
        <v>0.26170368979110198</v>
      </c>
      <c r="E9" s="14">
        <v>0.22534951609207801</v>
      </c>
      <c r="F9" s="14"/>
      <c r="G9" s="14">
        <v>0.24378063934969399</v>
      </c>
      <c r="H9" s="14" t="s">
        <v>76</v>
      </c>
      <c r="I9" s="14" t="s">
        <v>76</v>
      </c>
      <c r="J9" s="14"/>
      <c r="K9" s="14">
        <v>0.24378063934969399</v>
      </c>
      <c r="L9" s="14" t="s">
        <v>76</v>
      </c>
      <c r="M9" s="14" t="s">
        <v>76</v>
      </c>
      <c r="N9" s="14"/>
      <c r="O9" s="14">
        <v>0.23954470994325799</v>
      </c>
      <c r="P9" s="14">
        <v>0.28837731495712599</v>
      </c>
      <c r="Q9" s="14"/>
      <c r="R9" s="14">
        <v>0.26448358136273298</v>
      </c>
      <c r="S9" s="14">
        <v>0.174412031393721</v>
      </c>
      <c r="T9" s="14">
        <v>0.15014205956519</v>
      </c>
      <c r="U9" s="14">
        <v>0.24173185034140901</v>
      </c>
      <c r="V9" s="14">
        <v>0.222155139788586</v>
      </c>
      <c r="W9" s="14">
        <v>0.29786779452039203</v>
      </c>
      <c r="X9" s="14">
        <v>0.38032357774678099</v>
      </c>
      <c r="Y9" s="14">
        <v>0.18856350361200599</v>
      </c>
      <c r="Z9" s="14">
        <v>0.28292619378949901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0.29557250883812097</v>
      </c>
      <c r="AN9" s="14">
        <v>7.3408895264513996E-2</v>
      </c>
    </row>
    <row r="10" spans="2:40" x14ac:dyDescent="0.35">
      <c r="B10" s="15" t="s">
        <v>161</v>
      </c>
      <c r="C10" s="14">
        <v>0.57362496063290203</v>
      </c>
      <c r="D10" s="14">
        <v>0.57997844507700003</v>
      </c>
      <c r="E10" s="14">
        <v>0.567091371092031</v>
      </c>
      <c r="F10" s="14"/>
      <c r="G10" s="14">
        <v>0.57362496063290203</v>
      </c>
      <c r="H10" s="14" t="s">
        <v>76</v>
      </c>
      <c r="I10" s="14" t="s">
        <v>76</v>
      </c>
      <c r="J10" s="14"/>
      <c r="K10" s="14">
        <v>0.57362496063290203</v>
      </c>
      <c r="L10" s="14" t="s">
        <v>76</v>
      </c>
      <c r="M10" s="14" t="s">
        <v>76</v>
      </c>
      <c r="N10" s="14"/>
      <c r="O10" s="14">
        <v>0.572263610552317</v>
      </c>
      <c r="P10" s="14">
        <v>0.59495715615863598</v>
      </c>
      <c r="Q10" s="14"/>
      <c r="R10" s="14">
        <v>0.64452373949164599</v>
      </c>
      <c r="S10" s="14">
        <v>0.70225192142346204</v>
      </c>
      <c r="T10" s="14">
        <v>0.54173761056616498</v>
      </c>
      <c r="U10" s="14">
        <v>0.54571386067715799</v>
      </c>
      <c r="V10" s="14">
        <v>0.57982365358421994</v>
      </c>
      <c r="W10" s="14">
        <v>0.419782288266283</v>
      </c>
      <c r="X10" s="14">
        <v>0.52133643524190099</v>
      </c>
      <c r="Y10" s="14">
        <v>0.63422485742957702</v>
      </c>
      <c r="Z10" s="14">
        <v>0.502809059124952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0.58052032639141504</v>
      </c>
      <c r="AN10" s="14">
        <v>0.44375137977593498</v>
      </c>
    </row>
    <row r="11" spans="2:40" x14ac:dyDescent="0.35">
      <c r="B11" s="15" t="s">
        <v>162</v>
      </c>
      <c r="C11" s="14">
        <v>0.13909014472586401</v>
      </c>
      <c r="D11" s="14">
        <v>0.129647423496355</v>
      </c>
      <c r="E11" s="14">
        <v>0.148800543044349</v>
      </c>
      <c r="F11" s="14"/>
      <c r="G11" s="14">
        <v>0.13909014472586401</v>
      </c>
      <c r="H11" s="14" t="s">
        <v>76</v>
      </c>
      <c r="I11" s="14" t="s">
        <v>76</v>
      </c>
      <c r="J11" s="14"/>
      <c r="K11" s="14">
        <v>0.13909014472586401</v>
      </c>
      <c r="L11" s="14" t="s">
        <v>76</v>
      </c>
      <c r="M11" s="14" t="s">
        <v>76</v>
      </c>
      <c r="N11" s="14"/>
      <c r="O11" s="14">
        <v>0.14398206402348601</v>
      </c>
      <c r="P11" s="14">
        <v>0.11666552888423801</v>
      </c>
      <c r="Q11" s="14"/>
      <c r="R11" s="14">
        <v>7.3986135628326302E-2</v>
      </c>
      <c r="S11" s="14">
        <v>7.5307551694483499E-2</v>
      </c>
      <c r="T11" s="14">
        <v>0.16154964076717901</v>
      </c>
      <c r="U11" s="14">
        <v>0.212554288981433</v>
      </c>
      <c r="V11" s="14">
        <v>0.198021206627194</v>
      </c>
      <c r="W11" s="14">
        <v>0.178369223743055</v>
      </c>
      <c r="X11" s="14">
        <v>9.8339987011317895E-2</v>
      </c>
      <c r="Y11" s="14">
        <v>8.9214357077833803E-2</v>
      </c>
      <c r="Z11" s="14">
        <v>0.18548733278375401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9.1607653896477403E-2</v>
      </c>
      <c r="AN11" s="14">
        <v>0.41545497175863799</v>
      </c>
    </row>
    <row r="12" spans="2:40" x14ac:dyDescent="0.35">
      <c r="B12" s="15" t="s">
        <v>163</v>
      </c>
      <c r="C12" s="14">
        <v>1.56598258565992E-2</v>
      </c>
      <c r="D12" s="14">
        <v>6.0044781896463296E-3</v>
      </c>
      <c r="E12" s="14">
        <v>2.5588878030306701E-2</v>
      </c>
      <c r="F12" s="14"/>
      <c r="G12" s="14">
        <v>1.56598258565992E-2</v>
      </c>
      <c r="H12" s="14" t="s">
        <v>76</v>
      </c>
      <c r="I12" s="14" t="s">
        <v>76</v>
      </c>
      <c r="J12" s="14"/>
      <c r="K12" s="14">
        <v>1.56598258565992E-2</v>
      </c>
      <c r="L12" s="14" t="s">
        <v>76</v>
      </c>
      <c r="M12" s="14" t="s">
        <v>76</v>
      </c>
      <c r="N12" s="14"/>
      <c r="O12" s="14">
        <v>1.76780596818806E-2</v>
      </c>
      <c r="P12" s="14">
        <v>0</v>
      </c>
      <c r="Q12" s="14"/>
      <c r="R12" s="14">
        <v>1.70065435172949E-2</v>
      </c>
      <c r="S12" s="14">
        <v>0</v>
      </c>
      <c r="T12" s="14">
        <v>5.1941457626270601E-2</v>
      </c>
      <c r="U12" s="14">
        <v>0</v>
      </c>
      <c r="V12" s="14">
        <v>0</v>
      </c>
      <c r="W12" s="14">
        <v>3.5902038974784202E-2</v>
      </c>
      <c r="X12" s="14">
        <v>0</v>
      </c>
      <c r="Y12" s="14">
        <v>0</v>
      </c>
      <c r="Z12" s="14">
        <v>2.8777414301794198E-2</v>
      </c>
      <c r="AA12" s="14"/>
      <c r="AB12" s="14" t="s">
        <v>76</v>
      </c>
      <c r="AC12" s="14" t="s">
        <v>76</v>
      </c>
      <c r="AD12" s="14" t="s">
        <v>76</v>
      </c>
      <c r="AE12" s="14" t="s">
        <v>76</v>
      </c>
      <c r="AF12" s="14"/>
      <c r="AG12" s="14" t="s">
        <v>76</v>
      </c>
      <c r="AH12" s="14" t="s">
        <v>76</v>
      </c>
      <c r="AI12" s="14"/>
      <c r="AJ12" s="14" t="s">
        <v>76</v>
      </c>
      <c r="AK12" s="14" t="s">
        <v>76</v>
      </c>
      <c r="AL12" s="14"/>
      <c r="AM12" s="14">
        <v>9.0922993877893699E-3</v>
      </c>
      <c r="AN12" s="14">
        <v>6.7384753200912501E-2</v>
      </c>
    </row>
    <row r="13" spans="2:40" x14ac:dyDescent="0.35">
      <c r="B13" s="15" t="s">
        <v>70</v>
      </c>
      <c r="C13" s="21">
        <v>2.7844429434941E-2</v>
      </c>
      <c r="D13" s="21">
        <v>2.2665963445896699E-2</v>
      </c>
      <c r="E13" s="21">
        <v>3.3169691741235401E-2</v>
      </c>
      <c r="F13" s="21"/>
      <c r="G13" s="21">
        <v>2.7844429434941E-2</v>
      </c>
      <c r="H13" s="21" t="s">
        <v>76</v>
      </c>
      <c r="I13" s="21" t="s">
        <v>76</v>
      </c>
      <c r="J13" s="21"/>
      <c r="K13" s="21">
        <v>2.7844429434941E-2</v>
      </c>
      <c r="L13" s="21" t="s">
        <v>76</v>
      </c>
      <c r="M13" s="21" t="s">
        <v>76</v>
      </c>
      <c r="N13" s="21"/>
      <c r="O13" s="21">
        <v>2.6531555799057902E-2</v>
      </c>
      <c r="P13" s="21">
        <v>0</v>
      </c>
      <c r="Q13" s="21"/>
      <c r="R13" s="21">
        <v>0</v>
      </c>
      <c r="S13" s="21">
        <v>4.8028495488333399E-2</v>
      </c>
      <c r="T13" s="21">
        <v>9.4629231475195405E-2</v>
      </c>
      <c r="U13" s="21">
        <v>0</v>
      </c>
      <c r="V13" s="21">
        <v>0</v>
      </c>
      <c r="W13" s="21">
        <v>6.8078654495485794E-2</v>
      </c>
      <c r="X13" s="21">
        <v>0</v>
      </c>
      <c r="Y13" s="21">
        <v>8.7997281880582798E-2</v>
      </c>
      <c r="Z13" s="21">
        <v>0</v>
      </c>
      <c r="AA13" s="21"/>
      <c r="AB13" s="21" t="s">
        <v>76</v>
      </c>
      <c r="AC13" s="21" t="s">
        <v>76</v>
      </c>
      <c r="AD13" s="21" t="s">
        <v>76</v>
      </c>
      <c r="AE13" s="21" t="s">
        <v>76</v>
      </c>
      <c r="AF13" s="21"/>
      <c r="AG13" s="21" t="s">
        <v>76</v>
      </c>
      <c r="AH13" s="21" t="s">
        <v>76</v>
      </c>
      <c r="AI13" s="21"/>
      <c r="AJ13" s="21" t="s">
        <v>76</v>
      </c>
      <c r="AK13" s="21" t="s">
        <v>76</v>
      </c>
      <c r="AL13" s="21"/>
      <c r="AM13" s="21">
        <v>2.32072114861974E-2</v>
      </c>
      <c r="AN13" s="21">
        <v>0</v>
      </c>
    </row>
    <row r="14" spans="2:40" x14ac:dyDescent="0.35">
      <c r="B14" s="15" t="s">
        <v>164</v>
      </c>
      <c r="C14" s="30">
        <v>0.81740559998259599</v>
      </c>
      <c r="D14" s="30">
        <v>0.84168213486810195</v>
      </c>
      <c r="E14" s="30">
        <v>0.79244088718410899</v>
      </c>
      <c r="F14" s="30"/>
      <c r="G14" s="30">
        <v>0.81740559998259599</v>
      </c>
      <c r="H14" s="30" t="s">
        <v>76</v>
      </c>
      <c r="I14" s="30" t="s">
        <v>76</v>
      </c>
      <c r="J14" s="30"/>
      <c r="K14" s="30">
        <v>0.81740559998259599</v>
      </c>
      <c r="L14" s="30" t="s">
        <v>76</v>
      </c>
      <c r="M14" s="30" t="s">
        <v>76</v>
      </c>
      <c r="N14" s="30"/>
      <c r="O14" s="30">
        <v>0.81180832049557605</v>
      </c>
      <c r="P14" s="30">
        <v>0.88333447111576202</v>
      </c>
      <c r="Q14" s="30"/>
      <c r="R14" s="30">
        <v>0.90900732085437896</v>
      </c>
      <c r="S14" s="30">
        <v>0.87666395281718301</v>
      </c>
      <c r="T14" s="30">
        <v>0.69187967013135498</v>
      </c>
      <c r="U14" s="30">
        <v>0.78744571101856697</v>
      </c>
      <c r="V14" s="30">
        <v>0.80197879337280598</v>
      </c>
      <c r="W14" s="30">
        <v>0.71765008278667497</v>
      </c>
      <c r="X14" s="30">
        <v>0.90166001298868204</v>
      </c>
      <c r="Y14" s="30">
        <v>0.82278836104158304</v>
      </c>
      <c r="Z14" s="30">
        <v>0.78573525291445101</v>
      </c>
      <c r="AA14" s="30"/>
      <c r="AB14" s="30" t="s">
        <v>76</v>
      </c>
      <c r="AC14" s="30" t="s">
        <v>76</v>
      </c>
      <c r="AD14" s="30" t="s">
        <v>76</v>
      </c>
      <c r="AE14" s="30" t="s">
        <v>76</v>
      </c>
      <c r="AF14" s="30"/>
      <c r="AG14" s="30" t="s">
        <v>76</v>
      </c>
      <c r="AH14" s="30" t="s">
        <v>76</v>
      </c>
      <c r="AI14" s="30"/>
      <c r="AJ14" s="30" t="s">
        <v>76</v>
      </c>
      <c r="AK14" s="30" t="s">
        <v>76</v>
      </c>
      <c r="AL14" s="30"/>
      <c r="AM14" s="30">
        <v>0.87609283522953596</v>
      </c>
      <c r="AN14" s="30">
        <v>0.51716027504044904</v>
      </c>
    </row>
    <row r="15" spans="2:40" x14ac:dyDescent="0.35">
      <c r="B15" s="27" t="s">
        <v>202</v>
      </c>
    </row>
    <row r="16" spans="2:40" x14ac:dyDescent="0.35">
      <c r="B16" t="s">
        <v>72</v>
      </c>
    </row>
    <row r="17" spans="2:2" x14ac:dyDescent="0.35">
      <c r="B17" t="s">
        <v>73</v>
      </c>
    </row>
    <row r="19" spans="2:2" x14ac:dyDescent="0.35">
      <c r="B19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B2:AN18"/>
  <sheetViews>
    <sheetView showGridLines="0" workbookViewId="0">
      <pane xSplit="2" topLeftCell="C1" activePane="topRight" state="frozen"/>
      <selection pane="topRight" activeCell="B15" sqref="B15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195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293</v>
      </c>
      <c r="D7" s="10">
        <v>156</v>
      </c>
      <c r="E7" s="10">
        <v>137</v>
      </c>
      <c r="F7" s="10"/>
      <c r="G7" s="10">
        <v>293</v>
      </c>
      <c r="H7" s="10" t="s">
        <v>75</v>
      </c>
      <c r="I7" s="10" t="s">
        <v>75</v>
      </c>
      <c r="J7" s="10"/>
      <c r="K7" s="10">
        <v>293</v>
      </c>
      <c r="L7" s="10" t="s">
        <v>75</v>
      </c>
      <c r="M7" s="10" t="s">
        <v>75</v>
      </c>
      <c r="N7" s="10"/>
      <c r="O7" s="10">
        <v>258</v>
      </c>
      <c r="P7" s="10">
        <v>31</v>
      </c>
      <c r="Q7" s="10"/>
      <c r="R7" s="10">
        <v>48</v>
      </c>
      <c r="S7" s="10">
        <v>44</v>
      </c>
      <c r="T7" s="10">
        <v>28</v>
      </c>
      <c r="U7" s="10">
        <v>28</v>
      </c>
      <c r="V7" s="10">
        <v>29</v>
      </c>
      <c r="W7" s="10">
        <v>40</v>
      </c>
      <c r="X7" s="10">
        <v>16</v>
      </c>
      <c r="Y7" s="10">
        <v>15</v>
      </c>
      <c r="Z7" s="10">
        <v>45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216</v>
      </c>
      <c r="AN7" s="10">
        <v>41</v>
      </c>
    </row>
    <row r="8" spans="2:40" ht="30" customHeight="1" x14ac:dyDescent="0.35">
      <c r="B8" s="11" t="s">
        <v>20</v>
      </c>
      <c r="C8" s="11">
        <v>376</v>
      </c>
      <c r="D8" s="11">
        <v>190</v>
      </c>
      <c r="E8" s="11">
        <v>185</v>
      </c>
      <c r="F8" s="11"/>
      <c r="G8" s="11">
        <v>376</v>
      </c>
      <c r="H8" s="11" t="s">
        <v>75</v>
      </c>
      <c r="I8" s="11" t="s">
        <v>75</v>
      </c>
      <c r="J8" s="11"/>
      <c r="K8" s="11">
        <v>376</v>
      </c>
      <c r="L8" s="11" t="s">
        <v>75</v>
      </c>
      <c r="M8" s="11" t="s">
        <v>75</v>
      </c>
      <c r="N8" s="11"/>
      <c r="O8" s="11">
        <v>333</v>
      </c>
      <c r="P8" s="11">
        <v>37</v>
      </c>
      <c r="Q8" s="11"/>
      <c r="R8" s="11">
        <v>67</v>
      </c>
      <c r="S8" s="11">
        <v>55</v>
      </c>
      <c r="T8" s="11">
        <v>38</v>
      </c>
      <c r="U8" s="11">
        <v>42</v>
      </c>
      <c r="V8" s="11">
        <v>39</v>
      </c>
      <c r="W8" s="11">
        <v>38</v>
      </c>
      <c r="X8" s="11">
        <v>29</v>
      </c>
      <c r="Y8" s="11">
        <v>19</v>
      </c>
      <c r="Z8" s="11">
        <v>49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282</v>
      </c>
      <c r="AN8" s="11">
        <v>49</v>
      </c>
    </row>
    <row r="9" spans="2:40" x14ac:dyDescent="0.35">
      <c r="B9" s="15" t="s">
        <v>166</v>
      </c>
      <c r="C9" s="14">
        <v>0.274723778794427</v>
      </c>
      <c r="D9" s="14">
        <v>0.30399816378441202</v>
      </c>
      <c r="E9" s="14">
        <v>0.24461953957437099</v>
      </c>
      <c r="F9" s="14"/>
      <c r="G9" s="14">
        <v>0.274723778794427</v>
      </c>
      <c r="H9" s="14" t="s">
        <v>76</v>
      </c>
      <c r="I9" s="14" t="s">
        <v>76</v>
      </c>
      <c r="J9" s="14"/>
      <c r="K9" s="14">
        <v>0.274723778794427</v>
      </c>
      <c r="L9" s="14" t="s">
        <v>76</v>
      </c>
      <c r="M9" s="14" t="s">
        <v>76</v>
      </c>
      <c r="N9" s="14"/>
      <c r="O9" s="14">
        <v>0.26393729304200397</v>
      </c>
      <c r="P9" s="14">
        <v>0.38270611880621802</v>
      </c>
      <c r="Q9" s="14"/>
      <c r="R9" s="14">
        <v>0.351703112406763</v>
      </c>
      <c r="S9" s="14">
        <v>0.20418295995133801</v>
      </c>
      <c r="T9" s="14">
        <v>0.17047305415230199</v>
      </c>
      <c r="U9" s="14">
        <v>0.29205142239221299</v>
      </c>
      <c r="V9" s="14">
        <v>0.345820591295952</v>
      </c>
      <c r="W9" s="14">
        <v>0.25611735472924502</v>
      </c>
      <c r="X9" s="14">
        <v>0.32504131307258599</v>
      </c>
      <c r="Y9" s="14">
        <v>8.3431677461914794E-2</v>
      </c>
      <c r="Z9" s="14">
        <v>0.31639141289117501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0.33910368343867398</v>
      </c>
      <c r="AN9" s="14">
        <v>7.9063203407718205E-2</v>
      </c>
    </row>
    <row r="10" spans="2:40" x14ac:dyDescent="0.35">
      <c r="B10" s="15" t="s">
        <v>167</v>
      </c>
      <c r="C10" s="14">
        <v>0.50652234792822404</v>
      </c>
      <c r="D10" s="14">
        <v>0.498490333943645</v>
      </c>
      <c r="E10" s="14">
        <v>0.51478204904554303</v>
      </c>
      <c r="F10" s="14"/>
      <c r="G10" s="14">
        <v>0.50652234792822404</v>
      </c>
      <c r="H10" s="14" t="s">
        <v>76</v>
      </c>
      <c r="I10" s="14" t="s">
        <v>76</v>
      </c>
      <c r="J10" s="14"/>
      <c r="K10" s="14">
        <v>0.50652234792822404</v>
      </c>
      <c r="L10" s="14" t="s">
        <v>76</v>
      </c>
      <c r="M10" s="14" t="s">
        <v>76</v>
      </c>
      <c r="N10" s="14"/>
      <c r="O10" s="14">
        <v>0.51499682226056498</v>
      </c>
      <c r="P10" s="14">
        <v>0.47738069255953303</v>
      </c>
      <c r="Q10" s="14"/>
      <c r="R10" s="14">
        <v>0.49369878789139598</v>
      </c>
      <c r="S10" s="14">
        <v>0.62539977288672099</v>
      </c>
      <c r="T10" s="14">
        <v>0.52121441104845001</v>
      </c>
      <c r="U10" s="14">
        <v>0.56937638457677098</v>
      </c>
      <c r="V10" s="14">
        <v>0.48209720806440098</v>
      </c>
      <c r="W10" s="14">
        <v>0.375651505685135</v>
      </c>
      <c r="X10" s="14">
        <v>0.38994365599506398</v>
      </c>
      <c r="Y10" s="14">
        <v>0.50652118279575598</v>
      </c>
      <c r="Z10" s="14">
        <v>0.51456074234896698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0.52386618495551296</v>
      </c>
      <c r="AN10" s="14">
        <v>0.27192852712009802</v>
      </c>
    </row>
    <row r="11" spans="2:40" x14ac:dyDescent="0.35">
      <c r="B11" s="15" t="s">
        <v>168</v>
      </c>
      <c r="C11" s="14">
        <v>0.18159388328782</v>
      </c>
      <c r="D11" s="14">
        <v>0.1804746538999</v>
      </c>
      <c r="E11" s="14">
        <v>0.182744839977348</v>
      </c>
      <c r="F11" s="14"/>
      <c r="G11" s="14">
        <v>0.18159388328782</v>
      </c>
      <c r="H11" s="14" t="s">
        <v>76</v>
      </c>
      <c r="I11" s="14" t="s">
        <v>76</v>
      </c>
      <c r="J11" s="14"/>
      <c r="K11" s="14">
        <v>0.18159388328782</v>
      </c>
      <c r="L11" s="14" t="s">
        <v>76</v>
      </c>
      <c r="M11" s="14" t="s">
        <v>76</v>
      </c>
      <c r="N11" s="14"/>
      <c r="O11" s="14">
        <v>0.18401818159493599</v>
      </c>
      <c r="P11" s="14">
        <v>0.13991318863425001</v>
      </c>
      <c r="Q11" s="14"/>
      <c r="R11" s="14">
        <v>0.13759155618454599</v>
      </c>
      <c r="S11" s="14">
        <v>0.110875390932409</v>
      </c>
      <c r="T11" s="14">
        <v>0.22812735073403001</v>
      </c>
      <c r="U11" s="14">
        <v>0.13857219303101601</v>
      </c>
      <c r="V11" s="14">
        <v>0.14521606772965301</v>
      </c>
      <c r="W11" s="14">
        <v>0.28829397108489002</v>
      </c>
      <c r="X11" s="14">
        <v>0.229732770487033</v>
      </c>
      <c r="Y11" s="14">
        <v>0.41004713974232898</v>
      </c>
      <c r="Z11" s="14">
        <v>0.15139958480302801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0.127313563875739</v>
      </c>
      <c r="AN11" s="14">
        <v>0.45439201030292398</v>
      </c>
    </row>
    <row r="12" spans="2:40" x14ac:dyDescent="0.35">
      <c r="B12" s="15" t="s">
        <v>169</v>
      </c>
      <c r="C12" s="14">
        <v>3.2818114058451302E-2</v>
      </c>
      <c r="D12" s="14">
        <v>1.7036848372041901E-2</v>
      </c>
      <c r="E12" s="14">
        <v>4.9046738420037601E-2</v>
      </c>
      <c r="F12" s="14"/>
      <c r="G12" s="14">
        <v>3.2818114058451302E-2</v>
      </c>
      <c r="H12" s="14" t="s">
        <v>76</v>
      </c>
      <c r="I12" s="14" t="s">
        <v>76</v>
      </c>
      <c r="J12" s="14"/>
      <c r="K12" s="14">
        <v>3.2818114058451302E-2</v>
      </c>
      <c r="L12" s="14" t="s">
        <v>76</v>
      </c>
      <c r="M12" s="14" t="s">
        <v>76</v>
      </c>
      <c r="N12" s="14"/>
      <c r="O12" s="14">
        <v>3.7047703102495201E-2</v>
      </c>
      <c r="P12" s="14">
        <v>0</v>
      </c>
      <c r="Q12" s="14"/>
      <c r="R12" s="14">
        <v>1.70065435172949E-2</v>
      </c>
      <c r="S12" s="14">
        <v>2.9770935369904598E-2</v>
      </c>
      <c r="T12" s="14">
        <v>8.0185184065218004E-2</v>
      </c>
      <c r="U12" s="14">
        <v>0</v>
      </c>
      <c r="V12" s="14">
        <v>2.6866132909994601E-2</v>
      </c>
      <c r="W12" s="14">
        <v>7.9937168500730002E-2</v>
      </c>
      <c r="X12" s="14">
        <v>5.5282260445316901E-2</v>
      </c>
      <c r="Y12" s="14">
        <v>0</v>
      </c>
      <c r="Z12" s="14">
        <v>1.7648259956830101E-2</v>
      </c>
      <c r="AA12" s="14"/>
      <c r="AB12" s="14" t="s">
        <v>76</v>
      </c>
      <c r="AC12" s="14" t="s">
        <v>76</v>
      </c>
      <c r="AD12" s="14" t="s">
        <v>76</v>
      </c>
      <c r="AE12" s="14" t="s">
        <v>76</v>
      </c>
      <c r="AF12" s="14"/>
      <c r="AG12" s="14" t="s">
        <v>76</v>
      </c>
      <c r="AH12" s="14" t="s">
        <v>76</v>
      </c>
      <c r="AI12" s="14"/>
      <c r="AJ12" s="14" t="s">
        <v>76</v>
      </c>
      <c r="AK12" s="14" t="s">
        <v>76</v>
      </c>
      <c r="AL12" s="14"/>
      <c r="AM12" s="14">
        <v>9.7165677300744303E-3</v>
      </c>
      <c r="AN12" s="14">
        <v>0.19461625916926001</v>
      </c>
    </row>
    <row r="13" spans="2:40" x14ac:dyDescent="0.35">
      <c r="B13" s="15" t="s">
        <v>70</v>
      </c>
      <c r="C13" s="20">
        <v>4.3418759310775096E-3</v>
      </c>
      <c r="D13" s="20">
        <v>0</v>
      </c>
      <c r="E13" s="20">
        <v>8.8068329827005395E-3</v>
      </c>
      <c r="F13" s="20"/>
      <c r="G13" s="20">
        <v>4.3418759310775096E-3</v>
      </c>
      <c r="H13" s="20" t="s">
        <v>76</v>
      </c>
      <c r="I13" s="20" t="s">
        <v>76</v>
      </c>
      <c r="J13" s="20"/>
      <c r="K13" s="20">
        <v>4.3418759310775096E-3</v>
      </c>
      <c r="L13" s="20" t="s">
        <v>76</v>
      </c>
      <c r="M13" s="20" t="s">
        <v>76</v>
      </c>
      <c r="N13" s="20"/>
      <c r="O13" s="20">
        <v>0</v>
      </c>
      <c r="P13" s="20">
        <v>0</v>
      </c>
      <c r="Q13" s="20"/>
      <c r="R13" s="20">
        <v>0</v>
      </c>
      <c r="S13" s="20">
        <v>2.97709408596268E-2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/>
      <c r="AB13" s="20" t="s">
        <v>76</v>
      </c>
      <c r="AC13" s="20" t="s">
        <v>76</v>
      </c>
      <c r="AD13" s="20" t="s">
        <v>76</v>
      </c>
      <c r="AE13" s="20" t="s">
        <v>76</v>
      </c>
      <c r="AF13" s="20"/>
      <c r="AG13" s="20" t="s">
        <v>76</v>
      </c>
      <c r="AH13" s="20" t="s">
        <v>76</v>
      </c>
      <c r="AI13" s="20"/>
      <c r="AJ13" s="20" t="s">
        <v>76</v>
      </c>
      <c r="AK13" s="20" t="s">
        <v>76</v>
      </c>
      <c r="AL13" s="20"/>
      <c r="AM13" s="20">
        <v>0</v>
      </c>
      <c r="AN13" s="20">
        <v>0</v>
      </c>
    </row>
    <row r="14" spans="2:40" x14ac:dyDescent="0.35">
      <c r="B14" s="27" t="s">
        <v>202</v>
      </c>
    </row>
    <row r="15" spans="2:40" x14ac:dyDescent="0.35">
      <c r="B15" t="s">
        <v>72</v>
      </c>
    </row>
    <row r="16" spans="2:40" x14ac:dyDescent="0.35">
      <c r="B16" t="s">
        <v>73</v>
      </c>
    </row>
    <row r="18" spans="2:2" x14ac:dyDescent="0.35">
      <c r="B18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B2:AN16"/>
  <sheetViews>
    <sheetView showGridLines="0" workbookViewId="0">
      <pane xSplit="2" topLeftCell="C1" activePane="topRight" state="frozen"/>
      <selection pane="topRight" activeCell="B12" sqref="B12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196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429</v>
      </c>
      <c r="D7" s="10">
        <v>234</v>
      </c>
      <c r="E7" s="10">
        <v>195</v>
      </c>
      <c r="F7" s="10"/>
      <c r="G7" s="10">
        <v>429</v>
      </c>
      <c r="H7" s="10" t="s">
        <v>75</v>
      </c>
      <c r="I7" s="10" t="s">
        <v>75</v>
      </c>
      <c r="J7" s="10"/>
      <c r="K7" s="10">
        <v>429</v>
      </c>
      <c r="L7" s="10" t="s">
        <v>75</v>
      </c>
      <c r="M7" s="10" t="s">
        <v>75</v>
      </c>
      <c r="N7" s="10"/>
      <c r="O7" s="10">
        <v>381</v>
      </c>
      <c r="P7" s="10">
        <v>43</v>
      </c>
      <c r="Q7" s="10"/>
      <c r="R7" s="10">
        <v>68</v>
      </c>
      <c r="S7" s="10">
        <v>65</v>
      </c>
      <c r="T7" s="10">
        <v>43</v>
      </c>
      <c r="U7" s="10">
        <v>41</v>
      </c>
      <c r="V7" s="10">
        <v>41</v>
      </c>
      <c r="W7" s="10">
        <v>57</v>
      </c>
      <c r="X7" s="10">
        <v>28</v>
      </c>
      <c r="Y7" s="10">
        <v>21</v>
      </c>
      <c r="Z7" s="10">
        <v>65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301</v>
      </c>
      <c r="AN7" s="10">
        <v>63</v>
      </c>
    </row>
    <row r="8" spans="2:40" ht="30" customHeight="1" x14ac:dyDescent="0.35">
      <c r="B8" s="11" t="s">
        <v>20</v>
      </c>
      <c r="C8" s="11">
        <v>559</v>
      </c>
      <c r="D8" s="11">
        <v>295</v>
      </c>
      <c r="E8" s="11">
        <v>264</v>
      </c>
      <c r="F8" s="11"/>
      <c r="G8" s="11">
        <v>559</v>
      </c>
      <c r="H8" s="11" t="s">
        <v>75</v>
      </c>
      <c r="I8" s="11" t="s">
        <v>75</v>
      </c>
      <c r="J8" s="11"/>
      <c r="K8" s="11">
        <v>559</v>
      </c>
      <c r="L8" s="11" t="s">
        <v>75</v>
      </c>
      <c r="M8" s="11" t="s">
        <v>75</v>
      </c>
      <c r="N8" s="11"/>
      <c r="O8" s="11">
        <v>500</v>
      </c>
      <c r="P8" s="11">
        <v>53</v>
      </c>
      <c r="Q8" s="11"/>
      <c r="R8" s="11">
        <v>96</v>
      </c>
      <c r="S8" s="11">
        <v>78</v>
      </c>
      <c r="T8" s="11">
        <v>58</v>
      </c>
      <c r="U8" s="11">
        <v>62</v>
      </c>
      <c r="V8" s="11">
        <v>53</v>
      </c>
      <c r="W8" s="11">
        <v>57</v>
      </c>
      <c r="X8" s="11">
        <v>56</v>
      </c>
      <c r="Y8" s="11">
        <v>26</v>
      </c>
      <c r="Z8" s="11">
        <v>72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396</v>
      </c>
      <c r="AN8" s="11">
        <v>77</v>
      </c>
    </row>
    <row r="9" spans="2:40" x14ac:dyDescent="0.35">
      <c r="B9" s="15" t="s">
        <v>44</v>
      </c>
      <c r="C9" s="14">
        <v>0.63485726382184404</v>
      </c>
      <c r="D9" s="14">
        <v>0.62637926039430203</v>
      </c>
      <c r="E9" s="14">
        <v>0.64433057611255595</v>
      </c>
      <c r="F9" s="14"/>
      <c r="G9" s="14">
        <v>0.63485726382184404</v>
      </c>
      <c r="H9" s="14" t="s">
        <v>76</v>
      </c>
      <c r="I9" s="14" t="s">
        <v>76</v>
      </c>
      <c r="J9" s="14"/>
      <c r="K9" s="14">
        <v>0.63485726382184404</v>
      </c>
      <c r="L9" s="14" t="s">
        <v>76</v>
      </c>
      <c r="M9" s="14" t="s">
        <v>76</v>
      </c>
      <c r="N9" s="14"/>
      <c r="O9" s="14">
        <v>0.63022979918864597</v>
      </c>
      <c r="P9" s="14">
        <v>0.68149870881333996</v>
      </c>
      <c r="Q9" s="14"/>
      <c r="R9" s="14">
        <v>0.80233559579199798</v>
      </c>
      <c r="S9" s="14">
        <v>0.60708556792940505</v>
      </c>
      <c r="T9" s="14">
        <v>0.50250474932512501</v>
      </c>
      <c r="U9" s="14">
        <v>0.65556547834135503</v>
      </c>
      <c r="V9" s="14">
        <v>0.65289104991178903</v>
      </c>
      <c r="W9" s="14">
        <v>0.64520992770276797</v>
      </c>
      <c r="X9" s="14">
        <v>0.63688103161137699</v>
      </c>
      <c r="Y9" s="14">
        <v>0.56433207361555204</v>
      </c>
      <c r="Z9" s="14">
        <v>0.53354951993326005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0.66484176485430901</v>
      </c>
      <c r="AN9" s="14">
        <v>0.54848899886855396</v>
      </c>
    </row>
    <row r="10" spans="2:40" x14ac:dyDescent="0.35">
      <c r="B10" s="15" t="s">
        <v>45</v>
      </c>
      <c r="C10" s="14">
        <v>0.22545153524415301</v>
      </c>
      <c r="D10" s="14">
        <v>0.24834409918129999</v>
      </c>
      <c r="E10" s="14">
        <v>0.199871407898701</v>
      </c>
      <c r="F10" s="14"/>
      <c r="G10" s="14">
        <v>0.22545153524415301</v>
      </c>
      <c r="H10" s="14" t="s">
        <v>76</v>
      </c>
      <c r="I10" s="14" t="s">
        <v>76</v>
      </c>
      <c r="J10" s="14"/>
      <c r="K10" s="14">
        <v>0.22545153524415301</v>
      </c>
      <c r="L10" s="14" t="s">
        <v>76</v>
      </c>
      <c r="M10" s="14" t="s">
        <v>76</v>
      </c>
      <c r="N10" s="14"/>
      <c r="O10" s="14">
        <v>0.22353199882050501</v>
      </c>
      <c r="P10" s="14">
        <v>0.27210070346916798</v>
      </c>
      <c r="Q10" s="14"/>
      <c r="R10" s="14">
        <v>0.15379875096862999</v>
      </c>
      <c r="S10" s="14">
        <v>0.20388110668895301</v>
      </c>
      <c r="T10" s="14">
        <v>0.32574652582146701</v>
      </c>
      <c r="U10" s="14">
        <v>0.31220620829138401</v>
      </c>
      <c r="V10" s="14">
        <v>0.194867804952427</v>
      </c>
      <c r="W10" s="14">
        <v>0.18223525206645499</v>
      </c>
      <c r="X10" s="14">
        <v>0.17381199409489601</v>
      </c>
      <c r="Y10" s="14">
        <v>0.29589074819959399</v>
      </c>
      <c r="Z10" s="14">
        <v>0.26020891099674298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0.212965706360361</v>
      </c>
      <c r="AN10" s="14">
        <v>0.27063677524660201</v>
      </c>
    </row>
    <row r="11" spans="2:40" x14ac:dyDescent="0.35">
      <c r="B11" s="15" t="s">
        <v>70</v>
      </c>
      <c r="C11" s="20">
        <v>0.139691200934003</v>
      </c>
      <c r="D11" s="20">
        <v>0.12527664042439701</v>
      </c>
      <c r="E11" s="20">
        <v>0.15579801598874299</v>
      </c>
      <c r="F11" s="20"/>
      <c r="G11" s="20">
        <v>0.139691200934003</v>
      </c>
      <c r="H11" s="20" t="s">
        <v>76</v>
      </c>
      <c r="I11" s="20" t="s">
        <v>76</v>
      </c>
      <c r="J11" s="20"/>
      <c r="K11" s="20">
        <v>0.139691200934003</v>
      </c>
      <c r="L11" s="20" t="s">
        <v>76</v>
      </c>
      <c r="M11" s="20" t="s">
        <v>76</v>
      </c>
      <c r="N11" s="20"/>
      <c r="O11" s="20">
        <v>0.146238201990848</v>
      </c>
      <c r="P11" s="20">
        <v>4.6400587717491601E-2</v>
      </c>
      <c r="Q11" s="20"/>
      <c r="R11" s="20">
        <v>4.3865653239371902E-2</v>
      </c>
      <c r="S11" s="20">
        <v>0.189033325381642</v>
      </c>
      <c r="T11" s="20">
        <v>0.171748724853408</v>
      </c>
      <c r="U11" s="20">
        <v>3.22283133672615E-2</v>
      </c>
      <c r="V11" s="20">
        <v>0.15224114513578399</v>
      </c>
      <c r="W11" s="20">
        <v>0.17255482023077701</v>
      </c>
      <c r="X11" s="20">
        <v>0.189306974293727</v>
      </c>
      <c r="Y11" s="20">
        <v>0.139777178184854</v>
      </c>
      <c r="Z11" s="20">
        <v>0.20624156906999699</v>
      </c>
      <c r="AA11" s="20"/>
      <c r="AB11" s="20" t="s">
        <v>76</v>
      </c>
      <c r="AC11" s="20" t="s">
        <v>76</v>
      </c>
      <c r="AD11" s="20" t="s">
        <v>76</v>
      </c>
      <c r="AE11" s="20" t="s">
        <v>76</v>
      </c>
      <c r="AF11" s="20"/>
      <c r="AG11" s="20" t="s">
        <v>76</v>
      </c>
      <c r="AH11" s="20" t="s">
        <v>76</v>
      </c>
      <c r="AI11" s="20"/>
      <c r="AJ11" s="20" t="s">
        <v>76</v>
      </c>
      <c r="AK11" s="20" t="s">
        <v>76</v>
      </c>
      <c r="AL11" s="20"/>
      <c r="AM11" s="20">
        <v>0.12219252878533</v>
      </c>
      <c r="AN11" s="20">
        <v>0.180874225884844</v>
      </c>
    </row>
    <row r="12" spans="2:40" x14ac:dyDescent="0.35">
      <c r="B12" s="27" t="s">
        <v>173</v>
      </c>
    </row>
    <row r="13" spans="2:40" x14ac:dyDescent="0.35">
      <c r="B13" t="s">
        <v>72</v>
      </c>
    </row>
    <row r="14" spans="2:40" x14ac:dyDescent="0.35">
      <c r="B14" t="s">
        <v>73</v>
      </c>
    </row>
    <row r="16" spans="2:40" x14ac:dyDescent="0.35">
      <c r="B16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B2:AN18"/>
  <sheetViews>
    <sheetView showGridLines="0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197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276</v>
      </c>
      <c r="D7" s="10">
        <v>147</v>
      </c>
      <c r="E7" s="10">
        <v>129</v>
      </c>
      <c r="F7" s="10"/>
      <c r="G7" s="10">
        <v>276</v>
      </c>
      <c r="H7" s="10" t="s">
        <v>75</v>
      </c>
      <c r="I7" s="10" t="s">
        <v>75</v>
      </c>
      <c r="J7" s="10"/>
      <c r="K7" s="10">
        <v>276</v>
      </c>
      <c r="L7" s="10" t="s">
        <v>75</v>
      </c>
      <c r="M7" s="10" t="s">
        <v>75</v>
      </c>
      <c r="N7" s="10"/>
      <c r="O7" s="10">
        <v>244</v>
      </c>
      <c r="P7" s="10">
        <v>29</v>
      </c>
      <c r="Q7" s="10"/>
      <c r="R7" s="10">
        <v>54</v>
      </c>
      <c r="S7" s="10">
        <v>41</v>
      </c>
      <c r="T7" s="10">
        <v>23</v>
      </c>
      <c r="U7" s="10">
        <v>29</v>
      </c>
      <c r="V7" s="10">
        <v>26</v>
      </c>
      <c r="W7" s="10">
        <v>37</v>
      </c>
      <c r="X7" s="10">
        <v>18</v>
      </c>
      <c r="Y7" s="10">
        <v>12</v>
      </c>
      <c r="Z7" s="10">
        <v>36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202</v>
      </c>
      <c r="AN7" s="10">
        <v>36</v>
      </c>
    </row>
    <row r="8" spans="2:40" ht="30" customHeight="1" x14ac:dyDescent="0.35">
      <c r="B8" s="11" t="s">
        <v>20</v>
      </c>
      <c r="C8" s="11">
        <v>355</v>
      </c>
      <c r="D8" s="11">
        <v>185</v>
      </c>
      <c r="E8" s="11">
        <v>170</v>
      </c>
      <c r="F8" s="11"/>
      <c r="G8" s="11">
        <v>355</v>
      </c>
      <c r="H8" s="11" t="s">
        <v>75</v>
      </c>
      <c r="I8" s="11" t="s">
        <v>75</v>
      </c>
      <c r="J8" s="11"/>
      <c r="K8" s="11">
        <v>355</v>
      </c>
      <c r="L8" s="11" t="s">
        <v>75</v>
      </c>
      <c r="M8" s="11" t="s">
        <v>75</v>
      </c>
      <c r="N8" s="11"/>
      <c r="O8" s="11">
        <v>315</v>
      </c>
      <c r="P8" s="11">
        <v>36</v>
      </c>
      <c r="Q8" s="11"/>
      <c r="R8" s="11">
        <v>77</v>
      </c>
      <c r="S8" s="11">
        <v>47</v>
      </c>
      <c r="T8" s="11">
        <v>29</v>
      </c>
      <c r="U8" s="11">
        <v>40</v>
      </c>
      <c r="V8" s="11">
        <v>35</v>
      </c>
      <c r="W8" s="11">
        <v>37</v>
      </c>
      <c r="X8" s="11">
        <v>36</v>
      </c>
      <c r="Y8" s="11">
        <v>15</v>
      </c>
      <c r="Z8" s="11">
        <v>38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264</v>
      </c>
      <c r="AN8" s="11">
        <v>42</v>
      </c>
    </row>
    <row r="9" spans="2:40" x14ac:dyDescent="0.35">
      <c r="B9" s="15" t="s">
        <v>155</v>
      </c>
      <c r="C9" s="14">
        <v>0.19049237551075801</v>
      </c>
      <c r="D9" s="14">
        <v>0.18615594973366301</v>
      </c>
      <c r="E9" s="14">
        <v>0.195202895081725</v>
      </c>
      <c r="F9" s="14"/>
      <c r="G9" s="14">
        <v>0.19049237551075801</v>
      </c>
      <c r="H9" s="14" t="s">
        <v>76</v>
      </c>
      <c r="I9" s="14" t="s">
        <v>76</v>
      </c>
      <c r="J9" s="14"/>
      <c r="K9" s="14">
        <v>0.19049237551075801</v>
      </c>
      <c r="L9" s="14" t="s">
        <v>76</v>
      </c>
      <c r="M9" s="14" t="s">
        <v>76</v>
      </c>
      <c r="N9" s="14"/>
      <c r="O9" s="14">
        <v>0.17023665341080499</v>
      </c>
      <c r="P9" s="14">
        <v>0.357718529339068</v>
      </c>
      <c r="Q9" s="14"/>
      <c r="R9" s="14">
        <v>0.32157979201677001</v>
      </c>
      <c r="S9" s="14">
        <v>0.15649089953470999</v>
      </c>
      <c r="T9" s="14">
        <v>0.16017403509377101</v>
      </c>
      <c r="U9" s="14">
        <v>0.120817876973272</v>
      </c>
      <c r="V9" s="14">
        <v>0.13385704488254299</v>
      </c>
      <c r="W9" s="14">
        <v>0.23900914650181301</v>
      </c>
      <c r="X9" s="14">
        <v>7.7343877383382206E-2</v>
      </c>
      <c r="Y9" s="14">
        <v>0.10700025240163499</v>
      </c>
      <c r="Z9" s="14">
        <v>0.20833193384038001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0.224879374659256</v>
      </c>
      <c r="AN9" s="14">
        <v>0.112927328661933</v>
      </c>
    </row>
    <row r="10" spans="2:40" x14ac:dyDescent="0.35">
      <c r="B10" s="15" t="s">
        <v>156</v>
      </c>
      <c r="C10" s="14">
        <v>0.57107805092187003</v>
      </c>
      <c r="D10" s="14">
        <v>0.53187599120672002</v>
      </c>
      <c r="E10" s="14">
        <v>0.613661985019337</v>
      </c>
      <c r="F10" s="14"/>
      <c r="G10" s="14">
        <v>0.57107805092187003</v>
      </c>
      <c r="H10" s="14" t="s">
        <v>76</v>
      </c>
      <c r="I10" s="14" t="s">
        <v>76</v>
      </c>
      <c r="J10" s="14"/>
      <c r="K10" s="14">
        <v>0.57107805092187003</v>
      </c>
      <c r="L10" s="14" t="s">
        <v>76</v>
      </c>
      <c r="M10" s="14" t="s">
        <v>76</v>
      </c>
      <c r="N10" s="14"/>
      <c r="O10" s="14">
        <v>0.60671926760445005</v>
      </c>
      <c r="P10" s="14">
        <v>0.32370319158662503</v>
      </c>
      <c r="Q10" s="14"/>
      <c r="R10" s="14">
        <v>0.56278352198252302</v>
      </c>
      <c r="S10" s="14">
        <v>0.58767850078560802</v>
      </c>
      <c r="T10" s="14">
        <v>0.63157631255389701</v>
      </c>
      <c r="U10" s="14">
        <v>0.46639206004508099</v>
      </c>
      <c r="V10" s="14">
        <v>0.70353063546956995</v>
      </c>
      <c r="W10" s="14">
        <v>0.44771461521705502</v>
      </c>
      <c r="X10" s="14">
        <v>0.58316838050408304</v>
      </c>
      <c r="Y10" s="14">
        <v>0.71296347675385296</v>
      </c>
      <c r="Z10" s="14">
        <v>0.56350843358062697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0.55886556106072205</v>
      </c>
      <c r="AN10" s="14">
        <v>0.59257870030076598</v>
      </c>
    </row>
    <row r="11" spans="2:40" x14ac:dyDescent="0.35">
      <c r="B11" s="15" t="s">
        <v>157</v>
      </c>
      <c r="C11" s="14">
        <v>0.17944145812613399</v>
      </c>
      <c r="D11" s="14">
        <v>0.22313322252889201</v>
      </c>
      <c r="E11" s="14">
        <v>0.13198050251695401</v>
      </c>
      <c r="F11" s="14"/>
      <c r="G11" s="14">
        <v>0.17944145812613399</v>
      </c>
      <c r="H11" s="14" t="s">
        <v>76</v>
      </c>
      <c r="I11" s="14" t="s">
        <v>76</v>
      </c>
      <c r="J11" s="14"/>
      <c r="K11" s="14">
        <v>0.17944145812613399</v>
      </c>
      <c r="L11" s="14" t="s">
        <v>76</v>
      </c>
      <c r="M11" s="14" t="s">
        <v>76</v>
      </c>
      <c r="N11" s="14"/>
      <c r="O11" s="14">
        <v>0.16584416684912301</v>
      </c>
      <c r="P11" s="14">
        <v>0.28675600624792702</v>
      </c>
      <c r="Q11" s="14"/>
      <c r="R11" s="14">
        <v>8.5154567985917001E-2</v>
      </c>
      <c r="S11" s="14">
        <v>0.19356531642286801</v>
      </c>
      <c r="T11" s="14">
        <v>0.11082557511532599</v>
      </c>
      <c r="U11" s="14">
        <v>0.24182339172852499</v>
      </c>
      <c r="V11" s="14">
        <v>7.9977371714131704E-2</v>
      </c>
      <c r="W11" s="14">
        <v>0.278307717146205</v>
      </c>
      <c r="X11" s="14">
        <v>0.33948774211253502</v>
      </c>
      <c r="Y11" s="14">
        <v>0.18003627084451199</v>
      </c>
      <c r="Z11" s="14">
        <v>0.18387585891156699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0.16718425467503001</v>
      </c>
      <c r="AN11" s="14">
        <v>0.14641719938883499</v>
      </c>
    </row>
    <row r="12" spans="2:40" x14ac:dyDescent="0.35">
      <c r="B12" s="15" t="s">
        <v>158</v>
      </c>
      <c r="C12" s="14">
        <v>3.8158906859964703E-2</v>
      </c>
      <c r="D12" s="14">
        <v>4.8114509463804203E-2</v>
      </c>
      <c r="E12" s="14">
        <v>2.73444565922242E-2</v>
      </c>
      <c r="F12" s="14"/>
      <c r="G12" s="14">
        <v>3.8158906859964703E-2</v>
      </c>
      <c r="H12" s="14" t="s">
        <v>76</v>
      </c>
      <c r="I12" s="14" t="s">
        <v>76</v>
      </c>
      <c r="J12" s="14"/>
      <c r="K12" s="14">
        <v>3.8158906859964703E-2</v>
      </c>
      <c r="L12" s="14" t="s">
        <v>76</v>
      </c>
      <c r="M12" s="14" t="s">
        <v>76</v>
      </c>
      <c r="N12" s="14"/>
      <c r="O12" s="14">
        <v>3.3722860534535902E-2</v>
      </c>
      <c r="P12" s="14">
        <v>3.1822272826379998E-2</v>
      </c>
      <c r="Q12" s="14"/>
      <c r="R12" s="14">
        <v>1.4835150511054201E-2</v>
      </c>
      <c r="S12" s="14">
        <v>6.2265283256813901E-2</v>
      </c>
      <c r="T12" s="14">
        <v>5.9158644143006298E-2</v>
      </c>
      <c r="U12" s="14">
        <v>9.3220901170325096E-2</v>
      </c>
      <c r="V12" s="14">
        <v>5.1222096948787502E-2</v>
      </c>
      <c r="W12" s="14">
        <v>3.4968521134926697E-2</v>
      </c>
      <c r="X12" s="14">
        <v>0</v>
      </c>
      <c r="Y12" s="14">
        <v>0</v>
      </c>
      <c r="Z12" s="14">
        <v>2.2731581819399199E-2</v>
      </c>
      <c r="AA12" s="14"/>
      <c r="AB12" s="14" t="s">
        <v>76</v>
      </c>
      <c r="AC12" s="14" t="s">
        <v>76</v>
      </c>
      <c r="AD12" s="14" t="s">
        <v>76</v>
      </c>
      <c r="AE12" s="14" t="s">
        <v>76</v>
      </c>
      <c r="AF12" s="14"/>
      <c r="AG12" s="14" t="s">
        <v>76</v>
      </c>
      <c r="AH12" s="14" t="s">
        <v>76</v>
      </c>
      <c r="AI12" s="14"/>
      <c r="AJ12" s="14" t="s">
        <v>76</v>
      </c>
      <c r="AK12" s="14" t="s">
        <v>76</v>
      </c>
      <c r="AL12" s="14"/>
      <c r="AM12" s="14">
        <v>2.94358144135063E-2</v>
      </c>
      <c r="AN12" s="14">
        <v>9.5650297444378404E-2</v>
      </c>
    </row>
    <row r="13" spans="2:40" x14ac:dyDescent="0.35">
      <c r="B13" s="15" t="s">
        <v>70</v>
      </c>
      <c r="C13" s="20">
        <v>2.0829208581273601E-2</v>
      </c>
      <c r="D13" s="20">
        <v>1.0720327066921101E-2</v>
      </c>
      <c r="E13" s="20">
        <v>3.1810160789760102E-2</v>
      </c>
      <c r="F13" s="20"/>
      <c r="G13" s="20">
        <v>2.0829208581273601E-2</v>
      </c>
      <c r="H13" s="20" t="s">
        <v>76</v>
      </c>
      <c r="I13" s="20" t="s">
        <v>76</v>
      </c>
      <c r="J13" s="20"/>
      <c r="K13" s="20">
        <v>2.0829208581273601E-2</v>
      </c>
      <c r="L13" s="20" t="s">
        <v>76</v>
      </c>
      <c r="M13" s="20" t="s">
        <v>76</v>
      </c>
      <c r="N13" s="20"/>
      <c r="O13" s="20">
        <v>2.3477051601085298E-2</v>
      </c>
      <c r="P13" s="20">
        <v>0</v>
      </c>
      <c r="Q13" s="20"/>
      <c r="R13" s="20">
        <v>1.5646967503735301E-2</v>
      </c>
      <c r="S13" s="20">
        <v>0</v>
      </c>
      <c r="T13" s="20">
        <v>3.8265433094000302E-2</v>
      </c>
      <c r="U13" s="20">
        <v>7.7745770082797205E-2</v>
      </c>
      <c r="V13" s="20">
        <v>3.1412850984967697E-2</v>
      </c>
      <c r="W13" s="20">
        <v>0</v>
      </c>
      <c r="X13" s="20">
        <v>0</v>
      </c>
      <c r="Y13" s="20">
        <v>0</v>
      </c>
      <c r="Z13" s="20">
        <v>2.1552191848025901E-2</v>
      </c>
      <c r="AA13" s="20"/>
      <c r="AB13" s="20" t="s">
        <v>76</v>
      </c>
      <c r="AC13" s="20" t="s">
        <v>76</v>
      </c>
      <c r="AD13" s="20" t="s">
        <v>76</v>
      </c>
      <c r="AE13" s="20" t="s">
        <v>76</v>
      </c>
      <c r="AF13" s="20"/>
      <c r="AG13" s="20" t="s">
        <v>76</v>
      </c>
      <c r="AH13" s="20" t="s">
        <v>76</v>
      </c>
      <c r="AI13" s="20"/>
      <c r="AJ13" s="20" t="s">
        <v>76</v>
      </c>
      <c r="AK13" s="20" t="s">
        <v>76</v>
      </c>
      <c r="AL13" s="20"/>
      <c r="AM13" s="20">
        <v>1.9634995191484698E-2</v>
      </c>
      <c r="AN13" s="20">
        <v>5.2426474204088302E-2</v>
      </c>
    </row>
    <row r="14" spans="2:40" x14ac:dyDescent="0.35">
      <c r="B14" s="27" t="s">
        <v>204</v>
      </c>
    </row>
    <row r="15" spans="2:40" x14ac:dyDescent="0.35">
      <c r="B15" t="s">
        <v>72</v>
      </c>
    </row>
    <row r="16" spans="2:40" x14ac:dyDescent="0.35">
      <c r="B16" t="s">
        <v>73</v>
      </c>
    </row>
    <row r="18" spans="2:2" x14ac:dyDescent="0.35">
      <c r="B18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B2:AN19"/>
  <sheetViews>
    <sheetView showGridLines="0" workbookViewId="0">
      <pane xSplit="2" topLeftCell="C1" activePane="topRight" state="frozen"/>
      <selection pane="topRight" activeCell="C18" sqref="C18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199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276</v>
      </c>
      <c r="D7" s="10">
        <v>147</v>
      </c>
      <c r="E7" s="10">
        <v>129</v>
      </c>
      <c r="F7" s="10"/>
      <c r="G7" s="10">
        <v>276</v>
      </c>
      <c r="H7" s="10" t="s">
        <v>75</v>
      </c>
      <c r="I7" s="10" t="s">
        <v>75</v>
      </c>
      <c r="J7" s="10"/>
      <c r="K7" s="10">
        <v>276</v>
      </c>
      <c r="L7" s="10" t="s">
        <v>75</v>
      </c>
      <c r="M7" s="10" t="s">
        <v>75</v>
      </c>
      <c r="N7" s="10"/>
      <c r="O7" s="10">
        <v>244</v>
      </c>
      <c r="P7" s="10">
        <v>29</v>
      </c>
      <c r="Q7" s="10"/>
      <c r="R7" s="10">
        <v>54</v>
      </c>
      <c r="S7" s="10">
        <v>41</v>
      </c>
      <c r="T7" s="10">
        <v>23</v>
      </c>
      <c r="U7" s="10">
        <v>29</v>
      </c>
      <c r="V7" s="10">
        <v>26</v>
      </c>
      <c r="W7" s="10">
        <v>37</v>
      </c>
      <c r="X7" s="10">
        <v>18</v>
      </c>
      <c r="Y7" s="10">
        <v>12</v>
      </c>
      <c r="Z7" s="10">
        <v>36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202</v>
      </c>
      <c r="AN7" s="10">
        <v>36</v>
      </c>
    </row>
    <row r="8" spans="2:40" ht="30" customHeight="1" x14ac:dyDescent="0.35">
      <c r="B8" s="11" t="s">
        <v>20</v>
      </c>
      <c r="C8" s="11">
        <v>355</v>
      </c>
      <c r="D8" s="11">
        <v>185</v>
      </c>
      <c r="E8" s="11">
        <v>170</v>
      </c>
      <c r="F8" s="11"/>
      <c r="G8" s="11">
        <v>355</v>
      </c>
      <c r="H8" s="11" t="s">
        <v>75</v>
      </c>
      <c r="I8" s="11" t="s">
        <v>75</v>
      </c>
      <c r="J8" s="11"/>
      <c r="K8" s="11">
        <v>355</v>
      </c>
      <c r="L8" s="11" t="s">
        <v>75</v>
      </c>
      <c r="M8" s="11" t="s">
        <v>75</v>
      </c>
      <c r="N8" s="11"/>
      <c r="O8" s="11">
        <v>315</v>
      </c>
      <c r="P8" s="11">
        <v>36</v>
      </c>
      <c r="Q8" s="11"/>
      <c r="R8" s="11">
        <v>77</v>
      </c>
      <c r="S8" s="11">
        <v>47</v>
      </c>
      <c r="T8" s="11">
        <v>29</v>
      </c>
      <c r="U8" s="11">
        <v>40</v>
      </c>
      <c r="V8" s="11">
        <v>35</v>
      </c>
      <c r="W8" s="11">
        <v>37</v>
      </c>
      <c r="X8" s="11">
        <v>36</v>
      </c>
      <c r="Y8" s="11">
        <v>15</v>
      </c>
      <c r="Z8" s="11">
        <v>38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264</v>
      </c>
      <c r="AN8" s="11">
        <v>42</v>
      </c>
    </row>
    <row r="9" spans="2:40" x14ac:dyDescent="0.35">
      <c r="B9" s="15" t="s">
        <v>160</v>
      </c>
      <c r="C9" s="14">
        <v>0.19964513255135899</v>
      </c>
      <c r="D9" s="14">
        <v>0.22949869063159101</v>
      </c>
      <c r="E9" s="14">
        <v>0.16721617450423401</v>
      </c>
      <c r="F9" s="14"/>
      <c r="G9" s="14">
        <v>0.19964513255135899</v>
      </c>
      <c r="H9" s="14" t="s">
        <v>76</v>
      </c>
      <c r="I9" s="14" t="s">
        <v>76</v>
      </c>
      <c r="J9" s="14"/>
      <c r="K9" s="14">
        <v>0.19964513255135899</v>
      </c>
      <c r="L9" s="14" t="s">
        <v>76</v>
      </c>
      <c r="M9" s="14" t="s">
        <v>76</v>
      </c>
      <c r="N9" s="14"/>
      <c r="O9" s="14">
        <v>0.173106920158379</v>
      </c>
      <c r="P9" s="14">
        <v>0.42294068769802901</v>
      </c>
      <c r="Q9" s="14"/>
      <c r="R9" s="14">
        <v>0.24222684867223401</v>
      </c>
      <c r="S9" s="14">
        <v>0.137849278792435</v>
      </c>
      <c r="T9" s="14">
        <v>7.2560164107267996E-2</v>
      </c>
      <c r="U9" s="14">
        <v>0.17344711021821799</v>
      </c>
      <c r="V9" s="14">
        <v>8.2634947933755198E-2</v>
      </c>
      <c r="W9" s="14">
        <v>0.31804132910148503</v>
      </c>
      <c r="X9" s="14">
        <v>0.36758698091383202</v>
      </c>
      <c r="Y9" s="14">
        <v>0.10700025240163499</v>
      </c>
      <c r="Z9" s="14">
        <v>0.18677974944950901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0.24058220380428899</v>
      </c>
      <c r="AN9" s="14">
        <v>7.2692987077528706E-2</v>
      </c>
    </row>
    <row r="10" spans="2:40" x14ac:dyDescent="0.35">
      <c r="B10" s="15" t="s">
        <v>161</v>
      </c>
      <c r="C10" s="14">
        <v>0.58680612430464496</v>
      </c>
      <c r="D10" s="14">
        <v>0.56272236013763699</v>
      </c>
      <c r="E10" s="14">
        <v>0.61296754116791397</v>
      </c>
      <c r="F10" s="14"/>
      <c r="G10" s="14">
        <v>0.58680612430464496</v>
      </c>
      <c r="H10" s="14" t="s">
        <v>76</v>
      </c>
      <c r="I10" s="14" t="s">
        <v>76</v>
      </c>
      <c r="J10" s="14"/>
      <c r="K10" s="14">
        <v>0.58680612430464496</v>
      </c>
      <c r="L10" s="14" t="s">
        <v>76</v>
      </c>
      <c r="M10" s="14" t="s">
        <v>76</v>
      </c>
      <c r="N10" s="14"/>
      <c r="O10" s="14">
        <v>0.61997864721221096</v>
      </c>
      <c r="P10" s="14">
        <v>0.36284060283138098</v>
      </c>
      <c r="Q10" s="14"/>
      <c r="R10" s="14">
        <v>0.63856111519869097</v>
      </c>
      <c r="S10" s="14">
        <v>0.69343599981395398</v>
      </c>
      <c r="T10" s="14">
        <v>0.61295214125592501</v>
      </c>
      <c r="U10" s="14">
        <v>0.48109485144235298</v>
      </c>
      <c r="V10" s="14">
        <v>0.715697815305951</v>
      </c>
      <c r="W10" s="14">
        <v>0.455130794308784</v>
      </c>
      <c r="X10" s="14">
        <v>0.55083668184920198</v>
      </c>
      <c r="Y10" s="14">
        <v>0.57454208622494896</v>
      </c>
      <c r="Z10" s="14">
        <v>0.49039690042163098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0.57907329273011698</v>
      </c>
      <c r="AN10" s="14">
        <v>0.57798229333728501</v>
      </c>
    </row>
    <row r="11" spans="2:40" x14ac:dyDescent="0.35">
      <c r="B11" s="15" t="s">
        <v>162</v>
      </c>
      <c r="C11" s="14">
        <v>0.168702108098752</v>
      </c>
      <c r="D11" s="14">
        <v>0.16240337801090601</v>
      </c>
      <c r="E11" s="14">
        <v>0.175544215602989</v>
      </c>
      <c r="F11" s="14"/>
      <c r="G11" s="14">
        <v>0.168702108098752</v>
      </c>
      <c r="H11" s="14" t="s">
        <v>76</v>
      </c>
      <c r="I11" s="14" t="s">
        <v>76</v>
      </c>
      <c r="J11" s="14"/>
      <c r="K11" s="14">
        <v>0.168702108098752</v>
      </c>
      <c r="L11" s="14" t="s">
        <v>76</v>
      </c>
      <c r="M11" s="14" t="s">
        <v>76</v>
      </c>
      <c r="N11" s="14"/>
      <c r="O11" s="14">
        <v>0.16202074018002399</v>
      </c>
      <c r="P11" s="14">
        <v>0.21421870947058999</v>
      </c>
      <c r="Q11" s="14"/>
      <c r="R11" s="14">
        <v>0.11921203612907499</v>
      </c>
      <c r="S11" s="14">
        <v>0.14759435513423499</v>
      </c>
      <c r="T11" s="14">
        <v>0.28603247448468699</v>
      </c>
      <c r="U11" s="14">
        <v>0.29629694851389099</v>
      </c>
      <c r="V11" s="14">
        <v>8.9249235982531802E-2</v>
      </c>
      <c r="W11" s="14">
        <v>7.7858653435676994E-2</v>
      </c>
      <c r="X11" s="14">
        <v>8.1576337236965293E-2</v>
      </c>
      <c r="Y11" s="14">
        <v>0.31845766137341502</v>
      </c>
      <c r="Z11" s="14">
        <v>0.25253692505530601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0.14816060015328</v>
      </c>
      <c r="AN11" s="14">
        <v>0.259514447782215</v>
      </c>
    </row>
    <row r="12" spans="2:40" x14ac:dyDescent="0.35">
      <c r="B12" s="15" t="s">
        <v>163</v>
      </c>
      <c r="C12" s="14">
        <v>1.1257150237555099E-2</v>
      </c>
      <c r="D12" s="14">
        <v>1.2579539061341599E-2</v>
      </c>
      <c r="E12" s="14">
        <v>9.8206818751136998E-3</v>
      </c>
      <c r="F12" s="14"/>
      <c r="G12" s="14">
        <v>1.1257150237555099E-2</v>
      </c>
      <c r="H12" s="14" t="s">
        <v>76</v>
      </c>
      <c r="I12" s="14" t="s">
        <v>76</v>
      </c>
      <c r="J12" s="14"/>
      <c r="K12" s="14">
        <v>1.1257150237555099E-2</v>
      </c>
      <c r="L12" s="14" t="s">
        <v>76</v>
      </c>
      <c r="M12" s="14" t="s">
        <v>76</v>
      </c>
      <c r="N12" s="14"/>
      <c r="O12" s="14">
        <v>1.26881775645501E-2</v>
      </c>
      <c r="P12" s="14">
        <v>0</v>
      </c>
      <c r="Q12" s="14"/>
      <c r="R12" s="14">
        <v>0</v>
      </c>
      <c r="S12" s="14">
        <v>0</v>
      </c>
      <c r="T12" s="14">
        <v>2.845522015212E-2</v>
      </c>
      <c r="U12" s="14">
        <v>0</v>
      </c>
      <c r="V12" s="14">
        <v>2.97830528440069E-2</v>
      </c>
      <c r="W12" s="14">
        <v>5.7587115153164899E-2</v>
      </c>
      <c r="X12" s="14">
        <v>0</v>
      </c>
      <c r="Y12" s="14">
        <v>0</v>
      </c>
      <c r="Z12" s="14">
        <v>0</v>
      </c>
      <c r="AA12" s="14"/>
      <c r="AB12" s="14" t="s">
        <v>76</v>
      </c>
      <c r="AC12" s="14" t="s">
        <v>76</v>
      </c>
      <c r="AD12" s="14" t="s">
        <v>76</v>
      </c>
      <c r="AE12" s="14" t="s">
        <v>76</v>
      </c>
      <c r="AF12" s="14"/>
      <c r="AG12" s="14" t="s">
        <v>76</v>
      </c>
      <c r="AH12" s="14" t="s">
        <v>76</v>
      </c>
      <c r="AI12" s="14"/>
      <c r="AJ12" s="14" t="s">
        <v>76</v>
      </c>
      <c r="AK12" s="14" t="s">
        <v>76</v>
      </c>
      <c r="AL12" s="14"/>
      <c r="AM12" s="14">
        <v>0</v>
      </c>
      <c r="AN12" s="14">
        <v>6.3990090624779505E-2</v>
      </c>
    </row>
    <row r="13" spans="2:40" x14ac:dyDescent="0.35">
      <c r="B13" s="15" t="s">
        <v>70</v>
      </c>
      <c r="C13" s="21">
        <v>3.3589484807688898E-2</v>
      </c>
      <c r="D13" s="21">
        <v>3.2796032158523801E-2</v>
      </c>
      <c r="E13" s="21">
        <v>3.44513868497505E-2</v>
      </c>
      <c r="F13" s="21"/>
      <c r="G13" s="21">
        <v>3.3589484807688898E-2</v>
      </c>
      <c r="H13" s="21" t="s">
        <v>76</v>
      </c>
      <c r="I13" s="21" t="s">
        <v>76</v>
      </c>
      <c r="J13" s="21"/>
      <c r="K13" s="21">
        <v>3.3589484807688898E-2</v>
      </c>
      <c r="L13" s="21" t="s">
        <v>76</v>
      </c>
      <c r="M13" s="21" t="s">
        <v>76</v>
      </c>
      <c r="N13" s="21"/>
      <c r="O13" s="21">
        <v>3.2205514884835799E-2</v>
      </c>
      <c r="P13" s="21">
        <v>0</v>
      </c>
      <c r="Q13" s="21"/>
      <c r="R13" s="21">
        <v>0</v>
      </c>
      <c r="S13" s="21">
        <v>2.11203662593763E-2</v>
      </c>
      <c r="T13" s="21">
        <v>0</v>
      </c>
      <c r="U13" s="21">
        <v>4.9161089825538601E-2</v>
      </c>
      <c r="V13" s="21">
        <v>8.2634947933755198E-2</v>
      </c>
      <c r="W13" s="21">
        <v>9.13821080008895E-2</v>
      </c>
      <c r="X13" s="21">
        <v>0</v>
      </c>
      <c r="Y13" s="21">
        <v>0</v>
      </c>
      <c r="Z13" s="21">
        <v>7.0286425073553399E-2</v>
      </c>
      <c r="AA13" s="21"/>
      <c r="AB13" s="21" t="s">
        <v>76</v>
      </c>
      <c r="AC13" s="21" t="s">
        <v>76</v>
      </c>
      <c r="AD13" s="21" t="s">
        <v>76</v>
      </c>
      <c r="AE13" s="21" t="s">
        <v>76</v>
      </c>
      <c r="AF13" s="21"/>
      <c r="AG13" s="21" t="s">
        <v>76</v>
      </c>
      <c r="AH13" s="21" t="s">
        <v>76</v>
      </c>
      <c r="AI13" s="21"/>
      <c r="AJ13" s="21" t="s">
        <v>76</v>
      </c>
      <c r="AK13" s="21" t="s">
        <v>76</v>
      </c>
      <c r="AL13" s="21"/>
      <c r="AM13" s="21">
        <v>3.2183903312314098E-2</v>
      </c>
      <c r="AN13" s="21">
        <v>2.5820181178192101E-2</v>
      </c>
    </row>
    <row r="14" spans="2:40" x14ac:dyDescent="0.35">
      <c r="B14" s="15" t="s">
        <v>164</v>
      </c>
      <c r="C14" s="30">
        <v>0.78645125685600403</v>
      </c>
      <c r="D14" s="30">
        <v>0.792221050769228</v>
      </c>
      <c r="E14" s="30">
        <v>0.78018371567214695</v>
      </c>
      <c r="F14" s="30"/>
      <c r="G14" s="30">
        <v>0.78645125685600403</v>
      </c>
      <c r="H14" s="30" t="s">
        <v>76</v>
      </c>
      <c r="I14" s="30" t="s">
        <v>76</v>
      </c>
      <c r="J14" s="30"/>
      <c r="K14" s="30">
        <v>0.78645125685600403</v>
      </c>
      <c r="L14" s="30" t="s">
        <v>76</v>
      </c>
      <c r="M14" s="30" t="s">
        <v>76</v>
      </c>
      <c r="N14" s="30"/>
      <c r="O14" s="30">
        <v>0.79308556737058999</v>
      </c>
      <c r="P14" s="30">
        <v>0.78578129052941004</v>
      </c>
      <c r="Q14" s="30"/>
      <c r="R14" s="30">
        <v>0.88078796387092495</v>
      </c>
      <c r="S14" s="30">
        <v>0.83128527860638901</v>
      </c>
      <c r="T14" s="30">
        <v>0.68551230536319296</v>
      </c>
      <c r="U14" s="30">
        <v>0.65454196166057099</v>
      </c>
      <c r="V14" s="30">
        <v>0.79833276323970603</v>
      </c>
      <c r="W14" s="30">
        <v>0.77317212341026897</v>
      </c>
      <c r="X14" s="30">
        <v>0.918423662763035</v>
      </c>
      <c r="Y14" s="30">
        <v>0.68154233862658498</v>
      </c>
      <c r="Z14" s="30">
        <v>0.67717664987114001</v>
      </c>
      <c r="AA14" s="30"/>
      <c r="AB14" s="30" t="s">
        <v>76</v>
      </c>
      <c r="AC14" s="30" t="s">
        <v>76</v>
      </c>
      <c r="AD14" s="30" t="s">
        <v>76</v>
      </c>
      <c r="AE14" s="30" t="s">
        <v>76</v>
      </c>
      <c r="AF14" s="30"/>
      <c r="AG14" s="30" t="s">
        <v>76</v>
      </c>
      <c r="AH14" s="30" t="s">
        <v>76</v>
      </c>
      <c r="AI14" s="30"/>
      <c r="AJ14" s="30" t="s">
        <v>76</v>
      </c>
      <c r="AK14" s="30" t="s">
        <v>76</v>
      </c>
      <c r="AL14" s="30"/>
      <c r="AM14" s="30">
        <v>0.81965549653440595</v>
      </c>
      <c r="AN14" s="30">
        <v>0.65067528041481404</v>
      </c>
    </row>
    <row r="15" spans="2:40" x14ac:dyDescent="0.35">
      <c r="B15" s="27" t="s">
        <v>204</v>
      </c>
    </row>
    <row r="16" spans="2:40" x14ac:dyDescent="0.35">
      <c r="B16" t="s">
        <v>72</v>
      </c>
    </row>
    <row r="17" spans="2:2" x14ac:dyDescent="0.35">
      <c r="B17" t="s">
        <v>73</v>
      </c>
    </row>
    <row r="19" spans="2:2" x14ac:dyDescent="0.35">
      <c r="B19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B2:AN18"/>
  <sheetViews>
    <sheetView showGridLines="0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200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276</v>
      </c>
      <c r="D7" s="10">
        <v>147</v>
      </c>
      <c r="E7" s="10">
        <v>129</v>
      </c>
      <c r="F7" s="10"/>
      <c r="G7" s="10">
        <v>276</v>
      </c>
      <c r="H7" s="10" t="s">
        <v>75</v>
      </c>
      <c r="I7" s="10" t="s">
        <v>75</v>
      </c>
      <c r="J7" s="10"/>
      <c r="K7" s="10">
        <v>276</v>
      </c>
      <c r="L7" s="10" t="s">
        <v>75</v>
      </c>
      <c r="M7" s="10" t="s">
        <v>75</v>
      </c>
      <c r="N7" s="10"/>
      <c r="O7" s="10">
        <v>244</v>
      </c>
      <c r="P7" s="10">
        <v>29</v>
      </c>
      <c r="Q7" s="10"/>
      <c r="R7" s="10">
        <v>54</v>
      </c>
      <c r="S7" s="10">
        <v>41</v>
      </c>
      <c r="T7" s="10">
        <v>23</v>
      </c>
      <c r="U7" s="10">
        <v>29</v>
      </c>
      <c r="V7" s="10">
        <v>26</v>
      </c>
      <c r="W7" s="10">
        <v>37</v>
      </c>
      <c r="X7" s="10">
        <v>18</v>
      </c>
      <c r="Y7" s="10">
        <v>12</v>
      </c>
      <c r="Z7" s="10">
        <v>36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202</v>
      </c>
      <c r="AN7" s="10">
        <v>36</v>
      </c>
    </row>
    <row r="8" spans="2:40" ht="30" customHeight="1" x14ac:dyDescent="0.35">
      <c r="B8" s="11" t="s">
        <v>20</v>
      </c>
      <c r="C8" s="11">
        <v>355</v>
      </c>
      <c r="D8" s="11">
        <v>185</v>
      </c>
      <c r="E8" s="11">
        <v>170</v>
      </c>
      <c r="F8" s="11"/>
      <c r="G8" s="11">
        <v>355</v>
      </c>
      <c r="H8" s="11" t="s">
        <v>75</v>
      </c>
      <c r="I8" s="11" t="s">
        <v>75</v>
      </c>
      <c r="J8" s="11"/>
      <c r="K8" s="11">
        <v>355</v>
      </c>
      <c r="L8" s="11" t="s">
        <v>75</v>
      </c>
      <c r="M8" s="11" t="s">
        <v>75</v>
      </c>
      <c r="N8" s="11"/>
      <c r="O8" s="11">
        <v>315</v>
      </c>
      <c r="P8" s="11">
        <v>36</v>
      </c>
      <c r="Q8" s="11"/>
      <c r="R8" s="11">
        <v>77</v>
      </c>
      <c r="S8" s="11">
        <v>47</v>
      </c>
      <c r="T8" s="11">
        <v>29</v>
      </c>
      <c r="U8" s="11">
        <v>40</v>
      </c>
      <c r="V8" s="11">
        <v>35</v>
      </c>
      <c r="W8" s="11">
        <v>37</v>
      </c>
      <c r="X8" s="11">
        <v>36</v>
      </c>
      <c r="Y8" s="11">
        <v>15</v>
      </c>
      <c r="Z8" s="11">
        <v>38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264</v>
      </c>
      <c r="AN8" s="11">
        <v>42</v>
      </c>
    </row>
    <row r="9" spans="2:40" x14ac:dyDescent="0.35">
      <c r="B9" s="15" t="s">
        <v>166</v>
      </c>
      <c r="C9" s="14">
        <v>0.26663753564958897</v>
      </c>
      <c r="D9" s="14">
        <v>0.285564003494654</v>
      </c>
      <c r="E9" s="14">
        <v>0.24607832357582701</v>
      </c>
      <c r="F9" s="14"/>
      <c r="G9" s="14">
        <v>0.26663753564958897</v>
      </c>
      <c r="H9" s="14" t="s">
        <v>76</v>
      </c>
      <c r="I9" s="14" t="s">
        <v>76</v>
      </c>
      <c r="J9" s="14"/>
      <c r="K9" s="14">
        <v>0.26663753564958897</v>
      </c>
      <c r="L9" s="14" t="s">
        <v>76</v>
      </c>
      <c r="M9" s="14" t="s">
        <v>76</v>
      </c>
      <c r="N9" s="14"/>
      <c r="O9" s="14">
        <v>0.241628032852824</v>
      </c>
      <c r="P9" s="14">
        <v>0.48414642445461598</v>
      </c>
      <c r="Q9" s="14"/>
      <c r="R9" s="14">
        <v>0.346634947337571</v>
      </c>
      <c r="S9" s="14">
        <v>0.234553634236913</v>
      </c>
      <c r="T9" s="14">
        <v>0.10152438402969199</v>
      </c>
      <c r="U9" s="14">
        <v>0.22714832883173899</v>
      </c>
      <c r="V9" s="14">
        <v>0.17025437655698999</v>
      </c>
      <c r="W9" s="14">
        <v>0.29733629688912</v>
      </c>
      <c r="X9" s="14">
        <v>0.42555548066029902</v>
      </c>
      <c r="Y9" s="14">
        <v>0.10700025240163499</v>
      </c>
      <c r="Z9" s="14">
        <v>0.28509108624572999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0.33028062599355901</v>
      </c>
      <c r="AN9" s="14">
        <v>2.70532087522764E-2</v>
      </c>
    </row>
    <row r="10" spans="2:40" x14ac:dyDescent="0.35">
      <c r="B10" s="15" t="s">
        <v>167</v>
      </c>
      <c r="C10" s="14">
        <v>0.50727620991247402</v>
      </c>
      <c r="D10" s="14">
        <v>0.50520056896495502</v>
      </c>
      <c r="E10" s="14">
        <v>0.50953091178174903</v>
      </c>
      <c r="F10" s="14"/>
      <c r="G10" s="14">
        <v>0.50727620991247402</v>
      </c>
      <c r="H10" s="14" t="s">
        <v>76</v>
      </c>
      <c r="I10" s="14" t="s">
        <v>76</v>
      </c>
      <c r="J10" s="14"/>
      <c r="K10" s="14">
        <v>0.50727620991247402</v>
      </c>
      <c r="L10" s="14" t="s">
        <v>76</v>
      </c>
      <c r="M10" s="14" t="s">
        <v>76</v>
      </c>
      <c r="N10" s="14"/>
      <c r="O10" s="14">
        <v>0.52873152467590001</v>
      </c>
      <c r="P10" s="14">
        <v>0.29523823770238899</v>
      </c>
      <c r="Q10" s="14"/>
      <c r="R10" s="14">
        <v>0.54188457482422203</v>
      </c>
      <c r="S10" s="14">
        <v>0.51497711288236703</v>
      </c>
      <c r="T10" s="14">
        <v>0.45604617812417297</v>
      </c>
      <c r="U10" s="14">
        <v>0.53430189351832302</v>
      </c>
      <c r="V10" s="14">
        <v>0.54311169799621295</v>
      </c>
      <c r="W10" s="14">
        <v>0.466740687487462</v>
      </c>
      <c r="X10" s="14">
        <v>0.45585071305018099</v>
      </c>
      <c r="Y10" s="14">
        <v>0.50892229381616605</v>
      </c>
      <c r="Z10" s="14">
        <v>0.492787339963631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0.53003267158548395</v>
      </c>
      <c r="AN10" s="14">
        <v>0.39574930950887299</v>
      </c>
    </row>
    <row r="11" spans="2:40" x14ac:dyDescent="0.35">
      <c r="B11" s="15" t="s">
        <v>168</v>
      </c>
      <c r="C11" s="14">
        <v>0.18772815418582101</v>
      </c>
      <c r="D11" s="14">
        <v>0.170286261148967</v>
      </c>
      <c r="E11" s="14">
        <v>0.206674720489056</v>
      </c>
      <c r="F11" s="14"/>
      <c r="G11" s="14">
        <v>0.18772815418582101</v>
      </c>
      <c r="H11" s="14" t="s">
        <v>76</v>
      </c>
      <c r="I11" s="14" t="s">
        <v>76</v>
      </c>
      <c r="J11" s="14"/>
      <c r="K11" s="14">
        <v>0.18772815418582101</v>
      </c>
      <c r="L11" s="14" t="s">
        <v>76</v>
      </c>
      <c r="M11" s="14" t="s">
        <v>76</v>
      </c>
      <c r="N11" s="14"/>
      <c r="O11" s="14">
        <v>0.19131895673442401</v>
      </c>
      <c r="P11" s="14">
        <v>0.177582759616108</v>
      </c>
      <c r="Q11" s="14"/>
      <c r="R11" s="14">
        <v>0.111480477838207</v>
      </c>
      <c r="S11" s="14">
        <v>0.19779243549370701</v>
      </c>
      <c r="T11" s="14">
        <v>0.41397421769401499</v>
      </c>
      <c r="U11" s="14">
        <v>0.23854977764993801</v>
      </c>
      <c r="V11" s="14">
        <v>0.225438021617822</v>
      </c>
      <c r="W11" s="14">
        <v>0.21330442160518001</v>
      </c>
      <c r="X11" s="14">
        <v>7.4034936534309398E-2</v>
      </c>
      <c r="Y11" s="14">
        <v>0.18003627084451199</v>
      </c>
      <c r="Z11" s="14">
        <v>0.15183513795363199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0.12613159667304799</v>
      </c>
      <c r="AN11" s="14">
        <v>0.439964722963543</v>
      </c>
    </row>
    <row r="12" spans="2:40" x14ac:dyDescent="0.35">
      <c r="B12" s="15" t="s">
        <v>169</v>
      </c>
      <c r="C12" s="14">
        <v>3.0776440586144701E-2</v>
      </c>
      <c r="D12" s="14">
        <v>2.4387957248295001E-2</v>
      </c>
      <c r="E12" s="14">
        <v>3.7716044153368301E-2</v>
      </c>
      <c r="F12" s="14"/>
      <c r="G12" s="14">
        <v>3.0776440586144701E-2</v>
      </c>
      <c r="H12" s="14" t="s">
        <v>76</v>
      </c>
      <c r="I12" s="14" t="s">
        <v>76</v>
      </c>
      <c r="J12" s="14"/>
      <c r="K12" s="14">
        <v>3.0776440586144701E-2</v>
      </c>
      <c r="L12" s="14" t="s">
        <v>76</v>
      </c>
      <c r="M12" s="14" t="s">
        <v>76</v>
      </c>
      <c r="N12" s="14"/>
      <c r="O12" s="14">
        <v>2.97760331093385E-2</v>
      </c>
      <c r="P12" s="14">
        <v>4.3032578226887601E-2</v>
      </c>
      <c r="Q12" s="14"/>
      <c r="R12" s="14">
        <v>0</v>
      </c>
      <c r="S12" s="14">
        <v>5.2676817387013498E-2</v>
      </c>
      <c r="T12" s="14">
        <v>2.845522015212E-2</v>
      </c>
      <c r="U12" s="14">
        <v>0</v>
      </c>
      <c r="V12" s="14">
        <v>6.11959038289746E-2</v>
      </c>
      <c r="W12" s="14">
        <v>2.2618594018238201E-2</v>
      </c>
      <c r="X12" s="14">
        <v>4.4558869755211297E-2</v>
      </c>
      <c r="Y12" s="14">
        <v>0.204041182937687</v>
      </c>
      <c r="Z12" s="14">
        <v>0</v>
      </c>
      <c r="AA12" s="14"/>
      <c r="AB12" s="14" t="s">
        <v>76</v>
      </c>
      <c r="AC12" s="14" t="s">
        <v>76</v>
      </c>
      <c r="AD12" s="14" t="s">
        <v>76</v>
      </c>
      <c r="AE12" s="14" t="s">
        <v>76</v>
      </c>
      <c r="AF12" s="14"/>
      <c r="AG12" s="14" t="s">
        <v>76</v>
      </c>
      <c r="AH12" s="14" t="s">
        <v>76</v>
      </c>
      <c r="AI12" s="14"/>
      <c r="AJ12" s="14" t="s">
        <v>76</v>
      </c>
      <c r="AK12" s="14" t="s">
        <v>76</v>
      </c>
      <c r="AL12" s="14"/>
      <c r="AM12" s="14">
        <v>1.3555105747909701E-2</v>
      </c>
      <c r="AN12" s="14">
        <v>0.137232758775307</v>
      </c>
    </row>
    <row r="13" spans="2:40" x14ac:dyDescent="0.35">
      <c r="B13" s="15" t="s">
        <v>70</v>
      </c>
      <c r="C13" s="20">
        <v>7.5816596659708897E-3</v>
      </c>
      <c r="D13" s="20">
        <v>1.4561209143129399E-2</v>
      </c>
      <c r="E13" s="20">
        <v>0</v>
      </c>
      <c r="F13" s="20"/>
      <c r="G13" s="20">
        <v>7.5816596659708897E-3</v>
      </c>
      <c r="H13" s="20" t="s">
        <v>76</v>
      </c>
      <c r="I13" s="20" t="s">
        <v>76</v>
      </c>
      <c r="J13" s="20"/>
      <c r="K13" s="20">
        <v>7.5816596659708897E-3</v>
      </c>
      <c r="L13" s="20" t="s">
        <v>76</v>
      </c>
      <c r="M13" s="20" t="s">
        <v>76</v>
      </c>
      <c r="N13" s="20"/>
      <c r="O13" s="20">
        <v>8.54545262751325E-3</v>
      </c>
      <c r="P13" s="20">
        <v>0</v>
      </c>
      <c r="Q13" s="20"/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7.0286435837006805E-2</v>
      </c>
      <c r="AA13" s="20"/>
      <c r="AB13" s="20" t="s">
        <v>76</v>
      </c>
      <c r="AC13" s="20" t="s">
        <v>76</v>
      </c>
      <c r="AD13" s="20" t="s">
        <v>76</v>
      </c>
      <c r="AE13" s="20" t="s">
        <v>76</v>
      </c>
      <c r="AF13" s="20"/>
      <c r="AG13" s="20" t="s">
        <v>76</v>
      </c>
      <c r="AH13" s="20" t="s">
        <v>76</v>
      </c>
      <c r="AI13" s="20"/>
      <c r="AJ13" s="20" t="s">
        <v>76</v>
      </c>
      <c r="AK13" s="20" t="s">
        <v>76</v>
      </c>
      <c r="AL13" s="20"/>
      <c r="AM13" s="20">
        <v>0</v>
      </c>
      <c r="AN13" s="20">
        <v>0</v>
      </c>
    </row>
    <row r="14" spans="2:40" x14ac:dyDescent="0.35">
      <c r="B14" s="27" t="s">
        <v>204</v>
      </c>
    </row>
    <row r="15" spans="2:40" x14ac:dyDescent="0.35">
      <c r="B15" t="s">
        <v>72</v>
      </c>
    </row>
    <row r="16" spans="2:40" x14ac:dyDescent="0.35">
      <c r="B16" t="s">
        <v>73</v>
      </c>
    </row>
    <row r="18" spans="2:2" x14ac:dyDescent="0.35">
      <c r="B18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B2:AN16"/>
  <sheetViews>
    <sheetView showGridLines="0" workbookViewId="0">
      <pane xSplit="2" topLeftCell="C1" activePane="topRight" state="frozen"/>
      <selection pane="topRight" activeCell="B13" sqref="B13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201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509</v>
      </c>
      <c r="D7" s="10">
        <v>269</v>
      </c>
      <c r="E7" s="10">
        <v>238</v>
      </c>
      <c r="F7" s="10"/>
      <c r="G7" s="10" t="s">
        <v>75</v>
      </c>
      <c r="H7" s="10">
        <v>509</v>
      </c>
      <c r="I7" s="10" t="s">
        <v>75</v>
      </c>
      <c r="J7" s="10"/>
      <c r="K7" s="10">
        <v>509</v>
      </c>
      <c r="L7" s="10" t="s">
        <v>75</v>
      </c>
      <c r="M7" s="10" t="s">
        <v>75</v>
      </c>
      <c r="N7" s="10"/>
      <c r="O7" s="10">
        <v>446</v>
      </c>
      <c r="P7" s="10">
        <v>51</v>
      </c>
      <c r="Q7" s="10"/>
      <c r="R7" s="10">
        <v>66</v>
      </c>
      <c r="S7" s="10">
        <v>89</v>
      </c>
      <c r="T7" s="10">
        <v>56</v>
      </c>
      <c r="U7" s="10">
        <v>54</v>
      </c>
      <c r="V7" s="10">
        <v>46</v>
      </c>
      <c r="W7" s="10">
        <v>64</v>
      </c>
      <c r="X7" s="10">
        <v>39</v>
      </c>
      <c r="Y7" s="10">
        <v>23</v>
      </c>
      <c r="Z7" s="10">
        <v>72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310</v>
      </c>
      <c r="AN7" s="10">
        <v>106</v>
      </c>
    </row>
    <row r="8" spans="2:40" ht="30" customHeight="1" x14ac:dyDescent="0.35">
      <c r="B8" s="11" t="s">
        <v>20</v>
      </c>
      <c r="C8" s="11">
        <v>459</v>
      </c>
      <c r="D8" s="11">
        <v>237</v>
      </c>
      <c r="E8" s="11">
        <v>220</v>
      </c>
      <c r="F8" s="11"/>
      <c r="G8" s="11" t="s">
        <v>75</v>
      </c>
      <c r="H8" s="11">
        <v>459</v>
      </c>
      <c r="I8" s="11" t="s">
        <v>75</v>
      </c>
      <c r="J8" s="11"/>
      <c r="K8" s="11">
        <v>459</v>
      </c>
      <c r="L8" s="11" t="s">
        <v>75</v>
      </c>
      <c r="M8" s="11" t="s">
        <v>75</v>
      </c>
      <c r="N8" s="11"/>
      <c r="O8" s="11">
        <v>401</v>
      </c>
      <c r="P8" s="11">
        <v>47</v>
      </c>
      <c r="Q8" s="11"/>
      <c r="R8" s="11">
        <v>66</v>
      </c>
      <c r="S8" s="11">
        <v>75</v>
      </c>
      <c r="T8" s="11">
        <v>53</v>
      </c>
      <c r="U8" s="11">
        <v>55</v>
      </c>
      <c r="V8" s="11">
        <v>42</v>
      </c>
      <c r="W8" s="11">
        <v>46</v>
      </c>
      <c r="X8" s="11">
        <v>52</v>
      </c>
      <c r="Y8" s="11">
        <v>19</v>
      </c>
      <c r="Z8" s="11">
        <v>51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277</v>
      </c>
      <c r="AN8" s="11">
        <v>97</v>
      </c>
    </row>
    <row r="9" spans="2:40" x14ac:dyDescent="0.35">
      <c r="B9" s="15" t="s">
        <v>44</v>
      </c>
      <c r="C9" s="14">
        <v>0.86826541892240705</v>
      </c>
      <c r="D9" s="14">
        <v>0.844758722310884</v>
      </c>
      <c r="E9" s="14">
        <v>0.89811341461346905</v>
      </c>
      <c r="F9" s="14"/>
      <c r="G9" s="14" t="s">
        <v>76</v>
      </c>
      <c r="H9" s="14">
        <v>0.86826541892240705</v>
      </c>
      <c r="I9" s="14" t="s">
        <v>76</v>
      </c>
      <c r="J9" s="14"/>
      <c r="K9" s="14">
        <v>0.86826541892240705</v>
      </c>
      <c r="L9" s="14" t="s">
        <v>76</v>
      </c>
      <c r="M9" s="14" t="s">
        <v>76</v>
      </c>
      <c r="N9" s="14"/>
      <c r="O9" s="14">
        <v>0.87011471413710195</v>
      </c>
      <c r="P9" s="14">
        <v>0.85809925560422695</v>
      </c>
      <c r="Q9" s="14"/>
      <c r="R9" s="14">
        <v>0.89210419028997301</v>
      </c>
      <c r="S9" s="14">
        <v>0.84756287636670602</v>
      </c>
      <c r="T9" s="14">
        <v>0.84245144398924099</v>
      </c>
      <c r="U9" s="14">
        <v>0.87202073269895897</v>
      </c>
      <c r="V9" s="14">
        <v>0.959153172628321</v>
      </c>
      <c r="W9" s="14">
        <v>0.85939327020632394</v>
      </c>
      <c r="X9" s="14">
        <v>0.82534958157317395</v>
      </c>
      <c r="Y9" s="14">
        <v>0.958138276487699</v>
      </c>
      <c r="Z9" s="14">
        <v>0.833364102530601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0.87631959343854204</v>
      </c>
      <c r="AN9" s="14">
        <v>0.84611271868528104</v>
      </c>
    </row>
    <row r="10" spans="2:40" x14ac:dyDescent="0.35">
      <c r="B10" s="15" t="s">
        <v>45</v>
      </c>
      <c r="C10" s="14">
        <v>9.3124724752933596E-2</v>
      </c>
      <c r="D10" s="14">
        <v>0.117631154517951</v>
      </c>
      <c r="E10" s="14">
        <v>6.7556477006446097E-2</v>
      </c>
      <c r="F10" s="14"/>
      <c r="G10" s="14" t="s">
        <v>76</v>
      </c>
      <c r="H10" s="14">
        <v>9.3124724752933596E-2</v>
      </c>
      <c r="I10" s="14" t="s">
        <v>76</v>
      </c>
      <c r="J10" s="14"/>
      <c r="K10" s="14">
        <v>9.3124724752933596E-2</v>
      </c>
      <c r="L10" s="14" t="s">
        <v>76</v>
      </c>
      <c r="M10" s="14" t="s">
        <v>76</v>
      </c>
      <c r="N10" s="14"/>
      <c r="O10" s="14">
        <v>8.9590215847158802E-2</v>
      </c>
      <c r="P10" s="14">
        <v>0.12722727170290801</v>
      </c>
      <c r="Q10" s="14"/>
      <c r="R10" s="14">
        <v>8.9636764865062599E-2</v>
      </c>
      <c r="S10" s="14">
        <v>9.1484031725980103E-2</v>
      </c>
      <c r="T10" s="14">
        <v>0.105268838512486</v>
      </c>
      <c r="U10" s="14">
        <v>0.109478503893498</v>
      </c>
      <c r="V10" s="14">
        <v>2.0423413829314199E-2</v>
      </c>
      <c r="W10" s="14">
        <v>0.110999704080481</v>
      </c>
      <c r="X10" s="14">
        <v>7.3073224133728701E-2</v>
      </c>
      <c r="Y10" s="14">
        <v>4.1861723512300497E-2</v>
      </c>
      <c r="Z10" s="14">
        <v>0.153321678540698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0.103362883462364</v>
      </c>
      <c r="AN10" s="14">
        <v>7.2227288337449305E-2</v>
      </c>
    </row>
    <row r="11" spans="2:40" x14ac:dyDescent="0.35">
      <c r="B11" s="15" t="s">
        <v>70</v>
      </c>
      <c r="C11" s="20">
        <v>3.86098563246597E-2</v>
      </c>
      <c r="D11" s="20">
        <v>3.7610123171165397E-2</v>
      </c>
      <c r="E11" s="20">
        <v>3.4330108380085302E-2</v>
      </c>
      <c r="F11" s="20"/>
      <c r="G11" s="20" t="s">
        <v>76</v>
      </c>
      <c r="H11" s="20">
        <v>3.86098563246597E-2</v>
      </c>
      <c r="I11" s="20" t="s">
        <v>76</v>
      </c>
      <c r="J11" s="20"/>
      <c r="K11" s="20">
        <v>3.86098563246597E-2</v>
      </c>
      <c r="L11" s="20" t="s">
        <v>76</v>
      </c>
      <c r="M11" s="20" t="s">
        <v>76</v>
      </c>
      <c r="N11" s="20"/>
      <c r="O11" s="20">
        <v>4.0295070015739502E-2</v>
      </c>
      <c r="P11" s="20">
        <v>1.46734726928654E-2</v>
      </c>
      <c r="Q11" s="20"/>
      <c r="R11" s="20">
        <v>1.8259044844964899E-2</v>
      </c>
      <c r="S11" s="20">
        <v>6.0953091907313697E-2</v>
      </c>
      <c r="T11" s="20">
        <v>5.2279717498273703E-2</v>
      </c>
      <c r="U11" s="20">
        <v>1.85007634075426E-2</v>
      </c>
      <c r="V11" s="20">
        <v>2.0423413542364901E-2</v>
      </c>
      <c r="W11" s="20">
        <v>2.9607025713194901E-2</v>
      </c>
      <c r="X11" s="20">
        <v>0.101577194293097</v>
      </c>
      <c r="Y11" s="20">
        <v>0</v>
      </c>
      <c r="Z11" s="20">
        <v>1.3314218928701001E-2</v>
      </c>
      <c r="AA11" s="20"/>
      <c r="AB11" s="20" t="s">
        <v>76</v>
      </c>
      <c r="AC11" s="20" t="s">
        <v>76</v>
      </c>
      <c r="AD11" s="20" t="s">
        <v>76</v>
      </c>
      <c r="AE11" s="20" t="s">
        <v>76</v>
      </c>
      <c r="AF11" s="20"/>
      <c r="AG11" s="20" t="s">
        <v>76</v>
      </c>
      <c r="AH11" s="20" t="s">
        <v>76</v>
      </c>
      <c r="AI11" s="20"/>
      <c r="AJ11" s="20" t="s">
        <v>76</v>
      </c>
      <c r="AK11" s="20" t="s">
        <v>76</v>
      </c>
      <c r="AL11" s="20"/>
      <c r="AM11" s="20">
        <v>2.03175230990945E-2</v>
      </c>
      <c r="AN11" s="20">
        <v>8.1659992977269696E-2</v>
      </c>
    </row>
    <row r="12" spans="2:40" x14ac:dyDescent="0.35">
      <c r="B12" s="27" t="s">
        <v>209</v>
      </c>
    </row>
    <row r="13" spans="2:40" x14ac:dyDescent="0.35">
      <c r="B13" t="s">
        <v>72</v>
      </c>
    </row>
    <row r="14" spans="2:40" x14ac:dyDescent="0.35">
      <c r="B14" t="s">
        <v>73</v>
      </c>
    </row>
    <row r="16" spans="2:40" x14ac:dyDescent="0.35">
      <c r="B16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B2:AN18"/>
  <sheetViews>
    <sheetView showGridLines="0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203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442</v>
      </c>
      <c r="D7" s="10">
        <v>229</v>
      </c>
      <c r="E7" s="10">
        <v>212</v>
      </c>
      <c r="F7" s="10"/>
      <c r="G7" s="10" t="s">
        <v>75</v>
      </c>
      <c r="H7" s="10">
        <v>442</v>
      </c>
      <c r="I7" s="10" t="s">
        <v>75</v>
      </c>
      <c r="J7" s="10"/>
      <c r="K7" s="10">
        <v>442</v>
      </c>
      <c r="L7" s="10" t="s">
        <v>75</v>
      </c>
      <c r="M7" s="10" t="s">
        <v>75</v>
      </c>
      <c r="N7" s="10"/>
      <c r="O7" s="10">
        <v>389</v>
      </c>
      <c r="P7" s="10">
        <v>43</v>
      </c>
      <c r="Q7" s="10"/>
      <c r="R7" s="10">
        <v>59</v>
      </c>
      <c r="S7" s="10">
        <v>76</v>
      </c>
      <c r="T7" s="10">
        <v>47</v>
      </c>
      <c r="U7" s="10">
        <v>47</v>
      </c>
      <c r="V7" s="10">
        <v>44</v>
      </c>
      <c r="W7" s="10">
        <v>55</v>
      </c>
      <c r="X7" s="10">
        <v>32</v>
      </c>
      <c r="Y7" s="10">
        <v>22</v>
      </c>
      <c r="Z7" s="10">
        <v>60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272</v>
      </c>
      <c r="AN7" s="10">
        <v>90</v>
      </c>
    </row>
    <row r="8" spans="2:40" ht="30" customHeight="1" x14ac:dyDescent="0.35">
      <c r="B8" s="11" t="s">
        <v>20</v>
      </c>
      <c r="C8" s="11">
        <v>399</v>
      </c>
      <c r="D8" s="11">
        <v>200</v>
      </c>
      <c r="E8" s="11">
        <v>197</v>
      </c>
      <c r="F8" s="11"/>
      <c r="G8" s="11" t="s">
        <v>75</v>
      </c>
      <c r="H8" s="11">
        <v>399</v>
      </c>
      <c r="I8" s="11" t="s">
        <v>75</v>
      </c>
      <c r="J8" s="11"/>
      <c r="K8" s="11">
        <v>399</v>
      </c>
      <c r="L8" s="11" t="s">
        <v>75</v>
      </c>
      <c r="M8" s="11" t="s">
        <v>75</v>
      </c>
      <c r="N8" s="11"/>
      <c r="O8" s="11">
        <v>349</v>
      </c>
      <c r="P8" s="11">
        <v>41</v>
      </c>
      <c r="Q8" s="11"/>
      <c r="R8" s="11">
        <v>59</v>
      </c>
      <c r="S8" s="11">
        <v>64</v>
      </c>
      <c r="T8" s="11">
        <v>44</v>
      </c>
      <c r="U8" s="11">
        <v>48</v>
      </c>
      <c r="V8" s="11">
        <v>40</v>
      </c>
      <c r="W8" s="11">
        <v>39</v>
      </c>
      <c r="X8" s="11">
        <v>43</v>
      </c>
      <c r="Y8" s="11">
        <v>19</v>
      </c>
      <c r="Z8" s="11">
        <v>43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243</v>
      </c>
      <c r="AN8" s="11">
        <v>82</v>
      </c>
    </row>
    <row r="9" spans="2:40" x14ac:dyDescent="0.35">
      <c r="B9" s="15" t="s">
        <v>155</v>
      </c>
      <c r="C9" s="14">
        <v>0.42932078346327202</v>
      </c>
      <c r="D9" s="14">
        <v>0.40179708420677201</v>
      </c>
      <c r="E9" s="14">
        <v>0.459022501515921</v>
      </c>
      <c r="F9" s="14"/>
      <c r="G9" s="14" t="s">
        <v>76</v>
      </c>
      <c r="H9" s="14">
        <v>0.42932078346327202</v>
      </c>
      <c r="I9" s="14" t="s">
        <v>76</v>
      </c>
      <c r="J9" s="14"/>
      <c r="K9" s="14">
        <v>0.42932078346327202</v>
      </c>
      <c r="L9" s="14" t="s">
        <v>76</v>
      </c>
      <c r="M9" s="14" t="s">
        <v>76</v>
      </c>
      <c r="N9" s="14"/>
      <c r="O9" s="14">
        <v>0.41567816516954198</v>
      </c>
      <c r="P9" s="14">
        <v>0.55153176283412997</v>
      </c>
      <c r="Q9" s="14"/>
      <c r="R9" s="14">
        <v>0.42617999694494402</v>
      </c>
      <c r="S9" s="14">
        <v>0.44161625312597402</v>
      </c>
      <c r="T9" s="14">
        <v>0.34191056446277401</v>
      </c>
      <c r="U9" s="14">
        <v>0.50296258346229505</v>
      </c>
      <c r="V9" s="14">
        <v>0.34165897257625899</v>
      </c>
      <c r="W9" s="14">
        <v>0.50183866414532696</v>
      </c>
      <c r="X9" s="14">
        <v>0.47939534121896099</v>
      </c>
      <c r="Y9" s="14">
        <v>0.507877104986733</v>
      </c>
      <c r="Z9" s="14">
        <v>0.35630012885589502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0.462080677423927</v>
      </c>
      <c r="AN9" s="14">
        <v>0.36424898482382101</v>
      </c>
    </row>
    <row r="10" spans="2:40" x14ac:dyDescent="0.35">
      <c r="B10" s="15" t="s">
        <v>156</v>
      </c>
      <c r="C10" s="14">
        <v>0.48601566384711697</v>
      </c>
      <c r="D10" s="14">
        <v>0.49028506142890199</v>
      </c>
      <c r="E10" s="14">
        <v>0.47956889804244301</v>
      </c>
      <c r="F10" s="14"/>
      <c r="G10" s="14" t="s">
        <v>76</v>
      </c>
      <c r="H10" s="14">
        <v>0.48601566384711697</v>
      </c>
      <c r="I10" s="14" t="s">
        <v>76</v>
      </c>
      <c r="J10" s="14"/>
      <c r="K10" s="14">
        <v>0.48601566384711697</v>
      </c>
      <c r="L10" s="14" t="s">
        <v>76</v>
      </c>
      <c r="M10" s="14" t="s">
        <v>76</v>
      </c>
      <c r="N10" s="14"/>
      <c r="O10" s="14">
        <v>0.49556325185099298</v>
      </c>
      <c r="P10" s="14">
        <v>0.42901789257009298</v>
      </c>
      <c r="Q10" s="14"/>
      <c r="R10" s="14">
        <v>0.47380864752284402</v>
      </c>
      <c r="S10" s="14">
        <v>0.48315052338702202</v>
      </c>
      <c r="T10" s="14">
        <v>0.48681976668869698</v>
      </c>
      <c r="U10" s="14">
        <v>0.43449027714015198</v>
      </c>
      <c r="V10" s="14">
        <v>0.50698331445787204</v>
      </c>
      <c r="W10" s="14">
        <v>0.48047703631327099</v>
      </c>
      <c r="X10" s="14">
        <v>0.46010131797113502</v>
      </c>
      <c r="Y10" s="14">
        <v>0.365632947597752</v>
      </c>
      <c r="Z10" s="14">
        <v>0.62684912659318004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0.44297575909429998</v>
      </c>
      <c r="AN10" s="14">
        <v>0.53898652405613301</v>
      </c>
    </row>
    <row r="11" spans="2:40" x14ac:dyDescent="0.35">
      <c r="B11" s="15" t="s">
        <v>157</v>
      </c>
      <c r="C11" s="14">
        <v>6.9531954487426606E-2</v>
      </c>
      <c r="D11" s="14">
        <v>8.2342749345220206E-2</v>
      </c>
      <c r="E11" s="14">
        <v>5.6814920806147702E-2</v>
      </c>
      <c r="F11" s="14"/>
      <c r="G11" s="14" t="s">
        <v>76</v>
      </c>
      <c r="H11" s="14">
        <v>6.9531954487426606E-2</v>
      </c>
      <c r="I11" s="14" t="s">
        <v>76</v>
      </c>
      <c r="J11" s="14"/>
      <c r="K11" s="14">
        <v>6.9531954487426606E-2</v>
      </c>
      <c r="L11" s="14" t="s">
        <v>76</v>
      </c>
      <c r="M11" s="14" t="s">
        <v>76</v>
      </c>
      <c r="N11" s="14"/>
      <c r="O11" s="14">
        <v>7.42080878326105E-2</v>
      </c>
      <c r="P11" s="14">
        <v>1.94503445957772E-2</v>
      </c>
      <c r="Q11" s="14"/>
      <c r="R11" s="14">
        <v>6.7769001035037704E-2</v>
      </c>
      <c r="S11" s="14">
        <v>7.52332234870043E-2</v>
      </c>
      <c r="T11" s="14">
        <v>0.12735832760626201</v>
      </c>
      <c r="U11" s="14">
        <v>6.2547139397553103E-2</v>
      </c>
      <c r="V11" s="14">
        <v>0.128899325199516</v>
      </c>
      <c r="W11" s="14">
        <v>1.76842995414026E-2</v>
      </c>
      <c r="X11" s="14">
        <v>3.0869002453415301E-2</v>
      </c>
      <c r="Y11" s="14">
        <v>0.126489947415516</v>
      </c>
      <c r="Z11" s="14">
        <v>1.68507445509248E-2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7.7741581365637996E-2</v>
      </c>
      <c r="AN11" s="14">
        <v>7.4222930878726695E-2</v>
      </c>
    </row>
    <row r="12" spans="2:40" x14ac:dyDescent="0.35">
      <c r="B12" s="15" t="s">
        <v>158</v>
      </c>
      <c r="C12" s="14">
        <v>1.0233302327348899E-2</v>
      </c>
      <c r="D12" s="14">
        <v>1.58310480560989E-2</v>
      </c>
      <c r="E12" s="14">
        <v>4.5936796354887803E-3</v>
      </c>
      <c r="F12" s="14"/>
      <c r="G12" s="14" t="s">
        <v>76</v>
      </c>
      <c r="H12" s="14">
        <v>1.0233302327348899E-2</v>
      </c>
      <c r="I12" s="14" t="s">
        <v>76</v>
      </c>
      <c r="J12" s="14"/>
      <c r="K12" s="14">
        <v>1.0233302327348899E-2</v>
      </c>
      <c r="L12" s="14" t="s">
        <v>76</v>
      </c>
      <c r="M12" s="14" t="s">
        <v>76</v>
      </c>
      <c r="N12" s="14"/>
      <c r="O12" s="14">
        <v>8.9595420586873996E-3</v>
      </c>
      <c r="P12" s="14">
        <v>0</v>
      </c>
      <c r="Q12" s="14"/>
      <c r="R12" s="14">
        <v>3.2242354497174198E-2</v>
      </c>
      <c r="S12" s="14">
        <v>0</v>
      </c>
      <c r="T12" s="14">
        <v>0</v>
      </c>
      <c r="U12" s="14">
        <v>0</v>
      </c>
      <c r="V12" s="14">
        <v>2.2458387766353598E-2</v>
      </c>
      <c r="W12" s="14">
        <v>0</v>
      </c>
      <c r="X12" s="14">
        <v>2.9634338356488099E-2</v>
      </c>
      <c r="Y12" s="14">
        <v>0</v>
      </c>
      <c r="Z12" s="14">
        <v>0</v>
      </c>
      <c r="AA12" s="14"/>
      <c r="AB12" s="14" t="s">
        <v>76</v>
      </c>
      <c r="AC12" s="14" t="s">
        <v>76</v>
      </c>
      <c r="AD12" s="14" t="s">
        <v>76</v>
      </c>
      <c r="AE12" s="14" t="s">
        <v>76</v>
      </c>
      <c r="AF12" s="14"/>
      <c r="AG12" s="14" t="s">
        <v>76</v>
      </c>
      <c r="AH12" s="14" t="s">
        <v>76</v>
      </c>
      <c r="AI12" s="14"/>
      <c r="AJ12" s="14" t="s">
        <v>76</v>
      </c>
      <c r="AK12" s="14" t="s">
        <v>76</v>
      </c>
      <c r="AL12" s="14"/>
      <c r="AM12" s="14">
        <v>9.1563002762568499E-3</v>
      </c>
      <c r="AN12" s="14">
        <v>2.2541560241319401E-2</v>
      </c>
    </row>
    <row r="13" spans="2:40" x14ac:dyDescent="0.35">
      <c r="B13" s="15" t="s">
        <v>70</v>
      </c>
      <c r="C13" s="20">
        <v>4.8982958748356297E-3</v>
      </c>
      <c r="D13" s="20">
        <v>9.7440569630065504E-3</v>
      </c>
      <c r="E13" s="20">
        <v>0</v>
      </c>
      <c r="F13" s="20"/>
      <c r="G13" s="20" t="s">
        <v>76</v>
      </c>
      <c r="H13" s="20">
        <v>4.8982958748356297E-3</v>
      </c>
      <c r="I13" s="20" t="s">
        <v>76</v>
      </c>
      <c r="J13" s="20"/>
      <c r="K13" s="20">
        <v>4.8982958748356297E-3</v>
      </c>
      <c r="L13" s="20" t="s">
        <v>76</v>
      </c>
      <c r="M13" s="20" t="s">
        <v>76</v>
      </c>
      <c r="N13" s="20"/>
      <c r="O13" s="20">
        <v>5.5909530881672297E-3</v>
      </c>
      <c r="P13" s="20">
        <v>0</v>
      </c>
      <c r="Q13" s="20"/>
      <c r="R13" s="20">
        <v>0</v>
      </c>
      <c r="S13" s="20">
        <v>0</v>
      </c>
      <c r="T13" s="20">
        <v>4.3911341242266998E-2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/>
      <c r="AB13" s="20" t="s">
        <v>76</v>
      </c>
      <c r="AC13" s="20" t="s">
        <v>76</v>
      </c>
      <c r="AD13" s="20" t="s">
        <v>76</v>
      </c>
      <c r="AE13" s="20" t="s">
        <v>76</v>
      </c>
      <c r="AF13" s="20"/>
      <c r="AG13" s="20" t="s">
        <v>76</v>
      </c>
      <c r="AH13" s="20" t="s">
        <v>76</v>
      </c>
      <c r="AI13" s="20"/>
      <c r="AJ13" s="20" t="s">
        <v>76</v>
      </c>
      <c r="AK13" s="20" t="s">
        <v>76</v>
      </c>
      <c r="AL13" s="20"/>
      <c r="AM13" s="20">
        <v>8.0456818398780394E-3</v>
      </c>
      <c r="AN13" s="20">
        <v>0</v>
      </c>
    </row>
    <row r="14" spans="2:40" x14ac:dyDescent="0.35">
      <c r="B14" s="16" t="s">
        <v>214</v>
      </c>
    </row>
    <row r="15" spans="2:40" x14ac:dyDescent="0.35">
      <c r="B15" t="s">
        <v>72</v>
      </c>
    </row>
    <row r="16" spans="2:40" x14ac:dyDescent="0.35">
      <c r="B16" t="s">
        <v>73</v>
      </c>
    </row>
    <row r="18" spans="2:2" x14ac:dyDescent="0.35">
      <c r="B18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B2:AN19"/>
  <sheetViews>
    <sheetView showGridLines="0" workbookViewId="0">
      <pane xSplit="2" topLeftCell="C1" activePane="topRight" state="frozen"/>
      <selection pane="topRight" activeCell="B15" sqref="B15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205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442</v>
      </c>
      <c r="D7" s="10">
        <v>229</v>
      </c>
      <c r="E7" s="10">
        <v>212</v>
      </c>
      <c r="F7" s="10"/>
      <c r="G7" s="10" t="s">
        <v>75</v>
      </c>
      <c r="H7" s="10">
        <v>442</v>
      </c>
      <c r="I7" s="10" t="s">
        <v>75</v>
      </c>
      <c r="J7" s="10"/>
      <c r="K7" s="10">
        <v>442</v>
      </c>
      <c r="L7" s="10" t="s">
        <v>75</v>
      </c>
      <c r="M7" s="10" t="s">
        <v>75</v>
      </c>
      <c r="N7" s="10"/>
      <c r="O7" s="10">
        <v>389</v>
      </c>
      <c r="P7" s="10">
        <v>43</v>
      </c>
      <c r="Q7" s="10"/>
      <c r="R7" s="10">
        <v>59</v>
      </c>
      <c r="S7" s="10">
        <v>76</v>
      </c>
      <c r="T7" s="10">
        <v>47</v>
      </c>
      <c r="U7" s="10">
        <v>47</v>
      </c>
      <c r="V7" s="10">
        <v>44</v>
      </c>
      <c r="W7" s="10">
        <v>55</v>
      </c>
      <c r="X7" s="10">
        <v>32</v>
      </c>
      <c r="Y7" s="10">
        <v>22</v>
      </c>
      <c r="Z7" s="10">
        <v>60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272</v>
      </c>
      <c r="AN7" s="10">
        <v>90</v>
      </c>
    </row>
    <row r="8" spans="2:40" ht="30" customHeight="1" x14ac:dyDescent="0.35">
      <c r="B8" s="11" t="s">
        <v>20</v>
      </c>
      <c r="C8" s="11">
        <v>399</v>
      </c>
      <c r="D8" s="11">
        <v>200</v>
      </c>
      <c r="E8" s="11">
        <v>197</v>
      </c>
      <c r="F8" s="11"/>
      <c r="G8" s="11" t="s">
        <v>75</v>
      </c>
      <c r="H8" s="11">
        <v>399</v>
      </c>
      <c r="I8" s="11" t="s">
        <v>75</v>
      </c>
      <c r="J8" s="11"/>
      <c r="K8" s="11">
        <v>399</v>
      </c>
      <c r="L8" s="11" t="s">
        <v>75</v>
      </c>
      <c r="M8" s="11" t="s">
        <v>75</v>
      </c>
      <c r="N8" s="11"/>
      <c r="O8" s="11">
        <v>349</v>
      </c>
      <c r="P8" s="11">
        <v>41</v>
      </c>
      <c r="Q8" s="11"/>
      <c r="R8" s="11">
        <v>59</v>
      </c>
      <c r="S8" s="11">
        <v>64</v>
      </c>
      <c r="T8" s="11">
        <v>44</v>
      </c>
      <c r="U8" s="11">
        <v>48</v>
      </c>
      <c r="V8" s="11">
        <v>40</v>
      </c>
      <c r="W8" s="11">
        <v>39</v>
      </c>
      <c r="X8" s="11">
        <v>43</v>
      </c>
      <c r="Y8" s="11">
        <v>19</v>
      </c>
      <c r="Z8" s="11">
        <v>43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243</v>
      </c>
      <c r="AN8" s="11">
        <v>82</v>
      </c>
    </row>
    <row r="9" spans="2:40" x14ac:dyDescent="0.35">
      <c r="B9" s="15" t="s">
        <v>160</v>
      </c>
      <c r="C9" s="14">
        <v>0.29731574795175097</v>
      </c>
      <c r="D9" s="14">
        <v>0.322104929979591</v>
      </c>
      <c r="E9" s="14">
        <v>0.273377252799472</v>
      </c>
      <c r="F9" s="14"/>
      <c r="G9" s="14" t="s">
        <v>76</v>
      </c>
      <c r="H9" s="14">
        <v>0.29731574795175097</v>
      </c>
      <c r="I9" s="14" t="s">
        <v>76</v>
      </c>
      <c r="J9" s="14"/>
      <c r="K9" s="14">
        <v>0.29731574795175097</v>
      </c>
      <c r="L9" s="14" t="s">
        <v>76</v>
      </c>
      <c r="M9" s="14" t="s">
        <v>76</v>
      </c>
      <c r="N9" s="14"/>
      <c r="O9" s="14">
        <v>0.28844344039917502</v>
      </c>
      <c r="P9" s="14">
        <v>0.34909569193388901</v>
      </c>
      <c r="Q9" s="14"/>
      <c r="R9" s="14">
        <v>0.39677284766867799</v>
      </c>
      <c r="S9" s="14">
        <v>0.33634291042384201</v>
      </c>
      <c r="T9" s="14">
        <v>0.25498444173174001</v>
      </c>
      <c r="U9" s="14">
        <v>0.23841271527458199</v>
      </c>
      <c r="V9" s="14">
        <v>0.26252112548603901</v>
      </c>
      <c r="W9" s="14">
        <v>0.30674809457623597</v>
      </c>
      <c r="X9" s="14">
        <v>0.323525661649254</v>
      </c>
      <c r="Y9" s="14">
        <v>8.7381379665901093E-2</v>
      </c>
      <c r="Z9" s="14">
        <v>0.30098503796645798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0.41399329096931298</v>
      </c>
      <c r="AN9" s="14">
        <v>5.00406623890862E-2</v>
      </c>
    </row>
    <row r="10" spans="2:40" x14ac:dyDescent="0.35">
      <c r="B10" s="15" t="s">
        <v>161</v>
      </c>
      <c r="C10" s="14">
        <v>0.55296774929238801</v>
      </c>
      <c r="D10" s="14">
        <v>0.54100727485590705</v>
      </c>
      <c r="E10" s="14">
        <v>0.56326955064921502</v>
      </c>
      <c r="F10" s="14"/>
      <c r="G10" s="14" t="s">
        <v>76</v>
      </c>
      <c r="H10" s="14">
        <v>0.55296774929238801</v>
      </c>
      <c r="I10" s="14" t="s">
        <v>76</v>
      </c>
      <c r="J10" s="14"/>
      <c r="K10" s="14">
        <v>0.55296774929238801</v>
      </c>
      <c r="L10" s="14" t="s">
        <v>76</v>
      </c>
      <c r="M10" s="14" t="s">
        <v>76</v>
      </c>
      <c r="N10" s="14"/>
      <c r="O10" s="14">
        <v>0.54785008551597902</v>
      </c>
      <c r="P10" s="14">
        <v>0.58900279693372204</v>
      </c>
      <c r="Q10" s="14"/>
      <c r="R10" s="14">
        <v>0.470973436499946</v>
      </c>
      <c r="S10" s="14">
        <v>0.46171123992465901</v>
      </c>
      <c r="T10" s="14">
        <v>0.60310325057136704</v>
      </c>
      <c r="U10" s="14">
        <v>0.63624083149990196</v>
      </c>
      <c r="V10" s="14">
        <v>0.46110202259064098</v>
      </c>
      <c r="W10" s="14">
        <v>0.51131386681824598</v>
      </c>
      <c r="X10" s="14">
        <v>0.61473633344391598</v>
      </c>
      <c r="Y10" s="14">
        <v>0.86653706396206498</v>
      </c>
      <c r="Z10" s="14">
        <v>0.58328197698287598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0.54542175884858801</v>
      </c>
      <c r="AN10" s="14">
        <v>0.515970195391384</v>
      </c>
    </row>
    <row r="11" spans="2:40" x14ac:dyDescent="0.35">
      <c r="B11" s="15" t="s">
        <v>162</v>
      </c>
      <c r="C11" s="14">
        <v>0.12116637799159</v>
      </c>
      <c r="D11" s="14">
        <v>0.11733361778021301</v>
      </c>
      <c r="E11" s="14">
        <v>0.125554817522607</v>
      </c>
      <c r="F11" s="14"/>
      <c r="G11" s="14" t="s">
        <v>76</v>
      </c>
      <c r="H11" s="14">
        <v>0.12116637799159</v>
      </c>
      <c r="I11" s="14" t="s">
        <v>76</v>
      </c>
      <c r="J11" s="14"/>
      <c r="K11" s="14">
        <v>0.12116637799159</v>
      </c>
      <c r="L11" s="14" t="s">
        <v>76</v>
      </c>
      <c r="M11" s="14" t="s">
        <v>76</v>
      </c>
      <c r="N11" s="14"/>
      <c r="O11" s="14">
        <v>0.131119139163245</v>
      </c>
      <c r="P11" s="14">
        <v>6.1901511132389099E-2</v>
      </c>
      <c r="Q11" s="14"/>
      <c r="R11" s="14">
        <v>0.13225371583137499</v>
      </c>
      <c r="S11" s="14">
        <v>0.14579869527708</v>
      </c>
      <c r="T11" s="14">
        <v>0.120895951328663</v>
      </c>
      <c r="U11" s="14">
        <v>0.12534645322551599</v>
      </c>
      <c r="V11" s="14">
        <v>0.22804994341107299</v>
      </c>
      <c r="W11" s="14">
        <v>0.12690723291822001</v>
      </c>
      <c r="X11" s="14">
        <v>3.0869002453415301E-2</v>
      </c>
      <c r="Y11" s="14">
        <v>4.6081556372034503E-2</v>
      </c>
      <c r="Z11" s="14">
        <v>8.2031495948816993E-2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3.7041873935305801E-2</v>
      </c>
      <c r="AN11" s="14">
        <v>0.32736642141185002</v>
      </c>
    </row>
    <row r="12" spans="2:40" x14ac:dyDescent="0.35">
      <c r="B12" s="15" t="s">
        <v>163</v>
      </c>
      <c r="C12" s="14">
        <v>2.8550124764271899E-2</v>
      </c>
      <c r="D12" s="14">
        <v>1.95541773842892E-2</v>
      </c>
      <c r="E12" s="14">
        <v>3.7798379028705802E-2</v>
      </c>
      <c r="F12" s="14"/>
      <c r="G12" s="14" t="s">
        <v>76</v>
      </c>
      <c r="H12" s="14">
        <v>2.8550124764271899E-2</v>
      </c>
      <c r="I12" s="14" t="s">
        <v>76</v>
      </c>
      <c r="J12" s="14"/>
      <c r="K12" s="14">
        <v>2.8550124764271899E-2</v>
      </c>
      <c r="L12" s="14" t="s">
        <v>76</v>
      </c>
      <c r="M12" s="14" t="s">
        <v>76</v>
      </c>
      <c r="N12" s="14"/>
      <c r="O12" s="14">
        <v>3.2587334921600999E-2</v>
      </c>
      <c r="P12" s="14">
        <v>0</v>
      </c>
      <c r="Q12" s="14"/>
      <c r="R12" s="14">
        <v>0</v>
      </c>
      <c r="S12" s="14">
        <v>5.6147154374418397E-2</v>
      </c>
      <c r="T12" s="14">
        <v>2.1016356368229398E-2</v>
      </c>
      <c r="U12" s="14">
        <v>0</v>
      </c>
      <c r="V12" s="14">
        <v>4.83269085122476E-2</v>
      </c>
      <c r="W12" s="14">
        <v>5.5030805687297797E-2</v>
      </c>
      <c r="X12" s="14">
        <v>3.0869002453415301E-2</v>
      </c>
      <c r="Y12" s="14">
        <v>0</v>
      </c>
      <c r="Z12" s="14">
        <v>3.3701489101849599E-2</v>
      </c>
      <c r="AA12" s="14"/>
      <c r="AB12" s="14" t="s">
        <v>76</v>
      </c>
      <c r="AC12" s="14" t="s">
        <v>76</v>
      </c>
      <c r="AD12" s="14" t="s">
        <v>76</v>
      </c>
      <c r="AE12" s="14" t="s">
        <v>76</v>
      </c>
      <c r="AF12" s="14"/>
      <c r="AG12" s="14" t="s">
        <v>76</v>
      </c>
      <c r="AH12" s="14" t="s">
        <v>76</v>
      </c>
      <c r="AI12" s="14"/>
      <c r="AJ12" s="14" t="s">
        <v>76</v>
      </c>
      <c r="AK12" s="14" t="s">
        <v>76</v>
      </c>
      <c r="AL12" s="14"/>
      <c r="AM12" s="14">
        <v>3.5430762467931701E-3</v>
      </c>
      <c r="AN12" s="14">
        <v>0.106622720807679</v>
      </c>
    </row>
    <row r="13" spans="2:40" x14ac:dyDescent="0.35">
      <c r="B13" s="15" t="s">
        <v>70</v>
      </c>
      <c r="C13" s="21">
        <v>0</v>
      </c>
      <c r="D13" s="21">
        <v>0</v>
      </c>
      <c r="E13" s="21">
        <v>0</v>
      </c>
      <c r="F13" s="21"/>
      <c r="G13" s="21" t="s">
        <v>76</v>
      </c>
      <c r="H13" s="21">
        <v>0</v>
      </c>
      <c r="I13" s="21" t="s">
        <v>76</v>
      </c>
      <c r="J13" s="21"/>
      <c r="K13" s="21">
        <v>0</v>
      </c>
      <c r="L13" s="21" t="s">
        <v>76</v>
      </c>
      <c r="M13" s="21" t="s">
        <v>76</v>
      </c>
      <c r="N13" s="21"/>
      <c r="O13" s="21">
        <v>0</v>
      </c>
      <c r="P13" s="21">
        <v>0</v>
      </c>
      <c r="Q13" s="21"/>
      <c r="R13" s="21">
        <v>0</v>
      </c>
      <c r="S13" s="21">
        <v>0</v>
      </c>
      <c r="T13" s="21">
        <v>0</v>
      </c>
      <c r="U13" s="21">
        <v>0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1"/>
      <c r="AB13" s="21" t="s">
        <v>76</v>
      </c>
      <c r="AC13" s="21" t="s">
        <v>76</v>
      </c>
      <c r="AD13" s="21" t="s">
        <v>76</v>
      </c>
      <c r="AE13" s="21" t="s">
        <v>76</v>
      </c>
      <c r="AF13" s="21"/>
      <c r="AG13" s="21" t="s">
        <v>76</v>
      </c>
      <c r="AH13" s="21" t="s">
        <v>76</v>
      </c>
      <c r="AI13" s="21"/>
      <c r="AJ13" s="21" t="s">
        <v>76</v>
      </c>
      <c r="AK13" s="21" t="s">
        <v>76</v>
      </c>
      <c r="AL13" s="21"/>
      <c r="AM13" s="21">
        <v>0</v>
      </c>
      <c r="AN13" s="21">
        <v>0</v>
      </c>
    </row>
    <row r="14" spans="2:40" x14ac:dyDescent="0.35">
      <c r="B14" s="25" t="s">
        <v>164</v>
      </c>
      <c r="C14" s="30">
        <v>0.85028349724413899</v>
      </c>
      <c r="D14" s="30">
        <v>0.863112204835498</v>
      </c>
      <c r="E14" s="30">
        <v>0.83664680344868703</v>
      </c>
      <c r="F14" s="30"/>
      <c r="G14" s="30" t="s">
        <v>76</v>
      </c>
      <c r="H14" s="30">
        <v>0.85028349724413899</v>
      </c>
      <c r="I14" s="30" t="s">
        <v>76</v>
      </c>
      <c r="J14" s="30"/>
      <c r="K14" s="30">
        <v>0.85028349724413899</v>
      </c>
      <c r="L14" s="30" t="s">
        <v>76</v>
      </c>
      <c r="M14" s="30" t="s">
        <v>76</v>
      </c>
      <c r="N14" s="30"/>
      <c r="O14" s="30">
        <v>0.83629352591515405</v>
      </c>
      <c r="P14" s="30">
        <v>0.93809848886761105</v>
      </c>
      <c r="Q14" s="30"/>
      <c r="R14" s="30">
        <v>0.86774628416862498</v>
      </c>
      <c r="S14" s="30">
        <v>0.79805415034850102</v>
      </c>
      <c r="T14" s="30">
        <v>0.858087692303108</v>
      </c>
      <c r="U14" s="30">
        <v>0.87465354677448404</v>
      </c>
      <c r="V14" s="30">
        <v>0.72362314807668005</v>
      </c>
      <c r="W14" s="30">
        <v>0.81806196139448195</v>
      </c>
      <c r="X14" s="30">
        <v>0.93826199509316899</v>
      </c>
      <c r="Y14" s="30">
        <v>0.95391844362796596</v>
      </c>
      <c r="Z14" s="30">
        <v>0.88426701494933302</v>
      </c>
      <c r="AA14" s="30"/>
      <c r="AB14" s="30" t="s">
        <v>76</v>
      </c>
      <c r="AC14" s="30" t="s">
        <v>76</v>
      </c>
      <c r="AD14" s="30" t="s">
        <v>76</v>
      </c>
      <c r="AE14" s="30" t="s">
        <v>76</v>
      </c>
      <c r="AF14" s="30"/>
      <c r="AG14" s="30" t="s">
        <v>76</v>
      </c>
      <c r="AH14" s="30" t="s">
        <v>76</v>
      </c>
      <c r="AI14" s="30"/>
      <c r="AJ14" s="30" t="s">
        <v>76</v>
      </c>
      <c r="AK14" s="30" t="s">
        <v>76</v>
      </c>
      <c r="AL14" s="30"/>
      <c r="AM14" s="30">
        <v>0.95941504981790104</v>
      </c>
      <c r="AN14" s="30">
        <v>0.566010857780471</v>
      </c>
    </row>
    <row r="15" spans="2:40" x14ac:dyDescent="0.35">
      <c r="B15" s="31" t="s">
        <v>214</v>
      </c>
    </row>
    <row r="16" spans="2:40" x14ac:dyDescent="0.35">
      <c r="B16" t="s">
        <v>72</v>
      </c>
    </row>
    <row r="17" spans="2:2" x14ac:dyDescent="0.35">
      <c r="B17" t="s">
        <v>73</v>
      </c>
    </row>
    <row r="19" spans="2:2" x14ac:dyDescent="0.35">
      <c r="B19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B2:AN18"/>
  <sheetViews>
    <sheetView showGridLines="0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206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442</v>
      </c>
      <c r="D7" s="10">
        <v>229</v>
      </c>
      <c r="E7" s="10">
        <v>212</v>
      </c>
      <c r="F7" s="10"/>
      <c r="G7" s="10" t="s">
        <v>75</v>
      </c>
      <c r="H7" s="10">
        <v>442</v>
      </c>
      <c r="I7" s="10" t="s">
        <v>75</v>
      </c>
      <c r="J7" s="10"/>
      <c r="K7" s="10">
        <v>442</v>
      </c>
      <c r="L7" s="10" t="s">
        <v>75</v>
      </c>
      <c r="M7" s="10" t="s">
        <v>75</v>
      </c>
      <c r="N7" s="10"/>
      <c r="O7" s="10">
        <v>389</v>
      </c>
      <c r="P7" s="10">
        <v>43</v>
      </c>
      <c r="Q7" s="10"/>
      <c r="R7" s="10">
        <v>59</v>
      </c>
      <c r="S7" s="10">
        <v>76</v>
      </c>
      <c r="T7" s="10">
        <v>47</v>
      </c>
      <c r="U7" s="10">
        <v>47</v>
      </c>
      <c r="V7" s="10">
        <v>44</v>
      </c>
      <c r="W7" s="10">
        <v>55</v>
      </c>
      <c r="X7" s="10">
        <v>32</v>
      </c>
      <c r="Y7" s="10">
        <v>22</v>
      </c>
      <c r="Z7" s="10">
        <v>60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272</v>
      </c>
      <c r="AN7" s="10">
        <v>90</v>
      </c>
    </row>
    <row r="8" spans="2:40" ht="30" customHeight="1" x14ac:dyDescent="0.35">
      <c r="B8" s="11" t="s">
        <v>20</v>
      </c>
      <c r="C8" s="11">
        <v>399</v>
      </c>
      <c r="D8" s="11">
        <v>200</v>
      </c>
      <c r="E8" s="11">
        <v>197</v>
      </c>
      <c r="F8" s="11"/>
      <c r="G8" s="11" t="s">
        <v>75</v>
      </c>
      <c r="H8" s="11">
        <v>399</v>
      </c>
      <c r="I8" s="11" t="s">
        <v>75</v>
      </c>
      <c r="J8" s="11"/>
      <c r="K8" s="11">
        <v>399</v>
      </c>
      <c r="L8" s="11" t="s">
        <v>75</v>
      </c>
      <c r="M8" s="11" t="s">
        <v>75</v>
      </c>
      <c r="N8" s="11"/>
      <c r="O8" s="11">
        <v>349</v>
      </c>
      <c r="P8" s="11">
        <v>41</v>
      </c>
      <c r="Q8" s="11"/>
      <c r="R8" s="11">
        <v>59</v>
      </c>
      <c r="S8" s="11">
        <v>64</v>
      </c>
      <c r="T8" s="11">
        <v>44</v>
      </c>
      <c r="U8" s="11">
        <v>48</v>
      </c>
      <c r="V8" s="11">
        <v>40</v>
      </c>
      <c r="W8" s="11">
        <v>39</v>
      </c>
      <c r="X8" s="11">
        <v>43</v>
      </c>
      <c r="Y8" s="11">
        <v>19</v>
      </c>
      <c r="Z8" s="11">
        <v>43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243</v>
      </c>
      <c r="AN8" s="11">
        <v>82</v>
      </c>
    </row>
    <row r="9" spans="2:40" x14ac:dyDescent="0.35">
      <c r="B9" s="15" t="s">
        <v>166</v>
      </c>
      <c r="C9" s="14">
        <v>0.28167761369577399</v>
      </c>
      <c r="D9" s="14">
        <v>0.32924874043282898</v>
      </c>
      <c r="E9" s="14">
        <v>0.234551199411872</v>
      </c>
      <c r="F9" s="14"/>
      <c r="G9" s="14" t="s">
        <v>76</v>
      </c>
      <c r="H9" s="14">
        <v>0.28167761369577399</v>
      </c>
      <c r="I9" s="14" t="s">
        <v>76</v>
      </c>
      <c r="J9" s="14"/>
      <c r="K9" s="14">
        <v>0.28167761369577399</v>
      </c>
      <c r="L9" s="14" t="s">
        <v>76</v>
      </c>
      <c r="M9" s="14" t="s">
        <v>76</v>
      </c>
      <c r="N9" s="14"/>
      <c r="O9" s="14">
        <v>0.26241905855812098</v>
      </c>
      <c r="P9" s="14">
        <v>0.41956367398317601</v>
      </c>
      <c r="Q9" s="14"/>
      <c r="R9" s="14">
        <v>0.30643148738471498</v>
      </c>
      <c r="S9" s="14">
        <v>0.23109529847612201</v>
      </c>
      <c r="T9" s="14">
        <v>0.31564354515911303</v>
      </c>
      <c r="U9" s="14">
        <v>0.19518507879463201</v>
      </c>
      <c r="V9" s="14">
        <v>0.26135591008479198</v>
      </c>
      <c r="W9" s="14">
        <v>0.38862257873747003</v>
      </c>
      <c r="X9" s="14">
        <v>0.38763600297321099</v>
      </c>
      <c r="Y9" s="14">
        <v>0.22620376580366799</v>
      </c>
      <c r="Z9" s="14">
        <v>0.223082628131823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0.41892874479192299</v>
      </c>
      <c r="AN9" s="14">
        <v>1.02148278611617E-2</v>
      </c>
    </row>
    <row r="10" spans="2:40" x14ac:dyDescent="0.35">
      <c r="B10" s="15" t="s">
        <v>167</v>
      </c>
      <c r="C10" s="14">
        <v>0.38957783431628501</v>
      </c>
      <c r="D10" s="14">
        <v>0.39151831217817401</v>
      </c>
      <c r="E10" s="14">
        <v>0.38509839537949297</v>
      </c>
      <c r="F10" s="14"/>
      <c r="G10" s="14" t="s">
        <v>76</v>
      </c>
      <c r="H10" s="14">
        <v>0.38957783431628501</v>
      </c>
      <c r="I10" s="14" t="s">
        <v>76</v>
      </c>
      <c r="J10" s="14"/>
      <c r="K10" s="14">
        <v>0.38957783431628501</v>
      </c>
      <c r="L10" s="14" t="s">
        <v>76</v>
      </c>
      <c r="M10" s="14" t="s">
        <v>76</v>
      </c>
      <c r="N10" s="14"/>
      <c r="O10" s="14">
        <v>0.38185672847010699</v>
      </c>
      <c r="P10" s="14">
        <v>0.45216011604852202</v>
      </c>
      <c r="Q10" s="14"/>
      <c r="R10" s="14">
        <v>0.49525539625644099</v>
      </c>
      <c r="S10" s="14">
        <v>0.38731671583259403</v>
      </c>
      <c r="T10" s="14">
        <v>0.36383020296637902</v>
      </c>
      <c r="U10" s="14">
        <v>0.37711394642443702</v>
      </c>
      <c r="V10" s="14">
        <v>0.345637337104717</v>
      </c>
      <c r="W10" s="14">
        <v>0.31793985518103401</v>
      </c>
      <c r="X10" s="14">
        <v>0.36786122423446299</v>
      </c>
      <c r="Y10" s="14">
        <v>0.401225184646888</v>
      </c>
      <c r="Z10" s="14">
        <v>0.411758768806048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0.46215476941379102</v>
      </c>
      <c r="AN10" s="14">
        <v>0.177572778767803</v>
      </c>
    </row>
    <row r="11" spans="2:40" x14ac:dyDescent="0.35">
      <c r="B11" s="15" t="s">
        <v>168</v>
      </c>
      <c r="C11" s="14">
        <v>0.22450051218970801</v>
      </c>
      <c r="D11" s="14">
        <v>0.21090835969813401</v>
      </c>
      <c r="E11" s="14">
        <v>0.23921958841444399</v>
      </c>
      <c r="F11" s="14"/>
      <c r="G11" s="14" t="s">
        <v>76</v>
      </c>
      <c r="H11" s="14">
        <v>0.22450051218970801</v>
      </c>
      <c r="I11" s="14" t="s">
        <v>76</v>
      </c>
      <c r="J11" s="14"/>
      <c r="K11" s="14">
        <v>0.22450051218970801</v>
      </c>
      <c r="L11" s="14" t="s">
        <v>76</v>
      </c>
      <c r="M11" s="14" t="s">
        <v>76</v>
      </c>
      <c r="N11" s="14"/>
      <c r="O11" s="14">
        <v>0.241474581244567</v>
      </c>
      <c r="P11" s="14">
        <v>8.7457453012975694E-2</v>
      </c>
      <c r="Q11" s="14"/>
      <c r="R11" s="14">
        <v>0.14666529380278501</v>
      </c>
      <c r="S11" s="14">
        <v>0.221572234676635</v>
      </c>
      <c r="T11" s="14">
        <v>0.25831777231814002</v>
      </c>
      <c r="U11" s="14">
        <v>0.30345527559950702</v>
      </c>
      <c r="V11" s="14">
        <v>0.23122268744246999</v>
      </c>
      <c r="W11" s="14">
        <v>0.19922521263923301</v>
      </c>
      <c r="X11" s="14">
        <v>0.182764769195393</v>
      </c>
      <c r="Y11" s="14">
        <v>0.27983021453754597</v>
      </c>
      <c r="Z11" s="14">
        <v>0.24745485583915899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0.104395462563175</v>
      </c>
      <c r="AN11" s="14">
        <v>0.42110936211521699</v>
      </c>
    </row>
    <row r="12" spans="2:40" x14ac:dyDescent="0.35">
      <c r="B12" s="15" t="s">
        <v>169</v>
      </c>
      <c r="C12" s="14">
        <v>0.102072230481927</v>
      </c>
      <c r="D12" s="14">
        <v>6.8324587690863803E-2</v>
      </c>
      <c r="E12" s="14">
        <v>0.13674569636348199</v>
      </c>
      <c r="F12" s="14"/>
      <c r="G12" s="14" t="s">
        <v>76</v>
      </c>
      <c r="H12" s="14">
        <v>0.102072230481927</v>
      </c>
      <c r="I12" s="14" t="s">
        <v>76</v>
      </c>
      <c r="J12" s="14"/>
      <c r="K12" s="14">
        <v>0.102072230481927</v>
      </c>
      <c r="L12" s="14" t="s">
        <v>76</v>
      </c>
      <c r="M12" s="14" t="s">
        <v>76</v>
      </c>
      <c r="N12" s="14"/>
      <c r="O12" s="14">
        <v>0.11424963172720499</v>
      </c>
      <c r="P12" s="14">
        <v>1.94503445957772E-2</v>
      </c>
      <c r="Q12" s="14"/>
      <c r="R12" s="14">
        <v>5.1647822556058397E-2</v>
      </c>
      <c r="S12" s="14">
        <v>0.16001575101464799</v>
      </c>
      <c r="T12" s="14">
        <v>6.2208479556367602E-2</v>
      </c>
      <c r="U12" s="14">
        <v>0.124245699181424</v>
      </c>
      <c r="V12" s="14">
        <v>0.16178406536802101</v>
      </c>
      <c r="W12" s="14">
        <v>9.42123534422631E-2</v>
      </c>
      <c r="X12" s="14">
        <v>6.1738003596933801E-2</v>
      </c>
      <c r="Y12" s="14">
        <v>4.6081556372034503E-2</v>
      </c>
      <c r="Z12" s="14">
        <v>0.11770374722297</v>
      </c>
      <c r="AA12" s="14"/>
      <c r="AB12" s="14" t="s">
        <v>76</v>
      </c>
      <c r="AC12" s="14" t="s">
        <v>76</v>
      </c>
      <c r="AD12" s="14" t="s">
        <v>76</v>
      </c>
      <c r="AE12" s="14" t="s">
        <v>76</v>
      </c>
      <c r="AF12" s="14"/>
      <c r="AG12" s="14" t="s">
        <v>76</v>
      </c>
      <c r="AH12" s="14" t="s">
        <v>76</v>
      </c>
      <c r="AI12" s="14"/>
      <c r="AJ12" s="14" t="s">
        <v>76</v>
      </c>
      <c r="AK12" s="14" t="s">
        <v>76</v>
      </c>
      <c r="AL12" s="14"/>
      <c r="AM12" s="14">
        <v>1.45210232311106E-2</v>
      </c>
      <c r="AN12" s="14">
        <v>0.38059486551899202</v>
      </c>
    </row>
    <row r="13" spans="2:40" x14ac:dyDescent="0.35">
      <c r="B13" s="15" t="s">
        <v>70</v>
      </c>
      <c r="C13" s="20">
        <v>2.17180931630561E-3</v>
      </c>
      <c r="D13" s="20">
        <v>0</v>
      </c>
      <c r="E13" s="20">
        <v>4.3851204307078099E-3</v>
      </c>
      <c r="F13" s="20"/>
      <c r="G13" s="20" t="s">
        <v>76</v>
      </c>
      <c r="H13" s="20">
        <v>2.17180931630561E-3</v>
      </c>
      <c r="I13" s="20" t="s">
        <v>76</v>
      </c>
      <c r="J13" s="20"/>
      <c r="K13" s="20">
        <v>2.17180931630561E-3</v>
      </c>
      <c r="L13" s="20" t="s">
        <v>76</v>
      </c>
      <c r="M13" s="20" t="s">
        <v>76</v>
      </c>
      <c r="N13" s="20"/>
      <c r="O13" s="20">
        <v>0</v>
      </c>
      <c r="P13" s="20">
        <v>2.1368412359549199E-2</v>
      </c>
      <c r="Q13" s="20"/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4.6659278639864001E-2</v>
      </c>
      <c r="Z13" s="20">
        <v>0</v>
      </c>
      <c r="AA13" s="20"/>
      <c r="AB13" s="20" t="s">
        <v>76</v>
      </c>
      <c r="AC13" s="20" t="s">
        <v>76</v>
      </c>
      <c r="AD13" s="20" t="s">
        <v>76</v>
      </c>
      <c r="AE13" s="20" t="s">
        <v>76</v>
      </c>
      <c r="AF13" s="20"/>
      <c r="AG13" s="20" t="s">
        <v>76</v>
      </c>
      <c r="AH13" s="20" t="s">
        <v>76</v>
      </c>
      <c r="AI13" s="20"/>
      <c r="AJ13" s="20" t="s">
        <v>76</v>
      </c>
      <c r="AK13" s="20" t="s">
        <v>76</v>
      </c>
      <c r="AL13" s="20"/>
      <c r="AM13" s="20">
        <v>0</v>
      </c>
      <c r="AN13" s="20">
        <v>1.05081657368258E-2</v>
      </c>
    </row>
    <row r="14" spans="2:40" x14ac:dyDescent="0.35">
      <c r="B14" s="31" t="s">
        <v>214</v>
      </c>
    </row>
    <row r="15" spans="2:40" x14ac:dyDescent="0.35">
      <c r="B15" t="s">
        <v>72</v>
      </c>
    </row>
    <row r="16" spans="2:40" x14ac:dyDescent="0.35">
      <c r="B16" t="s">
        <v>73</v>
      </c>
    </row>
    <row r="18" spans="2:2" x14ac:dyDescent="0.35">
      <c r="B18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B2:AN16"/>
  <sheetViews>
    <sheetView showGridLines="0" workbookViewId="0">
      <pane xSplit="2" topLeftCell="C1" activePane="topRight" state="frozen"/>
      <selection pane="topRight" activeCell="B13" sqref="B13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207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509</v>
      </c>
      <c r="D7" s="10">
        <v>269</v>
      </c>
      <c r="E7" s="10">
        <v>238</v>
      </c>
      <c r="F7" s="10"/>
      <c r="G7" s="10" t="s">
        <v>75</v>
      </c>
      <c r="H7" s="10">
        <v>509</v>
      </c>
      <c r="I7" s="10" t="s">
        <v>75</v>
      </c>
      <c r="J7" s="10"/>
      <c r="K7" s="10">
        <v>509</v>
      </c>
      <c r="L7" s="10" t="s">
        <v>75</v>
      </c>
      <c r="M7" s="10" t="s">
        <v>75</v>
      </c>
      <c r="N7" s="10"/>
      <c r="O7" s="10">
        <v>446</v>
      </c>
      <c r="P7" s="10">
        <v>51</v>
      </c>
      <c r="Q7" s="10"/>
      <c r="R7" s="10">
        <v>66</v>
      </c>
      <c r="S7" s="10">
        <v>89</v>
      </c>
      <c r="T7" s="10">
        <v>56</v>
      </c>
      <c r="U7" s="10">
        <v>54</v>
      </c>
      <c r="V7" s="10">
        <v>46</v>
      </c>
      <c r="W7" s="10">
        <v>64</v>
      </c>
      <c r="X7" s="10">
        <v>39</v>
      </c>
      <c r="Y7" s="10">
        <v>23</v>
      </c>
      <c r="Z7" s="10">
        <v>72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310</v>
      </c>
      <c r="AN7" s="10">
        <v>106</v>
      </c>
    </row>
    <row r="8" spans="2:40" ht="30" customHeight="1" x14ac:dyDescent="0.35">
      <c r="B8" s="11" t="s">
        <v>20</v>
      </c>
      <c r="C8" s="11">
        <v>459</v>
      </c>
      <c r="D8" s="11">
        <v>237</v>
      </c>
      <c r="E8" s="11">
        <v>220</v>
      </c>
      <c r="F8" s="11"/>
      <c r="G8" s="11" t="s">
        <v>75</v>
      </c>
      <c r="H8" s="11">
        <v>459</v>
      </c>
      <c r="I8" s="11" t="s">
        <v>75</v>
      </c>
      <c r="J8" s="11"/>
      <c r="K8" s="11">
        <v>459</v>
      </c>
      <c r="L8" s="11" t="s">
        <v>75</v>
      </c>
      <c r="M8" s="11" t="s">
        <v>75</v>
      </c>
      <c r="N8" s="11"/>
      <c r="O8" s="11">
        <v>401</v>
      </c>
      <c r="P8" s="11">
        <v>47</v>
      </c>
      <c r="Q8" s="11"/>
      <c r="R8" s="11">
        <v>66</v>
      </c>
      <c r="S8" s="11">
        <v>75</v>
      </c>
      <c r="T8" s="11">
        <v>53</v>
      </c>
      <c r="U8" s="11">
        <v>55</v>
      </c>
      <c r="V8" s="11">
        <v>42</v>
      </c>
      <c r="W8" s="11">
        <v>46</v>
      </c>
      <c r="X8" s="11">
        <v>52</v>
      </c>
      <c r="Y8" s="11">
        <v>19</v>
      </c>
      <c r="Z8" s="11">
        <v>51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277</v>
      </c>
      <c r="AN8" s="11">
        <v>97</v>
      </c>
    </row>
    <row r="9" spans="2:40" x14ac:dyDescent="0.35">
      <c r="B9" s="15" t="s">
        <v>44</v>
      </c>
      <c r="C9" s="14">
        <v>0.82808167498929197</v>
      </c>
      <c r="D9" s="14">
        <v>0.84416934381594</v>
      </c>
      <c r="E9" s="14">
        <v>0.818517638998708</v>
      </c>
      <c r="F9" s="14"/>
      <c r="G9" s="14" t="s">
        <v>76</v>
      </c>
      <c r="H9" s="14">
        <v>0.82808167498929197</v>
      </c>
      <c r="I9" s="14" t="s">
        <v>76</v>
      </c>
      <c r="J9" s="14"/>
      <c r="K9" s="14">
        <v>0.82808167498929197</v>
      </c>
      <c r="L9" s="14" t="s">
        <v>76</v>
      </c>
      <c r="M9" s="14" t="s">
        <v>76</v>
      </c>
      <c r="N9" s="14"/>
      <c r="O9" s="14">
        <v>0.82869150971963501</v>
      </c>
      <c r="P9" s="14">
        <v>0.82293546429567299</v>
      </c>
      <c r="Q9" s="14"/>
      <c r="R9" s="14">
        <v>0.80211346209759005</v>
      </c>
      <c r="S9" s="14">
        <v>0.92030763379105496</v>
      </c>
      <c r="T9" s="14">
        <v>0.70968311073568202</v>
      </c>
      <c r="U9" s="14">
        <v>0.92037858547400098</v>
      </c>
      <c r="V9" s="14">
        <v>0.73186911701872903</v>
      </c>
      <c r="W9" s="14">
        <v>0.82375453664069098</v>
      </c>
      <c r="X9" s="14">
        <v>0.847914256223531</v>
      </c>
      <c r="Y9" s="14">
        <v>0.73235220137747803</v>
      </c>
      <c r="Z9" s="14">
        <v>0.84882910112434895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0.85489452191688098</v>
      </c>
      <c r="AN9" s="14">
        <v>0.78090940702219003</v>
      </c>
    </row>
    <row r="10" spans="2:40" x14ac:dyDescent="0.35">
      <c r="B10" s="15" t="s">
        <v>45</v>
      </c>
      <c r="C10" s="14">
        <v>0.13858534819623999</v>
      </c>
      <c r="D10" s="14">
        <v>0.13256925623074101</v>
      </c>
      <c r="E10" s="14">
        <v>0.13696727553518601</v>
      </c>
      <c r="F10" s="14"/>
      <c r="G10" s="14" t="s">
        <v>76</v>
      </c>
      <c r="H10" s="14">
        <v>0.13858534819623999</v>
      </c>
      <c r="I10" s="14" t="s">
        <v>76</v>
      </c>
      <c r="J10" s="14"/>
      <c r="K10" s="14">
        <v>0.13858534819623999</v>
      </c>
      <c r="L10" s="14" t="s">
        <v>76</v>
      </c>
      <c r="M10" s="14" t="s">
        <v>76</v>
      </c>
      <c r="N10" s="14"/>
      <c r="O10" s="14">
        <v>0.13957761081921699</v>
      </c>
      <c r="P10" s="14">
        <v>0.140898027162008</v>
      </c>
      <c r="Q10" s="14"/>
      <c r="R10" s="14">
        <v>0.149886770808565</v>
      </c>
      <c r="S10" s="14">
        <v>4.7588244126032901E-2</v>
      </c>
      <c r="T10" s="14">
        <v>0.25676323588851702</v>
      </c>
      <c r="U10" s="14">
        <v>7.9621414525998802E-2</v>
      </c>
      <c r="V10" s="14">
        <v>0.17981352738068099</v>
      </c>
      <c r="W10" s="14">
        <v>0.14584992624566101</v>
      </c>
      <c r="X10" s="14">
        <v>0.127627056426135</v>
      </c>
      <c r="Y10" s="14">
        <v>0.22349529562234999</v>
      </c>
      <c r="Z10" s="14">
        <v>0.13712809326599701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0.12609458143538299</v>
      </c>
      <c r="AN10" s="14">
        <v>0.14740869386142499</v>
      </c>
    </row>
    <row r="11" spans="2:40" x14ac:dyDescent="0.35">
      <c r="B11" s="15" t="s">
        <v>70</v>
      </c>
      <c r="C11" s="20">
        <v>3.3332976814467098E-2</v>
      </c>
      <c r="D11" s="20">
        <v>2.3261399953319599E-2</v>
      </c>
      <c r="E11" s="20">
        <v>4.4515085466106101E-2</v>
      </c>
      <c r="F11" s="20"/>
      <c r="G11" s="20" t="s">
        <v>76</v>
      </c>
      <c r="H11" s="20">
        <v>3.3332976814467098E-2</v>
      </c>
      <c r="I11" s="20" t="s">
        <v>76</v>
      </c>
      <c r="J11" s="20"/>
      <c r="K11" s="20">
        <v>3.3332976814467098E-2</v>
      </c>
      <c r="L11" s="20" t="s">
        <v>76</v>
      </c>
      <c r="M11" s="20" t="s">
        <v>76</v>
      </c>
      <c r="N11" s="20"/>
      <c r="O11" s="20">
        <v>3.1730879461147402E-2</v>
      </c>
      <c r="P11" s="20">
        <v>3.61665085423181E-2</v>
      </c>
      <c r="Q11" s="20"/>
      <c r="R11" s="20">
        <v>4.7999767093844299E-2</v>
      </c>
      <c r="S11" s="20">
        <v>3.2104122082911697E-2</v>
      </c>
      <c r="T11" s="20">
        <v>3.3553653375801101E-2</v>
      </c>
      <c r="U11" s="20">
        <v>0</v>
      </c>
      <c r="V11" s="20">
        <v>8.8317355600590397E-2</v>
      </c>
      <c r="W11" s="20">
        <v>3.03955371136479E-2</v>
      </c>
      <c r="X11" s="20">
        <v>2.4458687350334699E-2</v>
      </c>
      <c r="Y11" s="20">
        <v>4.41525030001719E-2</v>
      </c>
      <c r="Z11" s="20">
        <v>1.40428056096539E-2</v>
      </c>
      <c r="AA11" s="20"/>
      <c r="AB11" s="20" t="s">
        <v>76</v>
      </c>
      <c r="AC11" s="20" t="s">
        <v>76</v>
      </c>
      <c r="AD11" s="20" t="s">
        <v>76</v>
      </c>
      <c r="AE11" s="20" t="s">
        <v>76</v>
      </c>
      <c r="AF11" s="20"/>
      <c r="AG11" s="20" t="s">
        <v>76</v>
      </c>
      <c r="AH11" s="20" t="s">
        <v>76</v>
      </c>
      <c r="AI11" s="20"/>
      <c r="AJ11" s="20" t="s">
        <v>76</v>
      </c>
      <c r="AK11" s="20" t="s">
        <v>76</v>
      </c>
      <c r="AL11" s="20"/>
      <c r="AM11" s="20">
        <v>1.9010896647736399E-2</v>
      </c>
      <c r="AN11" s="20">
        <v>7.1681899116385395E-2</v>
      </c>
    </row>
    <row r="12" spans="2:40" x14ac:dyDescent="0.35">
      <c r="B12" s="27" t="s">
        <v>209</v>
      </c>
    </row>
    <row r="13" spans="2:40" x14ac:dyDescent="0.35">
      <c r="B13" t="s">
        <v>72</v>
      </c>
    </row>
    <row r="14" spans="2:40" x14ac:dyDescent="0.35">
      <c r="B14" t="s">
        <v>73</v>
      </c>
    </row>
    <row r="16" spans="2:40" x14ac:dyDescent="0.35">
      <c r="B16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B2:AN18"/>
  <sheetViews>
    <sheetView showGridLines="0" workbookViewId="0">
      <pane xSplit="2" topLeftCell="C1" activePane="topRight" state="frozen"/>
      <selection pane="topRight" activeCell="B15" sqref="B15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208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423</v>
      </c>
      <c r="D7" s="10">
        <v>228</v>
      </c>
      <c r="E7" s="10">
        <v>195</v>
      </c>
      <c r="F7" s="10"/>
      <c r="G7" s="10" t="s">
        <v>75</v>
      </c>
      <c r="H7" s="10">
        <v>423</v>
      </c>
      <c r="I7" s="10" t="s">
        <v>75</v>
      </c>
      <c r="J7" s="10"/>
      <c r="K7" s="10">
        <v>423</v>
      </c>
      <c r="L7" s="10" t="s">
        <v>75</v>
      </c>
      <c r="M7" s="10" t="s">
        <v>75</v>
      </c>
      <c r="N7" s="10"/>
      <c r="O7" s="10">
        <v>372</v>
      </c>
      <c r="P7" s="10">
        <v>41</v>
      </c>
      <c r="Q7" s="10"/>
      <c r="R7" s="10">
        <v>53</v>
      </c>
      <c r="S7" s="10">
        <v>82</v>
      </c>
      <c r="T7" s="10">
        <v>40</v>
      </c>
      <c r="U7" s="10">
        <v>50</v>
      </c>
      <c r="V7" s="10">
        <v>34</v>
      </c>
      <c r="W7" s="10">
        <v>53</v>
      </c>
      <c r="X7" s="10">
        <v>33</v>
      </c>
      <c r="Y7" s="10">
        <v>17</v>
      </c>
      <c r="Z7" s="10">
        <v>61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266</v>
      </c>
      <c r="AN7" s="10">
        <v>83</v>
      </c>
    </row>
    <row r="8" spans="2:40" ht="30" customHeight="1" x14ac:dyDescent="0.35">
      <c r="B8" s="11" t="s">
        <v>20</v>
      </c>
      <c r="C8" s="11">
        <v>380</v>
      </c>
      <c r="D8" s="11">
        <v>200</v>
      </c>
      <c r="E8" s="11">
        <v>180</v>
      </c>
      <c r="F8" s="11"/>
      <c r="G8" s="11" t="s">
        <v>75</v>
      </c>
      <c r="H8" s="11">
        <v>380</v>
      </c>
      <c r="I8" s="11" t="s">
        <v>75</v>
      </c>
      <c r="J8" s="11"/>
      <c r="K8" s="11">
        <v>380</v>
      </c>
      <c r="L8" s="11" t="s">
        <v>75</v>
      </c>
      <c r="M8" s="11" t="s">
        <v>75</v>
      </c>
      <c r="N8" s="11"/>
      <c r="O8" s="11">
        <v>333</v>
      </c>
      <c r="P8" s="11">
        <v>39</v>
      </c>
      <c r="Q8" s="11"/>
      <c r="R8" s="11">
        <v>53</v>
      </c>
      <c r="S8" s="11">
        <v>69</v>
      </c>
      <c r="T8" s="11">
        <v>37</v>
      </c>
      <c r="U8" s="11">
        <v>50</v>
      </c>
      <c r="V8" s="11">
        <v>31</v>
      </c>
      <c r="W8" s="11">
        <v>38</v>
      </c>
      <c r="X8" s="11">
        <v>44</v>
      </c>
      <c r="Y8" s="11">
        <v>14</v>
      </c>
      <c r="Z8" s="11">
        <v>44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237</v>
      </c>
      <c r="AN8" s="11">
        <v>76</v>
      </c>
    </row>
    <row r="9" spans="2:40" x14ac:dyDescent="0.35">
      <c r="B9" s="15" t="s">
        <v>155</v>
      </c>
      <c r="C9" s="14">
        <v>0.26166893719927298</v>
      </c>
      <c r="D9" s="14">
        <v>0.24109209082725799</v>
      </c>
      <c r="E9" s="14">
        <v>0.28456938006868199</v>
      </c>
      <c r="F9" s="14"/>
      <c r="G9" s="14" t="s">
        <v>76</v>
      </c>
      <c r="H9" s="14">
        <v>0.26166893719927298</v>
      </c>
      <c r="I9" s="14" t="s">
        <v>76</v>
      </c>
      <c r="J9" s="14"/>
      <c r="K9" s="14">
        <v>0.26166893719927298</v>
      </c>
      <c r="L9" s="14" t="s">
        <v>76</v>
      </c>
      <c r="M9" s="14" t="s">
        <v>76</v>
      </c>
      <c r="N9" s="14"/>
      <c r="O9" s="14">
        <v>0.24627869491023999</v>
      </c>
      <c r="P9" s="14">
        <v>0.38288698427338302</v>
      </c>
      <c r="Q9" s="14"/>
      <c r="R9" s="14">
        <v>0.383408322034133</v>
      </c>
      <c r="S9" s="14">
        <v>0.229347233050364</v>
      </c>
      <c r="T9" s="14">
        <v>0.140977368188625</v>
      </c>
      <c r="U9" s="14">
        <v>0.27789910700049603</v>
      </c>
      <c r="V9" s="14">
        <v>0.175085762247875</v>
      </c>
      <c r="W9" s="14">
        <v>0.29194900862184697</v>
      </c>
      <c r="X9" s="14">
        <v>0.21215386494180699</v>
      </c>
      <c r="Y9" s="14">
        <v>0.29590375617269998</v>
      </c>
      <c r="Z9" s="14">
        <v>0.32370011427668099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0.29509515790033303</v>
      </c>
      <c r="AN9" s="14">
        <v>0.24457911906945601</v>
      </c>
    </row>
    <row r="10" spans="2:40" x14ac:dyDescent="0.35">
      <c r="B10" s="15" t="s">
        <v>156</v>
      </c>
      <c r="C10" s="14">
        <v>0.52833108539520601</v>
      </c>
      <c r="D10" s="14">
        <v>0.54269281612923603</v>
      </c>
      <c r="E10" s="14">
        <v>0.51234758684375703</v>
      </c>
      <c r="F10" s="14"/>
      <c r="G10" s="14" t="s">
        <v>76</v>
      </c>
      <c r="H10" s="14">
        <v>0.52833108539520601</v>
      </c>
      <c r="I10" s="14" t="s">
        <v>76</v>
      </c>
      <c r="J10" s="14"/>
      <c r="K10" s="14">
        <v>0.52833108539520601</v>
      </c>
      <c r="L10" s="14" t="s">
        <v>76</v>
      </c>
      <c r="M10" s="14" t="s">
        <v>76</v>
      </c>
      <c r="N10" s="14"/>
      <c r="O10" s="14">
        <v>0.53273269810940904</v>
      </c>
      <c r="P10" s="14">
        <v>0.52081084830486202</v>
      </c>
      <c r="Q10" s="14"/>
      <c r="R10" s="14">
        <v>0.48546766588020901</v>
      </c>
      <c r="S10" s="14">
        <v>0.55500788604780205</v>
      </c>
      <c r="T10" s="14">
        <v>0.682889841168831</v>
      </c>
      <c r="U10" s="14">
        <v>0.406310662116598</v>
      </c>
      <c r="V10" s="14">
        <v>0.49866604519692498</v>
      </c>
      <c r="W10" s="14">
        <v>0.52153958150917001</v>
      </c>
      <c r="X10" s="14">
        <v>0.66005052397582797</v>
      </c>
      <c r="Y10" s="14">
        <v>0.46919772068526899</v>
      </c>
      <c r="Z10" s="14">
        <v>0.45941141112853801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0.50363745064432697</v>
      </c>
      <c r="AN10" s="14">
        <v>0.51264489238118904</v>
      </c>
    </row>
    <row r="11" spans="2:40" x14ac:dyDescent="0.35">
      <c r="B11" s="15" t="s">
        <v>157</v>
      </c>
      <c r="C11" s="14">
        <v>0.149362340447491</v>
      </c>
      <c r="D11" s="14">
        <v>0.15739227556871199</v>
      </c>
      <c r="E11" s="14">
        <v>0.14042564202617</v>
      </c>
      <c r="F11" s="14"/>
      <c r="G11" s="14" t="s">
        <v>76</v>
      </c>
      <c r="H11" s="14">
        <v>0.149362340447491</v>
      </c>
      <c r="I11" s="14" t="s">
        <v>76</v>
      </c>
      <c r="J11" s="14"/>
      <c r="K11" s="14">
        <v>0.149362340447491</v>
      </c>
      <c r="L11" s="14" t="s">
        <v>76</v>
      </c>
      <c r="M11" s="14" t="s">
        <v>76</v>
      </c>
      <c r="N11" s="14"/>
      <c r="O11" s="14">
        <v>0.154724734474673</v>
      </c>
      <c r="P11" s="14">
        <v>9.6302167421755305E-2</v>
      </c>
      <c r="Q11" s="14"/>
      <c r="R11" s="14">
        <v>0.109541404487531</v>
      </c>
      <c r="S11" s="14">
        <v>0.16809119166009701</v>
      </c>
      <c r="T11" s="14">
        <v>0.1511846705554</v>
      </c>
      <c r="U11" s="14">
        <v>0.15711616306625001</v>
      </c>
      <c r="V11" s="14">
        <v>0.26738238265589098</v>
      </c>
      <c r="W11" s="14">
        <v>0.14659193612239399</v>
      </c>
      <c r="X11" s="14">
        <v>3.4292389278142897E-2</v>
      </c>
      <c r="Y11" s="14">
        <v>0.17460990734274001</v>
      </c>
      <c r="Z11" s="14">
        <v>0.184659343310146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0.15776561791454999</v>
      </c>
      <c r="AN11" s="14">
        <v>0.13850547620793799</v>
      </c>
    </row>
    <row r="12" spans="2:40" x14ac:dyDescent="0.35">
      <c r="B12" s="15" t="s">
        <v>158</v>
      </c>
      <c r="C12" s="14">
        <v>5.3005136148388102E-2</v>
      </c>
      <c r="D12" s="14">
        <v>4.43322485705799E-2</v>
      </c>
      <c r="E12" s="14">
        <v>6.2657391061391399E-2</v>
      </c>
      <c r="F12" s="14"/>
      <c r="G12" s="14" t="s">
        <v>76</v>
      </c>
      <c r="H12" s="14">
        <v>5.3005136148388102E-2</v>
      </c>
      <c r="I12" s="14" t="s">
        <v>76</v>
      </c>
      <c r="J12" s="14"/>
      <c r="K12" s="14">
        <v>5.3005136148388102E-2</v>
      </c>
      <c r="L12" s="14" t="s">
        <v>76</v>
      </c>
      <c r="M12" s="14" t="s">
        <v>76</v>
      </c>
      <c r="N12" s="14"/>
      <c r="O12" s="14">
        <v>5.7539946246677E-2</v>
      </c>
      <c r="P12" s="14">
        <v>0</v>
      </c>
      <c r="Q12" s="14"/>
      <c r="R12" s="14">
        <v>2.1582607598127201E-2</v>
      </c>
      <c r="S12" s="14">
        <v>4.75536892417373E-2</v>
      </c>
      <c r="T12" s="14">
        <v>2.4948120087144299E-2</v>
      </c>
      <c r="U12" s="14">
        <v>0.139615741398121</v>
      </c>
      <c r="V12" s="14">
        <v>5.8865809899309202E-2</v>
      </c>
      <c r="W12" s="14">
        <v>3.9919473746589003E-2</v>
      </c>
      <c r="X12" s="14">
        <v>6.5014671407328806E-2</v>
      </c>
      <c r="Y12" s="14">
        <v>6.02886157992907E-2</v>
      </c>
      <c r="Z12" s="14">
        <v>1.6543737238806901E-2</v>
      </c>
      <c r="AA12" s="14"/>
      <c r="AB12" s="14" t="s">
        <v>76</v>
      </c>
      <c r="AC12" s="14" t="s">
        <v>76</v>
      </c>
      <c r="AD12" s="14" t="s">
        <v>76</v>
      </c>
      <c r="AE12" s="14" t="s">
        <v>76</v>
      </c>
      <c r="AF12" s="14"/>
      <c r="AG12" s="14" t="s">
        <v>76</v>
      </c>
      <c r="AH12" s="14" t="s">
        <v>76</v>
      </c>
      <c r="AI12" s="14"/>
      <c r="AJ12" s="14" t="s">
        <v>76</v>
      </c>
      <c r="AK12" s="14" t="s">
        <v>76</v>
      </c>
      <c r="AL12" s="14"/>
      <c r="AM12" s="14">
        <v>4.3501773540789601E-2</v>
      </c>
      <c r="AN12" s="14">
        <v>8.26293989451755E-2</v>
      </c>
    </row>
    <row r="13" spans="2:40" x14ac:dyDescent="0.35">
      <c r="B13" s="15" t="s">
        <v>70</v>
      </c>
      <c r="C13" s="20">
        <v>7.6325008096412997E-3</v>
      </c>
      <c r="D13" s="20">
        <v>1.44905689042139E-2</v>
      </c>
      <c r="E13" s="20">
        <v>0</v>
      </c>
      <c r="F13" s="20"/>
      <c r="G13" s="20" t="s">
        <v>76</v>
      </c>
      <c r="H13" s="20">
        <v>7.6325008096412997E-3</v>
      </c>
      <c r="I13" s="20" t="s">
        <v>76</v>
      </c>
      <c r="J13" s="20"/>
      <c r="K13" s="20">
        <v>7.6325008096412997E-3</v>
      </c>
      <c r="L13" s="20" t="s">
        <v>76</v>
      </c>
      <c r="M13" s="20" t="s">
        <v>76</v>
      </c>
      <c r="N13" s="20"/>
      <c r="O13" s="20">
        <v>8.7239262590006108E-3</v>
      </c>
      <c r="P13" s="20">
        <v>0</v>
      </c>
      <c r="Q13" s="20"/>
      <c r="R13" s="20">
        <v>0</v>
      </c>
      <c r="S13" s="20">
        <v>0</v>
      </c>
      <c r="T13" s="20">
        <v>0</v>
      </c>
      <c r="U13" s="20">
        <v>1.9058326418534999E-2</v>
      </c>
      <c r="V13" s="20">
        <v>0</v>
      </c>
      <c r="W13" s="20">
        <v>0</v>
      </c>
      <c r="X13" s="20">
        <v>2.84885503968938E-2</v>
      </c>
      <c r="Y13" s="20">
        <v>0</v>
      </c>
      <c r="Z13" s="20">
        <v>1.56853940458275E-2</v>
      </c>
      <c r="AA13" s="20"/>
      <c r="AB13" s="20" t="s">
        <v>76</v>
      </c>
      <c r="AC13" s="20" t="s">
        <v>76</v>
      </c>
      <c r="AD13" s="20" t="s">
        <v>76</v>
      </c>
      <c r="AE13" s="20" t="s">
        <v>76</v>
      </c>
      <c r="AF13" s="20"/>
      <c r="AG13" s="20" t="s">
        <v>76</v>
      </c>
      <c r="AH13" s="20" t="s">
        <v>76</v>
      </c>
      <c r="AI13" s="20"/>
      <c r="AJ13" s="20" t="s">
        <v>76</v>
      </c>
      <c r="AK13" s="20" t="s">
        <v>76</v>
      </c>
      <c r="AL13" s="20"/>
      <c r="AM13" s="20">
        <v>0</v>
      </c>
      <c r="AN13" s="20">
        <v>2.1641113396241401E-2</v>
      </c>
    </row>
    <row r="14" spans="2:40" x14ac:dyDescent="0.35">
      <c r="B14" s="27" t="s">
        <v>219</v>
      </c>
    </row>
    <row r="15" spans="2:40" x14ac:dyDescent="0.35">
      <c r="B15" t="s">
        <v>72</v>
      </c>
    </row>
    <row r="16" spans="2:40" x14ac:dyDescent="0.35">
      <c r="B16" t="s">
        <v>73</v>
      </c>
    </row>
    <row r="18" spans="2:2" x14ac:dyDescent="0.35">
      <c r="B18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B2:AN19"/>
  <sheetViews>
    <sheetView showGridLines="0" workbookViewId="0">
      <pane xSplit="2" topLeftCell="C1" activePane="topRight" state="frozen"/>
      <selection pane="topRight" activeCell="B15" sqref="B15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210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423</v>
      </c>
      <c r="D7" s="10">
        <v>228</v>
      </c>
      <c r="E7" s="10">
        <v>195</v>
      </c>
      <c r="F7" s="10"/>
      <c r="G7" s="10" t="s">
        <v>75</v>
      </c>
      <c r="H7" s="10">
        <v>423</v>
      </c>
      <c r="I7" s="10" t="s">
        <v>75</v>
      </c>
      <c r="J7" s="10"/>
      <c r="K7" s="10">
        <v>423</v>
      </c>
      <c r="L7" s="10" t="s">
        <v>75</v>
      </c>
      <c r="M7" s="10" t="s">
        <v>75</v>
      </c>
      <c r="N7" s="10"/>
      <c r="O7" s="10">
        <v>372</v>
      </c>
      <c r="P7" s="10">
        <v>41</v>
      </c>
      <c r="Q7" s="10"/>
      <c r="R7" s="10">
        <v>53</v>
      </c>
      <c r="S7" s="10">
        <v>82</v>
      </c>
      <c r="T7" s="10">
        <v>40</v>
      </c>
      <c r="U7" s="10">
        <v>50</v>
      </c>
      <c r="V7" s="10">
        <v>34</v>
      </c>
      <c r="W7" s="10">
        <v>53</v>
      </c>
      <c r="X7" s="10">
        <v>33</v>
      </c>
      <c r="Y7" s="10">
        <v>17</v>
      </c>
      <c r="Z7" s="10">
        <v>61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266</v>
      </c>
      <c r="AN7" s="10">
        <v>83</v>
      </c>
    </row>
    <row r="8" spans="2:40" ht="30" customHeight="1" x14ac:dyDescent="0.35">
      <c r="B8" s="11" t="s">
        <v>20</v>
      </c>
      <c r="C8" s="11">
        <v>380</v>
      </c>
      <c r="D8" s="11">
        <v>200</v>
      </c>
      <c r="E8" s="11">
        <v>180</v>
      </c>
      <c r="F8" s="11"/>
      <c r="G8" s="11" t="s">
        <v>75</v>
      </c>
      <c r="H8" s="11">
        <v>380</v>
      </c>
      <c r="I8" s="11" t="s">
        <v>75</v>
      </c>
      <c r="J8" s="11"/>
      <c r="K8" s="11">
        <v>380</v>
      </c>
      <c r="L8" s="11" t="s">
        <v>75</v>
      </c>
      <c r="M8" s="11" t="s">
        <v>75</v>
      </c>
      <c r="N8" s="11"/>
      <c r="O8" s="11">
        <v>333</v>
      </c>
      <c r="P8" s="11">
        <v>39</v>
      </c>
      <c r="Q8" s="11"/>
      <c r="R8" s="11">
        <v>53</v>
      </c>
      <c r="S8" s="11">
        <v>69</v>
      </c>
      <c r="T8" s="11">
        <v>37</v>
      </c>
      <c r="U8" s="11">
        <v>50</v>
      </c>
      <c r="V8" s="11">
        <v>31</v>
      </c>
      <c r="W8" s="11">
        <v>38</v>
      </c>
      <c r="X8" s="11">
        <v>44</v>
      </c>
      <c r="Y8" s="11">
        <v>14</v>
      </c>
      <c r="Z8" s="11">
        <v>44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237</v>
      </c>
      <c r="AN8" s="11">
        <v>76</v>
      </c>
    </row>
    <row r="9" spans="2:40" x14ac:dyDescent="0.35">
      <c r="B9" s="15" t="s">
        <v>160</v>
      </c>
      <c r="C9" s="14">
        <v>0.18163796668109999</v>
      </c>
      <c r="D9" s="14">
        <v>0.19906463632548899</v>
      </c>
      <c r="E9" s="14">
        <v>0.16224342752868101</v>
      </c>
      <c r="F9" s="14"/>
      <c r="G9" s="14" t="s">
        <v>76</v>
      </c>
      <c r="H9" s="14">
        <v>0.18163796668109999</v>
      </c>
      <c r="I9" s="14" t="s">
        <v>76</v>
      </c>
      <c r="J9" s="14"/>
      <c r="K9" s="14">
        <v>0.18163796668109999</v>
      </c>
      <c r="L9" s="14" t="s">
        <v>76</v>
      </c>
      <c r="M9" s="14" t="s">
        <v>76</v>
      </c>
      <c r="N9" s="14"/>
      <c r="O9" s="14">
        <v>0.163502412362072</v>
      </c>
      <c r="P9" s="14">
        <v>0.33007988987421399</v>
      </c>
      <c r="Q9" s="14"/>
      <c r="R9" s="14">
        <v>0.22488671506148</v>
      </c>
      <c r="S9" s="14">
        <v>0.14261519658477401</v>
      </c>
      <c r="T9" s="14">
        <v>0.24405533604778801</v>
      </c>
      <c r="U9" s="14">
        <v>0.15583431179252999</v>
      </c>
      <c r="V9" s="14">
        <v>0.14412578128923501</v>
      </c>
      <c r="W9" s="14">
        <v>0.20410290311527901</v>
      </c>
      <c r="X9" s="14">
        <v>0.18791018938791801</v>
      </c>
      <c r="Y9" s="14">
        <v>0</v>
      </c>
      <c r="Z9" s="14">
        <v>0.22682509958208999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0.26889092073502902</v>
      </c>
      <c r="AN9" s="14">
        <v>2.5946439718976099E-2</v>
      </c>
    </row>
    <row r="10" spans="2:40" x14ac:dyDescent="0.35">
      <c r="B10" s="15" t="s">
        <v>161</v>
      </c>
      <c r="C10" s="14">
        <v>0.46728094236999301</v>
      </c>
      <c r="D10" s="14">
        <v>0.500796978919687</v>
      </c>
      <c r="E10" s="14">
        <v>0.429980178864312</v>
      </c>
      <c r="F10" s="14"/>
      <c r="G10" s="14" t="s">
        <v>76</v>
      </c>
      <c r="H10" s="14">
        <v>0.46728094236999301</v>
      </c>
      <c r="I10" s="14" t="s">
        <v>76</v>
      </c>
      <c r="J10" s="14"/>
      <c r="K10" s="14">
        <v>0.46728094236999301</v>
      </c>
      <c r="L10" s="14" t="s">
        <v>76</v>
      </c>
      <c r="M10" s="14" t="s">
        <v>76</v>
      </c>
      <c r="N10" s="14"/>
      <c r="O10" s="14">
        <v>0.46510603657148297</v>
      </c>
      <c r="P10" s="14">
        <v>0.52262197449173198</v>
      </c>
      <c r="Q10" s="14"/>
      <c r="R10" s="14">
        <v>0.56739888333489497</v>
      </c>
      <c r="S10" s="14">
        <v>0.44946039089747503</v>
      </c>
      <c r="T10" s="14">
        <v>0.47635093036354098</v>
      </c>
      <c r="U10" s="14">
        <v>0.485572140138324</v>
      </c>
      <c r="V10" s="14">
        <v>0.44695454937905499</v>
      </c>
      <c r="W10" s="14">
        <v>0.52309948914480398</v>
      </c>
      <c r="X10" s="14">
        <v>0.440176686059503</v>
      </c>
      <c r="Y10" s="14">
        <v>0.35382023577159899</v>
      </c>
      <c r="Z10" s="14">
        <v>0.37566676214334899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0.51091355553208795</v>
      </c>
      <c r="AN10" s="14">
        <v>0.31223246996524301</v>
      </c>
    </row>
    <row r="11" spans="2:40" x14ac:dyDescent="0.35">
      <c r="B11" s="15" t="s">
        <v>162</v>
      </c>
      <c r="C11" s="14">
        <v>0.29607311822599502</v>
      </c>
      <c r="D11" s="14">
        <v>0.26588571105293102</v>
      </c>
      <c r="E11" s="14">
        <v>0.32966937398083801</v>
      </c>
      <c r="F11" s="14"/>
      <c r="G11" s="14" t="s">
        <v>76</v>
      </c>
      <c r="H11" s="14">
        <v>0.29607311822599502</v>
      </c>
      <c r="I11" s="14" t="s">
        <v>76</v>
      </c>
      <c r="J11" s="14"/>
      <c r="K11" s="14">
        <v>0.29607311822599502</v>
      </c>
      <c r="L11" s="14" t="s">
        <v>76</v>
      </c>
      <c r="M11" s="14" t="s">
        <v>76</v>
      </c>
      <c r="N11" s="14"/>
      <c r="O11" s="14">
        <v>0.31088679510289002</v>
      </c>
      <c r="P11" s="14">
        <v>0.12701668351172199</v>
      </c>
      <c r="Q11" s="14"/>
      <c r="R11" s="14">
        <v>0.207714401603625</v>
      </c>
      <c r="S11" s="14">
        <v>0.34817506840540902</v>
      </c>
      <c r="T11" s="14">
        <v>0.23099188607274199</v>
      </c>
      <c r="U11" s="14">
        <v>0.29705803537910003</v>
      </c>
      <c r="V11" s="14">
        <v>0.29081905124500301</v>
      </c>
      <c r="W11" s="14">
        <v>0.214428744838918</v>
      </c>
      <c r="X11" s="14">
        <v>0.33574416317218198</v>
      </c>
      <c r="Y11" s="14">
        <v>0.53472530825521403</v>
      </c>
      <c r="Z11" s="14">
        <v>0.33199488672296901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0.19571729417251901</v>
      </c>
      <c r="AN11" s="14">
        <v>0.51042603173161705</v>
      </c>
    </row>
    <row r="12" spans="2:40" x14ac:dyDescent="0.35">
      <c r="B12" s="15" t="s">
        <v>163</v>
      </c>
      <c r="C12" s="14">
        <v>4.7933854150204902E-2</v>
      </c>
      <c r="D12" s="14">
        <v>2.4972831918789899E-2</v>
      </c>
      <c r="E12" s="14">
        <v>7.3487700853791402E-2</v>
      </c>
      <c r="F12" s="14"/>
      <c r="G12" s="14" t="s">
        <v>76</v>
      </c>
      <c r="H12" s="14">
        <v>4.7933854150204902E-2</v>
      </c>
      <c r="I12" s="14" t="s">
        <v>76</v>
      </c>
      <c r="J12" s="14"/>
      <c r="K12" s="14">
        <v>4.7933854150204902E-2</v>
      </c>
      <c r="L12" s="14" t="s">
        <v>76</v>
      </c>
      <c r="M12" s="14" t="s">
        <v>76</v>
      </c>
      <c r="N12" s="14"/>
      <c r="O12" s="14">
        <v>5.2419058979709103E-2</v>
      </c>
      <c r="P12" s="14">
        <v>2.02814521223324E-2</v>
      </c>
      <c r="Q12" s="14"/>
      <c r="R12" s="14">
        <v>0</v>
      </c>
      <c r="S12" s="14">
        <v>4.77046925783189E-2</v>
      </c>
      <c r="T12" s="14">
        <v>2.4948120087144299E-2</v>
      </c>
      <c r="U12" s="14">
        <v>4.2238253598429698E-2</v>
      </c>
      <c r="V12" s="14">
        <v>0.11810061808670599</v>
      </c>
      <c r="W12" s="14">
        <v>5.83688629009982E-2</v>
      </c>
      <c r="X12" s="14">
        <v>3.6168961380397303E-2</v>
      </c>
      <c r="Y12" s="14">
        <v>0.111454455973187</v>
      </c>
      <c r="Z12" s="14">
        <v>6.5513251551591503E-2</v>
      </c>
      <c r="AA12" s="14"/>
      <c r="AB12" s="14" t="s">
        <v>76</v>
      </c>
      <c r="AC12" s="14" t="s">
        <v>76</v>
      </c>
      <c r="AD12" s="14" t="s">
        <v>76</v>
      </c>
      <c r="AE12" s="14" t="s">
        <v>76</v>
      </c>
      <c r="AF12" s="14"/>
      <c r="AG12" s="14" t="s">
        <v>76</v>
      </c>
      <c r="AH12" s="14" t="s">
        <v>76</v>
      </c>
      <c r="AI12" s="14"/>
      <c r="AJ12" s="14" t="s">
        <v>76</v>
      </c>
      <c r="AK12" s="14" t="s">
        <v>76</v>
      </c>
      <c r="AL12" s="14"/>
      <c r="AM12" s="14">
        <v>1.7225173853876601E-2</v>
      </c>
      <c r="AN12" s="14">
        <v>0.138609038822918</v>
      </c>
    </row>
    <row r="13" spans="2:40" x14ac:dyDescent="0.35">
      <c r="B13" s="15" t="s">
        <v>70</v>
      </c>
      <c r="C13" s="21">
        <v>7.0741185727070102E-3</v>
      </c>
      <c r="D13" s="21">
        <v>9.2798417831035998E-3</v>
      </c>
      <c r="E13" s="21">
        <v>4.6193187723784501E-3</v>
      </c>
      <c r="F13" s="21"/>
      <c r="G13" s="21" t="s">
        <v>76</v>
      </c>
      <c r="H13" s="21">
        <v>7.0741185727070102E-3</v>
      </c>
      <c r="I13" s="21" t="s">
        <v>76</v>
      </c>
      <c r="J13" s="21"/>
      <c r="K13" s="21">
        <v>7.0741185727070102E-3</v>
      </c>
      <c r="L13" s="21" t="s">
        <v>76</v>
      </c>
      <c r="M13" s="21" t="s">
        <v>76</v>
      </c>
      <c r="N13" s="21"/>
      <c r="O13" s="21">
        <v>8.0856969838465007E-3</v>
      </c>
      <c r="P13" s="21">
        <v>0</v>
      </c>
      <c r="Q13" s="21"/>
      <c r="R13" s="21">
        <v>0</v>
      </c>
      <c r="S13" s="21">
        <v>1.20446515340233E-2</v>
      </c>
      <c r="T13" s="21">
        <v>2.3653727428784702E-2</v>
      </c>
      <c r="U13" s="21">
        <v>1.92972590916166E-2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1"/>
      <c r="AB13" s="21" t="s">
        <v>76</v>
      </c>
      <c r="AC13" s="21" t="s">
        <v>76</v>
      </c>
      <c r="AD13" s="21" t="s">
        <v>76</v>
      </c>
      <c r="AE13" s="21" t="s">
        <v>76</v>
      </c>
      <c r="AF13" s="21"/>
      <c r="AG13" s="21" t="s">
        <v>76</v>
      </c>
      <c r="AH13" s="21" t="s">
        <v>76</v>
      </c>
      <c r="AI13" s="21"/>
      <c r="AJ13" s="21" t="s">
        <v>76</v>
      </c>
      <c r="AK13" s="21" t="s">
        <v>76</v>
      </c>
      <c r="AL13" s="21"/>
      <c r="AM13" s="21">
        <v>7.2530557064877203E-3</v>
      </c>
      <c r="AN13" s="21">
        <v>1.2786019761245901E-2</v>
      </c>
    </row>
    <row r="14" spans="2:40" x14ac:dyDescent="0.35">
      <c r="B14" s="25" t="s">
        <v>164</v>
      </c>
      <c r="C14" s="30">
        <v>0.64891890905109295</v>
      </c>
      <c r="D14" s="30">
        <v>0.69986161524517598</v>
      </c>
      <c r="E14" s="30">
        <v>0.59222360639299299</v>
      </c>
      <c r="F14" s="30"/>
      <c r="G14" s="30" t="s">
        <v>76</v>
      </c>
      <c r="H14" s="30">
        <v>0.64891890905109295</v>
      </c>
      <c r="I14" s="30" t="s">
        <v>76</v>
      </c>
      <c r="J14" s="30"/>
      <c r="K14" s="30">
        <v>0.64891890905109295</v>
      </c>
      <c r="L14" s="30" t="s">
        <v>76</v>
      </c>
      <c r="M14" s="30" t="s">
        <v>76</v>
      </c>
      <c r="N14" s="30"/>
      <c r="O14" s="30">
        <v>0.62860844893355405</v>
      </c>
      <c r="P14" s="30">
        <v>0.85270186436594597</v>
      </c>
      <c r="Q14" s="30"/>
      <c r="R14" s="30">
        <v>0.79228559839637502</v>
      </c>
      <c r="S14" s="30">
        <v>0.59207558748224898</v>
      </c>
      <c r="T14" s="30">
        <v>0.72040626641132899</v>
      </c>
      <c r="U14" s="30">
        <v>0.64140645193085299</v>
      </c>
      <c r="V14" s="30">
        <v>0.59108033066829002</v>
      </c>
      <c r="W14" s="30">
        <v>0.72720239226008299</v>
      </c>
      <c r="X14" s="30">
        <v>0.62808687544742103</v>
      </c>
      <c r="Y14" s="30">
        <v>0.35382023577159899</v>
      </c>
      <c r="Z14" s="30">
        <v>0.602491861725439</v>
      </c>
      <c r="AA14" s="30"/>
      <c r="AB14" s="30" t="s">
        <v>76</v>
      </c>
      <c r="AC14" s="30" t="s">
        <v>76</v>
      </c>
      <c r="AD14" s="30" t="s">
        <v>76</v>
      </c>
      <c r="AE14" s="30" t="s">
        <v>76</v>
      </c>
      <c r="AF14" s="30"/>
      <c r="AG14" s="30" t="s">
        <v>76</v>
      </c>
      <c r="AH14" s="30" t="s">
        <v>76</v>
      </c>
      <c r="AI14" s="30"/>
      <c r="AJ14" s="30" t="s">
        <v>76</v>
      </c>
      <c r="AK14" s="30" t="s">
        <v>76</v>
      </c>
      <c r="AL14" s="30"/>
      <c r="AM14" s="30">
        <v>0.77980447626711602</v>
      </c>
      <c r="AN14" s="30">
        <v>0.33817890968421899</v>
      </c>
    </row>
    <row r="15" spans="2:40" x14ac:dyDescent="0.35">
      <c r="B15" s="31" t="s">
        <v>219</v>
      </c>
    </row>
    <row r="16" spans="2:40" x14ac:dyDescent="0.35">
      <c r="B16" t="s">
        <v>72</v>
      </c>
    </row>
    <row r="17" spans="2:2" x14ac:dyDescent="0.35">
      <c r="B17" t="s">
        <v>73</v>
      </c>
    </row>
    <row r="19" spans="2:2" x14ac:dyDescent="0.35">
      <c r="B19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B2:AN18"/>
  <sheetViews>
    <sheetView showGridLines="0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211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423</v>
      </c>
      <c r="D7" s="10">
        <v>228</v>
      </c>
      <c r="E7" s="10">
        <v>195</v>
      </c>
      <c r="F7" s="10"/>
      <c r="G7" s="10" t="s">
        <v>75</v>
      </c>
      <c r="H7" s="10">
        <v>423</v>
      </c>
      <c r="I7" s="10" t="s">
        <v>75</v>
      </c>
      <c r="J7" s="10"/>
      <c r="K7" s="10">
        <v>423</v>
      </c>
      <c r="L7" s="10" t="s">
        <v>75</v>
      </c>
      <c r="M7" s="10" t="s">
        <v>75</v>
      </c>
      <c r="N7" s="10"/>
      <c r="O7" s="10">
        <v>372</v>
      </c>
      <c r="P7" s="10">
        <v>41</v>
      </c>
      <c r="Q7" s="10"/>
      <c r="R7" s="10">
        <v>53</v>
      </c>
      <c r="S7" s="10">
        <v>82</v>
      </c>
      <c r="T7" s="10">
        <v>40</v>
      </c>
      <c r="U7" s="10">
        <v>50</v>
      </c>
      <c r="V7" s="10">
        <v>34</v>
      </c>
      <c r="W7" s="10">
        <v>53</v>
      </c>
      <c r="X7" s="10">
        <v>33</v>
      </c>
      <c r="Y7" s="10">
        <v>17</v>
      </c>
      <c r="Z7" s="10">
        <v>61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266</v>
      </c>
      <c r="AN7" s="10">
        <v>83</v>
      </c>
    </row>
    <row r="8" spans="2:40" ht="30" customHeight="1" x14ac:dyDescent="0.35">
      <c r="B8" s="11" t="s">
        <v>20</v>
      </c>
      <c r="C8" s="11">
        <v>380</v>
      </c>
      <c r="D8" s="11">
        <v>200</v>
      </c>
      <c r="E8" s="11">
        <v>180</v>
      </c>
      <c r="F8" s="11"/>
      <c r="G8" s="11" t="s">
        <v>75</v>
      </c>
      <c r="H8" s="11">
        <v>380</v>
      </c>
      <c r="I8" s="11" t="s">
        <v>75</v>
      </c>
      <c r="J8" s="11"/>
      <c r="K8" s="11">
        <v>380</v>
      </c>
      <c r="L8" s="11" t="s">
        <v>75</v>
      </c>
      <c r="M8" s="11" t="s">
        <v>75</v>
      </c>
      <c r="N8" s="11"/>
      <c r="O8" s="11">
        <v>333</v>
      </c>
      <c r="P8" s="11">
        <v>39</v>
      </c>
      <c r="Q8" s="11"/>
      <c r="R8" s="11">
        <v>53</v>
      </c>
      <c r="S8" s="11">
        <v>69</v>
      </c>
      <c r="T8" s="11">
        <v>37</v>
      </c>
      <c r="U8" s="11">
        <v>50</v>
      </c>
      <c r="V8" s="11">
        <v>31</v>
      </c>
      <c r="W8" s="11">
        <v>38</v>
      </c>
      <c r="X8" s="11">
        <v>44</v>
      </c>
      <c r="Y8" s="11">
        <v>14</v>
      </c>
      <c r="Z8" s="11">
        <v>44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237</v>
      </c>
      <c r="AN8" s="11">
        <v>76</v>
      </c>
    </row>
    <row r="9" spans="2:40" x14ac:dyDescent="0.35">
      <c r="B9" s="15" t="s">
        <v>166</v>
      </c>
      <c r="C9" s="14">
        <v>0.172933357610774</v>
      </c>
      <c r="D9" s="14">
        <v>0.202118638609871</v>
      </c>
      <c r="E9" s="14">
        <v>0.14045239099110701</v>
      </c>
      <c r="F9" s="14"/>
      <c r="G9" s="14" t="s">
        <v>76</v>
      </c>
      <c r="H9" s="14">
        <v>0.172933357610774</v>
      </c>
      <c r="I9" s="14" t="s">
        <v>76</v>
      </c>
      <c r="J9" s="14"/>
      <c r="K9" s="14">
        <v>0.172933357610774</v>
      </c>
      <c r="L9" s="14" t="s">
        <v>76</v>
      </c>
      <c r="M9" s="14" t="s">
        <v>76</v>
      </c>
      <c r="N9" s="14"/>
      <c r="O9" s="14">
        <v>0.157314743356577</v>
      </c>
      <c r="P9" s="14">
        <v>0.29787817537249001</v>
      </c>
      <c r="Q9" s="14"/>
      <c r="R9" s="14">
        <v>0.30025885278081899</v>
      </c>
      <c r="S9" s="14">
        <v>0.13057054505075</v>
      </c>
      <c r="T9" s="14">
        <v>0.17050536643166</v>
      </c>
      <c r="U9" s="14">
        <v>0.13677598497763699</v>
      </c>
      <c r="V9" s="14">
        <v>0.14412578128923501</v>
      </c>
      <c r="W9" s="14">
        <v>0.23661284142141001</v>
      </c>
      <c r="X9" s="14">
        <v>9.3146063509200905E-2</v>
      </c>
      <c r="Y9" s="14">
        <v>5.7160640630513203E-2</v>
      </c>
      <c r="Z9" s="14">
        <v>0.21285639314816199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0.26608609287027701</v>
      </c>
      <c r="AN9" s="14">
        <v>1.33187322235959E-2</v>
      </c>
    </row>
    <row r="10" spans="2:40" x14ac:dyDescent="0.35">
      <c r="B10" s="15" t="s">
        <v>167</v>
      </c>
      <c r="C10" s="14">
        <v>0.34613699486293298</v>
      </c>
      <c r="D10" s="14">
        <v>0.35366704662096199</v>
      </c>
      <c r="E10" s="14">
        <v>0.33775662806761297</v>
      </c>
      <c r="F10" s="14"/>
      <c r="G10" s="14" t="s">
        <v>76</v>
      </c>
      <c r="H10" s="14">
        <v>0.34613699486293298</v>
      </c>
      <c r="I10" s="14" t="s">
        <v>76</v>
      </c>
      <c r="J10" s="14"/>
      <c r="K10" s="14">
        <v>0.34613699486293298</v>
      </c>
      <c r="L10" s="14" t="s">
        <v>76</v>
      </c>
      <c r="M10" s="14" t="s">
        <v>76</v>
      </c>
      <c r="N10" s="14"/>
      <c r="O10" s="14">
        <v>0.33781998487478498</v>
      </c>
      <c r="P10" s="14">
        <v>0.40655658195005501</v>
      </c>
      <c r="Q10" s="14"/>
      <c r="R10" s="14">
        <v>0.30129820278651198</v>
      </c>
      <c r="S10" s="14">
        <v>0.28216880969126501</v>
      </c>
      <c r="T10" s="14">
        <v>0.44931673552370499</v>
      </c>
      <c r="U10" s="14">
        <v>0.347703171789709</v>
      </c>
      <c r="V10" s="14">
        <v>0.35155570330236002</v>
      </c>
      <c r="W10" s="14">
        <v>0.34597039708037403</v>
      </c>
      <c r="X10" s="14">
        <v>0.44635722827364699</v>
      </c>
      <c r="Y10" s="14">
        <v>0.22890371925209699</v>
      </c>
      <c r="Z10" s="14">
        <v>0.34452316878275102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0.41778708390844899</v>
      </c>
      <c r="AN10" s="14">
        <v>0.198667767825218</v>
      </c>
    </row>
    <row r="11" spans="2:40" x14ac:dyDescent="0.35">
      <c r="B11" s="15" t="s">
        <v>168</v>
      </c>
      <c r="C11" s="14">
        <v>0.308109593408466</v>
      </c>
      <c r="D11" s="14">
        <v>0.332231233688284</v>
      </c>
      <c r="E11" s="14">
        <v>0.28126406833832401</v>
      </c>
      <c r="F11" s="14"/>
      <c r="G11" s="14" t="s">
        <v>76</v>
      </c>
      <c r="H11" s="14">
        <v>0.308109593408466</v>
      </c>
      <c r="I11" s="14" t="s">
        <v>76</v>
      </c>
      <c r="J11" s="14"/>
      <c r="K11" s="14">
        <v>0.308109593408466</v>
      </c>
      <c r="L11" s="14" t="s">
        <v>76</v>
      </c>
      <c r="M11" s="14" t="s">
        <v>76</v>
      </c>
      <c r="N11" s="14"/>
      <c r="O11" s="14">
        <v>0.31531764721960198</v>
      </c>
      <c r="P11" s="14">
        <v>0.22720817860832501</v>
      </c>
      <c r="Q11" s="14"/>
      <c r="R11" s="14">
        <v>0.34001948099656498</v>
      </c>
      <c r="S11" s="14">
        <v>0.36685717045405702</v>
      </c>
      <c r="T11" s="14">
        <v>0.29828459589964801</v>
      </c>
      <c r="U11" s="14">
        <v>0.295739026424577</v>
      </c>
      <c r="V11" s="14">
        <v>0.32735208742238903</v>
      </c>
      <c r="W11" s="14">
        <v>0.242493182247424</v>
      </c>
      <c r="X11" s="14">
        <v>0.306898456866603</v>
      </c>
      <c r="Y11" s="14">
        <v>0.29978756684455099</v>
      </c>
      <c r="Z11" s="14">
        <v>0.24605916115929199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0.25973624129546302</v>
      </c>
      <c r="AN11" s="14">
        <v>0.292981280254556</v>
      </c>
    </row>
    <row r="12" spans="2:40" x14ac:dyDescent="0.35">
      <c r="B12" s="15" t="s">
        <v>169</v>
      </c>
      <c r="C12" s="14">
        <v>0.164788260845598</v>
      </c>
      <c r="D12" s="14">
        <v>0.100885060490158</v>
      </c>
      <c r="E12" s="14">
        <v>0.23590759383057699</v>
      </c>
      <c r="F12" s="14"/>
      <c r="G12" s="14" t="s">
        <v>76</v>
      </c>
      <c r="H12" s="14">
        <v>0.164788260845598</v>
      </c>
      <c r="I12" s="14" t="s">
        <v>76</v>
      </c>
      <c r="J12" s="14"/>
      <c r="K12" s="14">
        <v>0.164788260845598</v>
      </c>
      <c r="L12" s="14" t="s">
        <v>76</v>
      </c>
      <c r="M12" s="14" t="s">
        <v>76</v>
      </c>
      <c r="N12" s="14"/>
      <c r="O12" s="14">
        <v>0.18036730816492899</v>
      </c>
      <c r="P12" s="14">
        <v>6.8357064069131293E-2</v>
      </c>
      <c r="Q12" s="14"/>
      <c r="R12" s="14">
        <v>5.84234634361036E-2</v>
      </c>
      <c r="S12" s="14">
        <v>0.20835882326990501</v>
      </c>
      <c r="T12" s="14">
        <v>5.3420711116065202E-2</v>
      </c>
      <c r="U12" s="14">
        <v>0.19684082064627001</v>
      </c>
      <c r="V12" s="14">
        <v>0.176966427986016</v>
      </c>
      <c r="W12" s="14">
        <v>0.17492357925079199</v>
      </c>
      <c r="X12" s="14">
        <v>0.153598251350549</v>
      </c>
      <c r="Y12" s="14">
        <v>0.41414807327283898</v>
      </c>
      <c r="Z12" s="14">
        <v>0.196561276909794</v>
      </c>
      <c r="AA12" s="14"/>
      <c r="AB12" s="14" t="s">
        <v>76</v>
      </c>
      <c r="AC12" s="14" t="s">
        <v>76</v>
      </c>
      <c r="AD12" s="14" t="s">
        <v>76</v>
      </c>
      <c r="AE12" s="14" t="s">
        <v>76</v>
      </c>
      <c r="AF12" s="14"/>
      <c r="AG12" s="14" t="s">
        <v>76</v>
      </c>
      <c r="AH12" s="14" t="s">
        <v>76</v>
      </c>
      <c r="AI12" s="14"/>
      <c r="AJ12" s="14" t="s">
        <v>76</v>
      </c>
      <c r="AK12" s="14" t="s">
        <v>76</v>
      </c>
      <c r="AL12" s="14"/>
      <c r="AM12" s="14">
        <v>5.2879970292007E-2</v>
      </c>
      <c r="AN12" s="14">
        <v>0.48100577240640802</v>
      </c>
    </row>
    <row r="13" spans="2:40" x14ac:dyDescent="0.35">
      <c r="B13" s="15" t="s">
        <v>70</v>
      </c>
      <c r="C13" s="20">
        <v>8.0317932722283707E-3</v>
      </c>
      <c r="D13" s="20">
        <v>1.1098020590724201E-2</v>
      </c>
      <c r="E13" s="20">
        <v>4.6193187723784501E-3</v>
      </c>
      <c r="F13" s="20"/>
      <c r="G13" s="20" t="s">
        <v>76</v>
      </c>
      <c r="H13" s="20">
        <v>8.0317932722283707E-3</v>
      </c>
      <c r="I13" s="20" t="s">
        <v>76</v>
      </c>
      <c r="J13" s="20"/>
      <c r="K13" s="20">
        <v>8.0317932722283707E-3</v>
      </c>
      <c r="L13" s="20" t="s">
        <v>76</v>
      </c>
      <c r="M13" s="20" t="s">
        <v>76</v>
      </c>
      <c r="N13" s="20"/>
      <c r="O13" s="20">
        <v>9.1803163841066692E-3</v>
      </c>
      <c r="P13" s="20">
        <v>0</v>
      </c>
      <c r="Q13" s="20"/>
      <c r="R13" s="20">
        <v>0</v>
      </c>
      <c r="S13" s="20">
        <v>1.20446515340233E-2</v>
      </c>
      <c r="T13" s="20">
        <v>2.8472591028920899E-2</v>
      </c>
      <c r="U13" s="20">
        <v>2.2940996161807101E-2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/>
      <c r="AB13" s="20" t="s">
        <v>76</v>
      </c>
      <c r="AC13" s="20" t="s">
        <v>76</v>
      </c>
      <c r="AD13" s="20" t="s">
        <v>76</v>
      </c>
      <c r="AE13" s="20" t="s">
        <v>76</v>
      </c>
      <c r="AF13" s="20"/>
      <c r="AG13" s="20" t="s">
        <v>76</v>
      </c>
      <c r="AH13" s="20" t="s">
        <v>76</v>
      </c>
      <c r="AI13" s="20"/>
      <c r="AJ13" s="20" t="s">
        <v>76</v>
      </c>
      <c r="AK13" s="20" t="s">
        <v>76</v>
      </c>
      <c r="AL13" s="20"/>
      <c r="AM13" s="20">
        <v>3.5106116338043999E-3</v>
      </c>
      <c r="AN13" s="20">
        <v>1.40264472902226E-2</v>
      </c>
    </row>
    <row r="14" spans="2:40" x14ac:dyDescent="0.35">
      <c r="B14" s="31" t="s">
        <v>219</v>
      </c>
    </row>
    <row r="15" spans="2:40" x14ac:dyDescent="0.35">
      <c r="B15" t="s">
        <v>72</v>
      </c>
    </row>
    <row r="16" spans="2:40" x14ac:dyDescent="0.35">
      <c r="B16" t="s">
        <v>73</v>
      </c>
    </row>
    <row r="18" spans="2:2" x14ac:dyDescent="0.35">
      <c r="B18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B2:AN16"/>
  <sheetViews>
    <sheetView showGridLines="0" workbookViewId="0">
      <pane xSplit="2" topLeftCell="C1" activePane="topRight" state="frozen"/>
      <selection pane="topRight" activeCell="B12" sqref="B12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212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509</v>
      </c>
      <c r="D7" s="10">
        <v>269</v>
      </c>
      <c r="E7" s="10">
        <v>238</v>
      </c>
      <c r="F7" s="10"/>
      <c r="G7" s="10" t="s">
        <v>75</v>
      </c>
      <c r="H7" s="10">
        <v>509</v>
      </c>
      <c r="I7" s="10" t="s">
        <v>75</v>
      </c>
      <c r="J7" s="10"/>
      <c r="K7" s="10">
        <v>509</v>
      </c>
      <c r="L7" s="10" t="s">
        <v>75</v>
      </c>
      <c r="M7" s="10" t="s">
        <v>75</v>
      </c>
      <c r="N7" s="10"/>
      <c r="O7" s="10">
        <v>446</v>
      </c>
      <c r="P7" s="10">
        <v>51</v>
      </c>
      <c r="Q7" s="10"/>
      <c r="R7" s="10">
        <v>66</v>
      </c>
      <c r="S7" s="10">
        <v>89</v>
      </c>
      <c r="T7" s="10">
        <v>56</v>
      </c>
      <c r="U7" s="10">
        <v>54</v>
      </c>
      <c r="V7" s="10">
        <v>46</v>
      </c>
      <c r="W7" s="10">
        <v>64</v>
      </c>
      <c r="X7" s="10">
        <v>39</v>
      </c>
      <c r="Y7" s="10">
        <v>23</v>
      </c>
      <c r="Z7" s="10">
        <v>72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310</v>
      </c>
      <c r="AN7" s="10">
        <v>106</v>
      </c>
    </row>
    <row r="8" spans="2:40" ht="30" customHeight="1" x14ac:dyDescent="0.35">
      <c r="B8" s="11" t="s">
        <v>20</v>
      </c>
      <c r="C8" s="11">
        <v>459</v>
      </c>
      <c r="D8" s="11">
        <v>237</v>
      </c>
      <c r="E8" s="11">
        <v>220</v>
      </c>
      <c r="F8" s="11"/>
      <c r="G8" s="11" t="s">
        <v>75</v>
      </c>
      <c r="H8" s="11">
        <v>459</v>
      </c>
      <c r="I8" s="11" t="s">
        <v>75</v>
      </c>
      <c r="J8" s="11"/>
      <c r="K8" s="11">
        <v>459</v>
      </c>
      <c r="L8" s="11" t="s">
        <v>75</v>
      </c>
      <c r="M8" s="11" t="s">
        <v>75</v>
      </c>
      <c r="N8" s="11"/>
      <c r="O8" s="11">
        <v>401</v>
      </c>
      <c r="P8" s="11">
        <v>47</v>
      </c>
      <c r="Q8" s="11"/>
      <c r="R8" s="11">
        <v>66</v>
      </c>
      <c r="S8" s="11">
        <v>75</v>
      </c>
      <c r="T8" s="11">
        <v>53</v>
      </c>
      <c r="U8" s="11">
        <v>55</v>
      </c>
      <c r="V8" s="11">
        <v>42</v>
      </c>
      <c r="W8" s="11">
        <v>46</v>
      </c>
      <c r="X8" s="11">
        <v>52</v>
      </c>
      <c r="Y8" s="11">
        <v>19</v>
      </c>
      <c r="Z8" s="11">
        <v>51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277</v>
      </c>
      <c r="AN8" s="11">
        <v>97</v>
      </c>
    </row>
    <row r="9" spans="2:40" x14ac:dyDescent="0.35">
      <c r="B9" s="15" t="s">
        <v>44</v>
      </c>
      <c r="C9" s="14">
        <v>0.80965554381498295</v>
      </c>
      <c r="D9" s="14">
        <v>0.77599783221825702</v>
      </c>
      <c r="E9" s="14">
        <v>0.84990574468080504</v>
      </c>
      <c r="F9" s="14"/>
      <c r="G9" s="14" t="s">
        <v>76</v>
      </c>
      <c r="H9" s="14">
        <v>0.80965554381498295</v>
      </c>
      <c r="I9" s="14" t="s">
        <v>76</v>
      </c>
      <c r="J9" s="14"/>
      <c r="K9" s="14">
        <v>0.80965554381498295</v>
      </c>
      <c r="L9" s="14" t="s">
        <v>76</v>
      </c>
      <c r="M9" s="14" t="s">
        <v>76</v>
      </c>
      <c r="N9" s="14"/>
      <c r="O9" s="14">
        <v>0.81137191412881604</v>
      </c>
      <c r="P9" s="14">
        <v>0.78756249815482604</v>
      </c>
      <c r="Q9" s="14"/>
      <c r="R9" s="14">
        <v>0.82597748915781199</v>
      </c>
      <c r="S9" s="14">
        <v>0.81010871151641795</v>
      </c>
      <c r="T9" s="14">
        <v>0.74909223974002703</v>
      </c>
      <c r="U9" s="14">
        <v>0.78335646615464805</v>
      </c>
      <c r="V9" s="14">
        <v>0.73412826368004203</v>
      </c>
      <c r="W9" s="14">
        <v>0.84593316322701295</v>
      </c>
      <c r="X9" s="14">
        <v>0.79074933090125199</v>
      </c>
      <c r="Y9" s="14">
        <v>0.829517542521369</v>
      </c>
      <c r="Z9" s="14">
        <v>0.91938610056062697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0.846002349165907</v>
      </c>
      <c r="AN9" s="14">
        <v>0.73978758108318299</v>
      </c>
    </row>
    <row r="10" spans="2:40" x14ac:dyDescent="0.35">
      <c r="B10" s="15" t="s">
        <v>45</v>
      </c>
      <c r="C10" s="14">
        <v>0.15555992659854501</v>
      </c>
      <c r="D10" s="14">
        <v>0.17709674489590699</v>
      </c>
      <c r="E10" s="14">
        <v>0.13378401642957999</v>
      </c>
      <c r="F10" s="14"/>
      <c r="G10" s="14" t="s">
        <v>76</v>
      </c>
      <c r="H10" s="14">
        <v>0.15555992659854501</v>
      </c>
      <c r="I10" s="14" t="s">
        <v>76</v>
      </c>
      <c r="J10" s="14"/>
      <c r="K10" s="14">
        <v>0.15555992659854501</v>
      </c>
      <c r="L10" s="14" t="s">
        <v>76</v>
      </c>
      <c r="M10" s="14" t="s">
        <v>76</v>
      </c>
      <c r="N10" s="14"/>
      <c r="O10" s="14">
        <v>0.15510083698619401</v>
      </c>
      <c r="P10" s="14">
        <v>0.17742736054147601</v>
      </c>
      <c r="Q10" s="14"/>
      <c r="R10" s="14">
        <v>0.109688221899631</v>
      </c>
      <c r="S10" s="14">
        <v>0.136636069371529</v>
      </c>
      <c r="T10" s="14">
        <v>0.25090776025997302</v>
      </c>
      <c r="U10" s="14">
        <v>0.14246668872228599</v>
      </c>
      <c r="V10" s="14">
        <v>0.24544832277759299</v>
      </c>
      <c r="W10" s="14">
        <v>0.13886906821616299</v>
      </c>
      <c r="X10" s="14">
        <v>0.185062176595892</v>
      </c>
      <c r="Y10" s="14">
        <v>0.12632995447845899</v>
      </c>
      <c r="Z10" s="14">
        <v>8.0613899439373499E-2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0.12647775752569601</v>
      </c>
      <c r="AN10" s="14">
        <v>0.22211823704414699</v>
      </c>
    </row>
    <row r="11" spans="2:40" x14ac:dyDescent="0.35">
      <c r="B11" s="15" t="s">
        <v>70</v>
      </c>
      <c r="C11" s="20">
        <v>3.4784529586472102E-2</v>
      </c>
      <c r="D11" s="20">
        <v>4.6905422885836601E-2</v>
      </c>
      <c r="E11" s="20">
        <v>1.6310238889615102E-2</v>
      </c>
      <c r="F11" s="20"/>
      <c r="G11" s="20" t="s">
        <v>76</v>
      </c>
      <c r="H11" s="20">
        <v>3.4784529586472102E-2</v>
      </c>
      <c r="I11" s="20" t="s">
        <v>76</v>
      </c>
      <c r="J11" s="20"/>
      <c r="K11" s="20">
        <v>3.4784529586472102E-2</v>
      </c>
      <c r="L11" s="20" t="s">
        <v>76</v>
      </c>
      <c r="M11" s="20" t="s">
        <v>76</v>
      </c>
      <c r="N11" s="20"/>
      <c r="O11" s="20">
        <v>3.3527248884989903E-2</v>
      </c>
      <c r="P11" s="20">
        <v>3.5010141303698297E-2</v>
      </c>
      <c r="Q11" s="20"/>
      <c r="R11" s="20">
        <v>6.4334288942556203E-2</v>
      </c>
      <c r="S11" s="20">
        <v>5.3255219112053297E-2</v>
      </c>
      <c r="T11" s="20">
        <v>0</v>
      </c>
      <c r="U11" s="20">
        <v>7.4176845123065896E-2</v>
      </c>
      <c r="V11" s="20">
        <v>2.0423413542364901E-2</v>
      </c>
      <c r="W11" s="20">
        <v>1.51977685568239E-2</v>
      </c>
      <c r="X11" s="20">
        <v>2.41884925028556E-2</v>
      </c>
      <c r="Y11" s="20">
        <v>4.41525030001719E-2</v>
      </c>
      <c r="Z11" s="20">
        <v>0</v>
      </c>
      <c r="AA11" s="20"/>
      <c r="AB11" s="20" t="s">
        <v>76</v>
      </c>
      <c r="AC11" s="20" t="s">
        <v>76</v>
      </c>
      <c r="AD11" s="20" t="s">
        <v>76</v>
      </c>
      <c r="AE11" s="20" t="s">
        <v>76</v>
      </c>
      <c r="AF11" s="20"/>
      <c r="AG11" s="20" t="s">
        <v>76</v>
      </c>
      <c r="AH11" s="20" t="s">
        <v>76</v>
      </c>
      <c r="AI11" s="20"/>
      <c r="AJ11" s="20" t="s">
        <v>76</v>
      </c>
      <c r="AK11" s="20" t="s">
        <v>76</v>
      </c>
      <c r="AL11" s="20"/>
      <c r="AM11" s="20">
        <v>2.7519893308396801E-2</v>
      </c>
      <c r="AN11" s="20">
        <v>3.8094181872670302E-2</v>
      </c>
    </row>
    <row r="12" spans="2:40" x14ac:dyDescent="0.35">
      <c r="B12" s="27" t="s">
        <v>209</v>
      </c>
    </row>
    <row r="13" spans="2:40" x14ac:dyDescent="0.35">
      <c r="B13" t="s">
        <v>72</v>
      </c>
    </row>
    <row r="14" spans="2:40" x14ac:dyDescent="0.35">
      <c r="B14" t="s">
        <v>73</v>
      </c>
    </row>
    <row r="16" spans="2:40" x14ac:dyDescent="0.35">
      <c r="B16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B2:AN18"/>
  <sheetViews>
    <sheetView showGridLines="0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213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416</v>
      </c>
      <c r="D7" s="10">
        <v>211</v>
      </c>
      <c r="E7" s="10">
        <v>204</v>
      </c>
      <c r="F7" s="10"/>
      <c r="G7" s="10" t="s">
        <v>75</v>
      </c>
      <c r="H7" s="10">
        <v>416</v>
      </c>
      <c r="I7" s="10" t="s">
        <v>75</v>
      </c>
      <c r="J7" s="10"/>
      <c r="K7" s="10">
        <v>416</v>
      </c>
      <c r="L7" s="10" t="s">
        <v>75</v>
      </c>
      <c r="M7" s="10" t="s">
        <v>75</v>
      </c>
      <c r="N7" s="10"/>
      <c r="O7" s="10">
        <v>366</v>
      </c>
      <c r="P7" s="10">
        <v>40</v>
      </c>
      <c r="Q7" s="10"/>
      <c r="R7" s="10">
        <v>55</v>
      </c>
      <c r="S7" s="10">
        <v>73</v>
      </c>
      <c r="T7" s="10">
        <v>42</v>
      </c>
      <c r="U7" s="10">
        <v>42</v>
      </c>
      <c r="V7" s="10">
        <v>34</v>
      </c>
      <c r="W7" s="10">
        <v>54</v>
      </c>
      <c r="X7" s="10">
        <v>31</v>
      </c>
      <c r="Y7" s="10">
        <v>19</v>
      </c>
      <c r="Z7" s="10">
        <v>66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263</v>
      </c>
      <c r="AN7" s="10">
        <v>80</v>
      </c>
    </row>
    <row r="8" spans="2:40" ht="30" customHeight="1" x14ac:dyDescent="0.35">
      <c r="B8" s="11" t="s">
        <v>20</v>
      </c>
      <c r="C8" s="11">
        <v>372</v>
      </c>
      <c r="D8" s="11">
        <v>184</v>
      </c>
      <c r="E8" s="11">
        <v>187</v>
      </c>
      <c r="F8" s="11"/>
      <c r="G8" s="11" t="s">
        <v>75</v>
      </c>
      <c r="H8" s="11">
        <v>372</v>
      </c>
      <c r="I8" s="11" t="s">
        <v>75</v>
      </c>
      <c r="J8" s="11"/>
      <c r="K8" s="11">
        <v>372</v>
      </c>
      <c r="L8" s="11" t="s">
        <v>75</v>
      </c>
      <c r="M8" s="11" t="s">
        <v>75</v>
      </c>
      <c r="N8" s="11"/>
      <c r="O8" s="11">
        <v>326</v>
      </c>
      <c r="P8" s="11">
        <v>37</v>
      </c>
      <c r="Q8" s="11"/>
      <c r="R8" s="11">
        <v>55</v>
      </c>
      <c r="S8" s="11">
        <v>61</v>
      </c>
      <c r="T8" s="11">
        <v>40</v>
      </c>
      <c r="U8" s="11">
        <v>43</v>
      </c>
      <c r="V8" s="11">
        <v>31</v>
      </c>
      <c r="W8" s="11">
        <v>39</v>
      </c>
      <c r="X8" s="11">
        <v>41</v>
      </c>
      <c r="Y8" s="11">
        <v>16</v>
      </c>
      <c r="Z8" s="11">
        <v>47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234</v>
      </c>
      <c r="AN8" s="11">
        <v>72</v>
      </c>
    </row>
    <row r="9" spans="2:40" x14ac:dyDescent="0.35">
      <c r="B9" s="15" t="s">
        <v>155</v>
      </c>
      <c r="C9" s="14">
        <v>0.17955045789665</v>
      </c>
      <c r="D9" s="14">
        <v>0.176770183700793</v>
      </c>
      <c r="E9" s="14">
        <v>0.18306989415703701</v>
      </c>
      <c r="F9" s="14"/>
      <c r="G9" s="14" t="s">
        <v>76</v>
      </c>
      <c r="H9" s="14">
        <v>0.17955045789665</v>
      </c>
      <c r="I9" s="14" t="s">
        <v>76</v>
      </c>
      <c r="J9" s="14"/>
      <c r="K9" s="14">
        <v>0.17955045789665</v>
      </c>
      <c r="L9" s="14" t="s">
        <v>76</v>
      </c>
      <c r="M9" s="14" t="s">
        <v>76</v>
      </c>
      <c r="N9" s="14"/>
      <c r="O9" s="14">
        <v>0.159344305093477</v>
      </c>
      <c r="P9" s="14">
        <v>0.304879084642528</v>
      </c>
      <c r="Q9" s="14"/>
      <c r="R9" s="14">
        <v>0.26042197479079998</v>
      </c>
      <c r="S9" s="14">
        <v>0.123429831073838</v>
      </c>
      <c r="T9" s="14">
        <v>0.139898468265648</v>
      </c>
      <c r="U9" s="14">
        <v>0.241221584312416</v>
      </c>
      <c r="V9" s="14">
        <v>0.23207711426451899</v>
      </c>
      <c r="W9" s="14">
        <v>0.30814950638477101</v>
      </c>
      <c r="X9" s="14">
        <v>3.2219713860961098E-2</v>
      </c>
      <c r="Y9" s="14">
        <v>0.221656287312893</v>
      </c>
      <c r="Z9" s="14">
        <v>0.110204054044352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0.22016251706791301</v>
      </c>
      <c r="AN9" s="14">
        <v>8.2677476418438006E-2</v>
      </c>
    </row>
    <row r="10" spans="2:40" x14ac:dyDescent="0.35">
      <c r="B10" s="15" t="s">
        <v>156</v>
      </c>
      <c r="C10" s="14">
        <v>0.583041949053825</v>
      </c>
      <c r="D10" s="14">
        <v>0.57552647331075202</v>
      </c>
      <c r="E10" s="14">
        <v>0.588635048765902</v>
      </c>
      <c r="F10" s="14"/>
      <c r="G10" s="14" t="s">
        <v>76</v>
      </c>
      <c r="H10" s="14">
        <v>0.583041949053825</v>
      </c>
      <c r="I10" s="14" t="s">
        <v>76</v>
      </c>
      <c r="J10" s="14"/>
      <c r="K10" s="14">
        <v>0.583041949053825</v>
      </c>
      <c r="L10" s="14" t="s">
        <v>76</v>
      </c>
      <c r="M10" s="14" t="s">
        <v>76</v>
      </c>
      <c r="N10" s="14"/>
      <c r="O10" s="14">
        <v>0.58407030491604195</v>
      </c>
      <c r="P10" s="14">
        <v>0.59459313670726099</v>
      </c>
      <c r="Q10" s="14"/>
      <c r="R10" s="14">
        <v>0.53949685004885795</v>
      </c>
      <c r="S10" s="14">
        <v>0.60225786088302202</v>
      </c>
      <c r="T10" s="14">
        <v>0.506571467433519</v>
      </c>
      <c r="U10" s="14">
        <v>0.51696711637876902</v>
      </c>
      <c r="V10" s="14">
        <v>0.43929119926902699</v>
      </c>
      <c r="W10" s="14">
        <v>0.49004041931913001</v>
      </c>
      <c r="X10" s="14">
        <v>0.86751751832345003</v>
      </c>
      <c r="Y10" s="14">
        <v>0.57242158170325597</v>
      </c>
      <c r="Z10" s="14">
        <v>0.65844112055824999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0.55564752585482802</v>
      </c>
      <c r="AN10" s="14">
        <v>0.57072748136113804</v>
      </c>
    </row>
    <row r="11" spans="2:40" x14ac:dyDescent="0.35">
      <c r="B11" s="15" t="s">
        <v>157</v>
      </c>
      <c r="C11" s="14">
        <v>0.18395211606918599</v>
      </c>
      <c r="D11" s="14">
        <v>0.18282230240282199</v>
      </c>
      <c r="E11" s="14">
        <v>0.18586453525719501</v>
      </c>
      <c r="F11" s="14"/>
      <c r="G11" s="14" t="s">
        <v>76</v>
      </c>
      <c r="H11" s="14">
        <v>0.18395211606918599</v>
      </c>
      <c r="I11" s="14" t="s">
        <v>76</v>
      </c>
      <c r="J11" s="14"/>
      <c r="K11" s="14">
        <v>0.18395211606918599</v>
      </c>
      <c r="L11" s="14" t="s">
        <v>76</v>
      </c>
      <c r="M11" s="14" t="s">
        <v>76</v>
      </c>
      <c r="N11" s="14"/>
      <c r="O11" s="14">
        <v>0.19557028333111101</v>
      </c>
      <c r="P11" s="14">
        <v>0.10052777865021099</v>
      </c>
      <c r="Q11" s="14"/>
      <c r="R11" s="14">
        <v>0.144298493116125</v>
      </c>
      <c r="S11" s="14">
        <v>0.192589546419313</v>
      </c>
      <c r="T11" s="14">
        <v>0.30291976595110898</v>
      </c>
      <c r="U11" s="14">
        <v>0.17341010890752201</v>
      </c>
      <c r="V11" s="14">
        <v>0.242127072375486</v>
      </c>
      <c r="W11" s="14">
        <v>0.18130633680848501</v>
      </c>
      <c r="X11" s="14">
        <v>6.9331740994676594E-2</v>
      </c>
      <c r="Y11" s="14">
        <v>0.15482431200140301</v>
      </c>
      <c r="Z11" s="14">
        <v>0.202391544528605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0.16570323294361899</v>
      </c>
      <c r="AN11" s="14">
        <v>0.26097742825235298</v>
      </c>
    </row>
    <row r="12" spans="2:40" x14ac:dyDescent="0.35">
      <c r="B12" s="15" t="s">
        <v>158</v>
      </c>
      <c r="C12" s="14">
        <v>3.92475958648267E-2</v>
      </c>
      <c r="D12" s="14">
        <v>5.01474826130077E-2</v>
      </c>
      <c r="E12" s="14">
        <v>2.8678840213763698E-2</v>
      </c>
      <c r="F12" s="14"/>
      <c r="G12" s="14" t="s">
        <v>76</v>
      </c>
      <c r="H12" s="14">
        <v>3.92475958648267E-2</v>
      </c>
      <c r="I12" s="14" t="s">
        <v>76</v>
      </c>
      <c r="J12" s="14"/>
      <c r="K12" s="14">
        <v>3.92475958648267E-2</v>
      </c>
      <c r="L12" s="14" t="s">
        <v>76</v>
      </c>
      <c r="M12" s="14" t="s">
        <v>76</v>
      </c>
      <c r="N12" s="14"/>
      <c r="O12" s="14">
        <v>4.4797958658137502E-2</v>
      </c>
      <c r="P12" s="14">
        <v>0</v>
      </c>
      <c r="Q12" s="14"/>
      <c r="R12" s="14">
        <v>5.5782682044217498E-2</v>
      </c>
      <c r="S12" s="14">
        <v>5.4356595218103002E-2</v>
      </c>
      <c r="T12" s="14">
        <v>2.3635620328882299E-2</v>
      </c>
      <c r="U12" s="14">
        <v>4.60092446288934E-2</v>
      </c>
      <c r="V12" s="14">
        <v>5.7162283950680799E-2</v>
      </c>
      <c r="W12" s="14">
        <v>2.0503737487614099E-2</v>
      </c>
      <c r="X12" s="14">
        <v>3.0931026820912502E-2</v>
      </c>
      <c r="Y12" s="14">
        <v>5.1097818982449E-2</v>
      </c>
      <c r="Z12" s="14">
        <v>1.4481640434396601E-2</v>
      </c>
      <c r="AA12" s="14"/>
      <c r="AB12" s="14" t="s">
        <v>76</v>
      </c>
      <c r="AC12" s="14" t="s">
        <v>76</v>
      </c>
      <c r="AD12" s="14" t="s">
        <v>76</v>
      </c>
      <c r="AE12" s="14" t="s">
        <v>76</v>
      </c>
      <c r="AF12" s="14"/>
      <c r="AG12" s="14" t="s">
        <v>76</v>
      </c>
      <c r="AH12" s="14" t="s">
        <v>76</v>
      </c>
      <c r="AI12" s="14"/>
      <c r="AJ12" s="14" t="s">
        <v>76</v>
      </c>
      <c r="AK12" s="14" t="s">
        <v>76</v>
      </c>
      <c r="AL12" s="14"/>
      <c r="AM12" s="14">
        <v>5.0386987337857098E-2</v>
      </c>
      <c r="AN12" s="14">
        <v>3.8645224762510699E-2</v>
      </c>
    </row>
    <row r="13" spans="2:40" x14ac:dyDescent="0.35">
      <c r="B13" s="15" t="s">
        <v>70</v>
      </c>
      <c r="C13" s="20">
        <v>1.4207881115511901E-2</v>
      </c>
      <c r="D13" s="20">
        <v>1.4733557972625501E-2</v>
      </c>
      <c r="E13" s="20">
        <v>1.3751681606103201E-2</v>
      </c>
      <c r="F13" s="20"/>
      <c r="G13" s="20" t="s">
        <v>76</v>
      </c>
      <c r="H13" s="20">
        <v>1.4207881115511901E-2</v>
      </c>
      <c r="I13" s="20" t="s">
        <v>76</v>
      </c>
      <c r="J13" s="20"/>
      <c r="K13" s="20">
        <v>1.4207881115511901E-2</v>
      </c>
      <c r="L13" s="20" t="s">
        <v>76</v>
      </c>
      <c r="M13" s="20" t="s">
        <v>76</v>
      </c>
      <c r="N13" s="20"/>
      <c r="O13" s="20">
        <v>1.6217148001232001E-2</v>
      </c>
      <c r="P13" s="20">
        <v>0</v>
      </c>
      <c r="Q13" s="20"/>
      <c r="R13" s="20">
        <v>0</v>
      </c>
      <c r="S13" s="20">
        <v>2.7366166405724299E-2</v>
      </c>
      <c r="T13" s="20">
        <v>2.6974678020841501E-2</v>
      </c>
      <c r="U13" s="20">
        <v>2.2391945772398999E-2</v>
      </c>
      <c r="V13" s="20">
        <v>2.9342330140286501E-2</v>
      </c>
      <c r="W13" s="20">
        <v>0</v>
      </c>
      <c r="X13" s="20">
        <v>0</v>
      </c>
      <c r="Y13" s="20">
        <v>0</v>
      </c>
      <c r="Z13" s="20">
        <v>1.4481640434396601E-2</v>
      </c>
      <c r="AA13" s="20"/>
      <c r="AB13" s="20" t="s">
        <v>76</v>
      </c>
      <c r="AC13" s="20" t="s">
        <v>76</v>
      </c>
      <c r="AD13" s="20" t="s">
        <v>76</v>
      </c>
      <c r="AE13" s="20" t="s">
        <v>76</v>
      </c>
      <c r="AF13" s="20"/>
      <c r="AG13" s="20" t="s">
        <v>76</v>
      </c>
      <c r="AH13" s="20" t="s">
        <v>76</v>
      </c>
      <c r="AI13" s="20"/>
      <c r="AJ13" s="20" t="s">
        <v>76</v>
      </c>
      <c r="AK13" s="20" t="s">
        <v>76</v>
      </c>
      <c r="AL13" s="20"/>
      <c r="AM13" s="20">
        <v>8.0997367957825299E-3</v>
      </c>
      <c r="AN13" s="20">
        <v>4.6972389205560398E-2</v>
      </c>
    </row>
    <row r="14" spans="2:40" x14ac:dyDescent="0.35">
      <c r="B14" s="27" t="s">
        <v>224</v>
      </c>
    </row>
    <row r="15" spans="2:40" x14ac:dyDescent="0.35">
      <c r="B15" t="s">
        <v>72</v>
      </c>
    </row>
    <row r="16" spans="2:40" x14ac:dyDescent="0.35">
      <c r="B16" t="s">
        <v>73</v>
      </c>
    </row>
    <row r="18" spans="2:2" x14ac:dyDescent="0.35">
      <c r="B18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B2:AN19"/>
  <sheetViews>
    <sheetView showGridLines="0" workbookViewId="0">
      <pane xSplit="2" topLeftCell="C1" activePane="topRight" state="frozen"/>
      <selection pane="topRight" activeCell="B15" sqref="B15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215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416</v>
      </c>
      <c r="D7" s="10">
        <v>211</v>
      </c>
      <c r="E7" s="10">
        <v>204</v>
      </c>
      <c r="F7" s="10"/>
      <c r="G7" s="10" t="s">
        <v>75</v>
      </c>
      <c r="H7" s="10">
        <v>416</v>
      </c>
      <c r="I7" s="10" t="s">
        <v>75</v>
      </c>
      <c r="J7" s="10"/>
      <c r="K7" s="10">
        <v>416</v>
      </c>
      <c r="L7" s="10" t="s">
        <v>75</v>
      </c>
      <c r="M7" s="10" t="s">
        <v>75</v>
      </c>
      <c r="N7" s="10"/>
      <c r="O7" s="10">
        <v>366</v>
      </c>
      <c r="P7" s="10">
        <v>40</v>
      </c>
      <c r="Q7" s="10"/>
      <c r="R7" s="10">
        <v>55</v>
      </c>
      <c r="S7" s="10">
        <v>73</v>
      </c>
      <c r="T7" s="10">
        <v>42</v>
      </c>
      <c r="U7" s="10">
        <v>42</v>
      </c>
      <c r="V7" s="10">
        <v>34</v>
      </c>
      <c r="W7" s="10">
        <v>54</v>
      </c>
      <c r="X7" s="10">
        <v>31</v>
      </c>
      <c r="Y7" s="10">
        <v>19</v>
      </c>
      <c r="Z7" s="10">
        <v>66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263</v>
      </c>
      <c r="AN7" s="10">
        <v>80</v>
      </c>
    </row>
    <row r="8" spans="2:40" ht="30" customHeight="1" x14ac:dyDescent="0.35">
      <c r="B8" s="11" t="s">
        <v>20</v>
      </c>
      <c r="C8" s="11">
        <v>372</v>
      </c>
      <c r="D8" s="11">
        <v>184</v>
      </c>
      <c r="E8" s="11">
        <v>187</v>
      </c>
      <c r="F8" s="11"/>
      <c r="G8" s="11" t="s">
        <v>75</v>
      </c>
      <c r="H8" s="11">
        <v>372</v>
      </c>
      <c r="I8" s="11" t="s">
        <v>75</v>
      </c>
      <c r="J8" s="11"/>
      <c r="K8" s="11">
        <v>372</v>
      </c>
      <c r="L8" s="11" t="s">
        <v>75</v>
      </c>
      <c r="M8" s="11" t="s">
        <v>75</v>
      </c>
      <c r="N8" s="11"/>
      <c r="O8" s="11">
        <v>326</v>
      </c>
      <c r="P8" s="11">
        <v>37</v>
      </c>
      <c r="Q8" s="11"/>
      <c r="R8" s="11">
        <v>55</v>
      </c>
      <c r="S8" s="11">
        <v>61</v>
      </c>
      <c r="T8" s="11">
        <v>40</v>
      </c>
      <c r="U8" s="11">
        <v>43</v>
      </c>
      <c r="V8" s="11">
        <v>31</v>
      </c>
      <c r="W8" s="11">
        <v>39</v>
      </c>
      <c r="X8" s="11">
        <v>41</v>
      </c>
      <c r="Y8" s="11">
        <v>16</v>
      </c>
      <c r="Z8" s="11">
        <v>47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234</v>
      </c>
      <c r="AN8" s="11">
        <v>72</v>
      </c>
    </row>
    <row r="9" spans="2:40" x14ac:dyDescent="0.35">
      <c r="B9" s="15" t="s">
        <v>160</v>
      </c>
      <c r="C9" s="14">
        <v>0.20117622765413501</v>
      </c>
      <c r="D9" s="14">
        <v>0.22134662266385099</v>
      </c>
      <c r="E9" s="14">
        <v>0.182177123068434</v>
      </c>
      <c r="F9" s="14"/>
      <c r="G9" s="14" t="s">
        <v>76</v>
      </c>
      <c r="H9" s="14">
        <v>0.20117622765413501</v>
      </c>
      <c r="I9" s="14" t="s">
        <v>76</v>
      </c>
      <c r="J9" s="14"/>
      <c r="K9" s="14">
        <v>0.20117622765413501</v>
      </c>
      <c r="L9" s="14" t="s">
        <v>76</v>
      </c>
      <c r="M9" s="14" t="s">
        <v>76</v>
      </c>
      <c r="N9" s="14"/>
      <c r="O9" s="14">
        <v>0.194177319417254</v>
      </c>
      <c r="P9" s="14">
        <v>0.25908706113711</v>
      </c>
      <c r="Q9" s="14"/>
      <c r="R9" s="14">
        <v>0.279071047278936</v>
      </c>
      <c r="S9" s="14">
        <v>0.187961430804164</v>
      </c>
      <c r="T9" s="14">
        <v>0.16769852949825201</v>
      </c>
      <c r="U9" s="14">
        <v>0.14283914692571101</v>
      </c>
      <c r="V9" s="14">
        <v>0.25800682707350098</v>
      </c>
      <c r="W9" s="14">
        <v>0.25374970832511301</v>
      </c>
      <c r="X9" s="14">
        <v>0.19692190902732801</v>
      </c>
      <c r="Y9" s="14">
        <v>0.103691868588417</v>
      </c>
      <c r="Z9" s="14">
        <v>0.16597280537689599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0.279874668493934</v>
      </c>
      <c r="AN9" s="14">
        <v>1.5616358918106799E-2</v>
      </c>
    </row>
    <row r="10" spans="2:40" x14ac:dyDescent="0.35">
      <c r="B10" s="15" t="s">
        <v>161</v>
      </c>
      <c r="C10" s="14">
        <v>0.59061291683867101</v>
      </c>
      <c r="D10" s="14">
        <v>0.59671491785035802</v>
      </c>
      <c r="E10" s="14">
        <v>0.58282208157846604</v>
      </c>
      <c r="F10" s="14"/>
      <c r="G10" s="14" t="s">
        <v>76</v>
      </c>
      <c r="H10" s="14">
        <v>0.59061291683867101</v>
      </c>
      <c r="I10" s="14" t="s">
        <v>76</v>
      </c>
      <c r="J10" s="14"/>
      <c r="K10" s="14">
        <v>0.59061291683867101</v>
      </c>
      <c r="L10" s="14" t="s">
        <v>76</v>
      </c>
      <c r="M10" s="14" t="s">
        <v>76</v>
      </c>
      <c r="N10" s="14"/>
      <c r="O10" s="14">
        <v>0.57843920828406303</v>
      </c>
      <c r="P10" s="14">
        <v>0.69769383183396105</v>
      </c>
      <c r="Q10" s="14"/>
      <c r="R10" s="14">
        <v>0.51879145209737398</v>
      </c>
      <c r="S10" s="14">
        <v>0.58826005109902901</v>
      </c>
      <c r="T10" s="14">
        <v>0.56056651613506303</v>
      </c>
      <c r="U10" s="14">
        <v>0.65045121285645902</v>
      </c>
      <c r="V10" s="14">
        <v>0.47235629975311499</v>
      </c>
      <c r="W10" s="14">
        <v>0.57433056732884202</v>
      </c>
      <c r="X10" s="14">
        <v>0.67715959084281596</v>
      </c>
      <c r="Y10" s="14">
        <v>0.62142511805124501</v>
      </c>
      <c r="Z10" s="14">
        <v>0.65217929787301998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0.59049928605579205</v>
      </c>
      <c r="AN10" s="14">
        <v>0.54028876945378601</v>
      </c>
    </row>
    <row r="11" spans="2:40" x14ac:dyDescent="0.35">
      <c r="B11" s="15" t="s">
        <v>162</v>
      </c>
      <c r="C11" s="14">
        <v>0.17697648741337299</v>
      </c>
      <c r="D11" s="14">
        <v>0.14772238454355599</v>
      </c>
      <c r="E11" s="14">
        <v>0.20656849007467001</v>
      </c>
      <c r="F11" s="14"/>
      <c r="G11" s="14" t="s">
        <v>76</v>
      </c>
      <c r="H11" s="14">
        <v>0.17697648741337299</v>
      </c>
      <c r="I11" s="14" t="s">
        <v>76</v>
      </c>
      <c r="J11" s="14"/>
      <c r="K11" s="14">
        <v>0.17697648741337299</v>
      </c>
      <c r="L11" s="14" t="s">
        <v>76</v>
      </c>
      <c r="M11" s="14" t="s">
        <v>76</v>
      </c>
      <c r="N11" s="14"/>
      <c r="O11" s="14">
        <v>0.19173196550577901</v>
      </c>
      <c r="P11" s="14">
        <v>4.3219107028928699E-2</v>
      </c>
      <c r="Q11" s="14"/>
      <c r="R11" s="14">
        <v>0.146354818579472</v>
      </c>
      <c r="S11" s="14">
        <v>0.19417203906187999</v>
      </c>
      <c r="T11" s="14">
        <v>0.24328414393266301</v>
      </c>
      <c r="U11" s="14">
        <v>0.184317694445431</v>
      </c>
      <c r="V11" s="14">
        <v>0.24029454227414401</v>
      </c>
      <c r="W11" s="14">
        <v>0.15029397085865101</v>
      </c>
      <c r="X11" s="14">
        <v>0.125918500129856</v>
      </c>
      <c r="Y11" s="14">
        <v>0.224417870850317</v>
      </c>
      <c r="Z11" s="14">
        <v>0.13681803350808799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0.113822663889474</v>
      </c>
      <c r="AN11" s="14">
        <v>0.33431697631679202</v>
      </c>
    </row>
    <row r="12" spans="2:40" x14ac:dyDescent="0.35">
      <c r="B12" s="15" t="s">
        <v>163</v>
      </c>
      <c r="C12" s="14">
        <v>2.1174081859490001E-2</v>
      </c>
      <c r="D12" s="14">
        <v>1.39006877902035E-2</v>
      </c>
      <c r="E12" s="14">
        <v>2.8432305278429899E-2</v>
      </c>
      <c r="F12" s="14"/>
      <c r="G12" s="14" t="s">
        <v>76</v>
      </c>
      <c r="H12" s="14">
        <v>2.1174081859490001E-2</v>
      </c>
      <c r="I12" s="14" t="s">
        <v>76</v>
      </c>
      <c r="J12" s="14"/>
      <c r="K12" s="14">
        <v>2.1174081859490001E-2</v>
      </c>
      <c r="L12" s="14" t="s">
        <v>76</v>
      </c>
      <c r="M12" s="14" t="s">
        <v>76</v>
      </c>
      <c r="N12" s="14"/>
      <c r="O12" s="14">
        <v>2.41685031366606E-2</v>
      </c>
      <c r="P12" s="14">
        <v>0</v>
      </c>
      <c r="Q12" s="14"/>
      <c r="R12" s="14">
        <v>1.7411817632774201E-2</v>
      </c>
      <c r="S12" s="14">
        <v>2.9606479034926299E-2</v>
      </c>
      <c r="T12" s="14">
        <v>2.84508104340222E-2</v>
      </c>
      <c r="U12" s="14">
        <v>0</v>
      </c>
      <c r="V12" s="14">
        <v>2.9342330899240401E-2</v>
      </c>
      <c r="W12" s="14">
        <v>2.1625753487394199E-2</v>
      </c>
      <c r="X12" s="14">
        <v>0</v>
      </c>
      <c r="Y12" s="14">
        <v>5.0465142510021002E-2</v>
      </c>
      <c r="Z12" s="14">
        <v>3.0548222807600001E-2</v>
      </c>
      <c r="AA12" s="14"/>
      <c r="AB12" s="14" t="s">
        <v>76</v>
      </c>
      <c r="AC12" s="14" t="s">
        <v>76</v>
      </c>
      <c r="AD12" s="14" t="s">
        <v>76</v>
      </c>
      <c r="AE12" s="14" t="s">
        <v>76</v>
      </c>
      <c r="AF12" s="14"/>
      <c r="AG12" s="14" t="s">
        <v>76</v>
      </c>
      <c r="AH12" s="14" t="s">
        <v>76</v>
      </c>
      <c r="AI12" s="14"/>
      <c r="AJ12" s="14" t="s">
        <v>76</v>
      </c>
      <c r="AK12" s="14" t="s">
        <v>76</v>
      </c>
      <c r="AL12" s="14"/>
      <c r="AM12" s="14">
        <v>6.8656634223804502E-3</v>
      </c>
      <c r="AN12" s="14">
        <v>8.6933839177235406E-2</v>
      </c>
    </row>
    <row r="13" spans="2:40" x14ac:dyDescent="0.35">
      <c r="B13" s="15" t="s">
        <v>70</v>
      </c>
      <c r="C13" s="21">
        <v>1.0060286234331001E-2</v>
      </c>
      <c r="D13" s="21">
        <v>2.0315387152031301E-2</v>
      </c>
      <c r="E13" s="21">
        <v>0</v>
      </c>
      <c r="F13" s="21"/>
      <c r="G13" s="21" t="s">
        <v>76</v>
      </c>
      <c r="H13" s="21">
        <v>1.0060286234331001E-2</v>
      </c>
      <c r="I13" s="21" t="s">
        <v>76</v>
      </c>
      <c r="J13" s="21"/>
      <c r="K13" s="21">
        <v>1.0060286234331001E-2</v>
      </c>
      <c r="L13" s="21" t="s">
        <v>76</v>
      </c>
      <c r="M13" s="21" t="s">
        <v>76</v>
      </c>
      <c r="N13" s="21"/>
      <c r="O13" s="21">
        <v>1.1483003656244E-2</v>
      </c>
      <c r="P13" s="21">
        <v>0</v>
      </c>
      <c r="Q13" s="21"/>
      <c r="R13" s="21">
        <v>3.8370864411443301E-2</v>
      </c>
      <c r="S13" s="21">
        <v>0</v>
      </c>
      <c r="T13" s="21">
        <v>0</v>
      </c>
      <c r="U13" s="21">
        <v>2.2391945772398999E-2</v>
      </c>
      <c r="V13" s="21">
        <v>0</v>
      </c>
      <c r="W13" s="21">
        <v>0</v>
      </c>
      <c r="X13" s="21">
        <v>0</v>
      </c>
      <c r="Y13" s="21">
        <v>0</v>
      </c>
      <c r="Z13" s="21">
        <v>1.4481640434396601E-2</v>
      </c>
      <c r="AA13" s="21"/>
      <c r="AB13" s="21" t="s">
        <v>76</v>
      </c>
      <c r="AC13" s="21" t="s">
        <v>76</v>
      </c>
      <c r="AD13" s="21" t="s">
        <v>76</v>
      </c>
      <c r="AE13" s="21" t="s">
        <v>76</v>
      </c>
      <c r="AF13" s="21"/>
      <c r="AG13" s="21" t="s">
        <v>76</v>
      </c>
      <c r="AH13" s="21" t="s">
        <v>76</v>
      </c>
      <c r="AI13" s="21"/>
      <c r="AJ13" s="21" t="s">
        <v>76</v>
      </c>
      <c r="AK13" s="21" t="s">
        <v>76</v>
      </c>
      <c r="AL13" s="21"/>
      <c r="AM13" s="21">
        <v>8.9377181384196203E-3</v>
      </c>
      <c r="AN13" s="21">
        <v>2.28440561340791E-2</v>
      </c>
    </row>
    <row r="14" spans="2:40" x14ac:dyDescent="0.35">
      <c r="B14" s="25" t="s">
        <v>164</v>
      </c>
      <c r="C14" s="30">
        <v>0.79178914449280602</v>
      </c>
      <c r="D14" s="30">
        <v>0.81806154051420898</v>
      </c>
      <c r="E14" s="30">
        <v>0.76499920464689997</v>
      </c>
      <c r="F14" s="30"/>
      <c r="G14" s="30" t="s">
        <v>76</v>
      </c>
      <c r="H14" s="30">
        <v>0.79178914449280602</v>
      </c>
      <c r="I14" s="30" t="s">
        <v>76</v>
      </c>
      <c r="J14" s="30"/>
      <c r="K14" s="30">
        <v>0.79178914449280602</v>
      </c>
      <c r="L14" s="30" t="s">
        <v>76</v>
      </c>
      <c r="M14" s="30" t="s">
        <v>76</v>
      </c>
      <c r="N14" s="30"/>
      <c r="O14" s="30">
        <v>0.77261652770131595</v>
      </c>
      <c r="P14" s="30">
        <v>0.95678089297107105</v>
      </c>
      <c r="Q14" s="30"/>
      <c r="R14" s="30">
        <v>0.79786249937631004</v>
      </c>
      <c r="S14" s="30">
        <v>0.77622148190319296</v>
      </c>
      <c r="T14" s="30">
        <v>0.72826504563331496</v>
      </c>
      <c r="U14" s="30">
        <v>0.79329035978217</v>
      </c>
      <c r="V14" s="30">
        <v>0.73036312682661497</v>
      </c>
      <c r="W14" s="30">
        <v>0.82808027565395503</v>
      </c>
      <c r="X14" s="30">
        <v>0.87408149987014405</v>
      </c>
      <c r="Y14" s="30">
        <v>0.72511698663966195</v>
      </c>
      <c r="Z14" s="30">
        <v>0.81815210324991605</v>
      </c>
      <c r="AA14" s="30"/>
      <c r="AB14" s="30" t="s">
        <v>76</v>
      </c>
      <c r="AC14" s="30" t="s">
        <v>76</v>
      </c>
      <c r="AD14" s="30" t="s">
        <v>76</v>
      </c>
      <c r="AE14" s="30" t="s">
        <v>76</v>
      </c>
      <c r="AF14" s="30"/>
      <c r="AG14" s="30" t="s">
        <v>76</v>
      </c>
      <c r="AH14" s="30" t="s">
        <v>76</v>
      </c>
      <c r="AI14" s="30"/>
      <c r="AJ14" s="30" t="s">
        <v>76</v>
      </c>
      <c r="AK14" s="30" t="s">
        <v>76</v>
      </c>
      <c r="AL14" s="30"/>
      <c r="AM14" s="30">
        <v>0.87037395454972599</v>
      </c>
      <c r="AN14" s="30">
        <v>0.55590512837189299</v>
      </c>
    </row>
    <row r="15" spans="2:40" x14ac:dyDescent="0.35">
      <c r="B15" s="31" t="s">
        <v>224</v>
      </c>
    </row>
    <row r="16" spans="2:40" x14ac:dyDescent="0.35">
      <c r="B16" t="s">
        <v>72</v>
      </c>
    </row>
    <row r="17" spans="2:2" x14ac:dyDescent="0.35">
      <c r="B17" t="s">
        <v>73</v>
      </c>
    </row>
    <row r="19" spans="2:2" x14ac:dyDescent="0.35">
      <c r="B19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B2:AN18"/>
  <sheetViews>
    <sheetView showGridLines="0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216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416</v>
      </c>
      <c r="D7" s="10">
        <v>211</v>
      </c>
      <c r="E7" s="10">
        <v>204</v>
      </c>
      <c r="F7" s="10"/>
      <c r="G7" s="10" t="s">
        <v>75</v>
      </c>
      <c r="H7" s="10">
        <v>416</v>
      </c>
      <c r="I7" s="10" t="s">
        <v>75</v>
      </c>
      <c r="J7" s="10"/>
      <c r="K7" s="10">
        <v>416</v>
      </c>
      <c r="L7" s="10" t="s">
        <v>75</v>
      </c>
      <c r="M7" s="10" t="s">
        <v>75</v>
      </c>
      <c r="N7" s="10"/>
      <c r="O7" s="10">
        <v>366</v>
      </c>
      <c r="P7" s="10">
        <v>40</v>
      </c>
      <c r="Q7" s="10"/>
      <c r="R7" s="10">
        <v>55</v>
      </c>
      <c r="S7" s="10">
        <v>73</v>
      </c>
      <c r="T7" s="10">
        <v>42</v>
      </c>
      <c r="U7" s="10">
        <v>42</v>
      </c>
      <c r="V7" s="10">
        <v>34</v>
      </c>
      <c r="W7" s="10">
        <v>54</v>
      </c>
      <c r="X7" s="10">
        <v>31</v>
      </c>
      <c r="Y7" s="10">
        <v>19</v>
      </c>
      <c r="Z7" s="10">
        <v>66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263</v>
      </c>
      <c r="AN7" s="10">
        <v>80</v>
      </c>
    </row>
    <row r="8" spans="2:40" ht="30" customHeight="1" x14ac:dyDescent="0.35">
      <c r="B8" s="11" t="s">
        <v>20</v>
      </c>
      <c r="C8" s="11">
        <v>372</v>
      </c>
      <c r="D8" s="11">
        <v>184</v>
      </c>
      <c r="E8" s="11">
        <v>187</v>
      </c>
      <c r="F8" s="11"/>
      <c r="G8" s="11" t="s">
        <v>75</v>
      </c>
      <c r="H8" s="11">
        <v>372</v>
      </c>
      <c r="I8" s="11" t="s">
        <v>75</v>
      </c>
      <c r="J8" s="11"/>
      <c r="K8" s="11">
        <v>372</v>
      </c>
      <c r="L8" s="11" t="s">
        <v>75</v>
      </c>
      <c r="M8" s="11" t="s">
        <v>75</v>
      </c>
      <c r="N8" s="11"/>
      <c r="O8" s="11">
        <v>326</v>
      </c>
      <c r="P8" s="11">
        <v>37</v>
      </c>
      <c r="Q8" s="11"/>
      <c r="R8" s="11">
        <v>55</v>
      </c>
      <c r="S8" s="11">
        <v>61</v>
      </c>
      <c r="T8" s="11">
        <v>40</v>
      </c>
      <c r="U8" s="11">
        <v>43</v>
      </c>
      <c r="V8" s="11">
        <v>31</v>
      </c>
      <c r="W8" s="11">
        <v>39</v>
      </c>
      <c r="X8" s="11">
        <v>41</v>
      </c>
      <c r="Y8" s="11">
        <v>16</v>
      </c>
      <c r="Z8" s="11">
        <v>47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234</v>
      </c>
      <c r="AN8" s="11">
        <v>72</v>
      </c>
    </row>
    <row r="9" spans="2:40" x14ac:dyDescent="0.35">
      <c r="B9" s="15" t="s">
        <v>166</v>
      </c>
      <c r="C9" s="14">
        <v>0.18630983532732101</v>
      </c>
      <c r="D9" s="14">
        <v>0.21608267200679199</v>
      </c>
      <c r="E9" s="14">
        <v>0.15778518332830499</v>
      </c>
      <c r="F9" s="14"/>
      <c r="G9" s="14" t="s">
        <v>76</v>
      </c>
      <c r="H9" s="14">
        <v>0.18630983532732101</v>
      </c>
      <c r="I9" s="14" t="s">
        <v>76</v>
      </c>
      <c r="J9" s="14"/>
      <c r="K9" s="14">
        <v>0.18630983532732101</v>
      </c>
      <c r="L9" s="14" t="s">
        <v>76</v>
      </c>
      <c r="M9" s="14" t="s">
        <v>76</v>
      </c>
      <c r="N9" s="14"/>
      <c r="O9" s="14">
        <v>0.16621758187255301</v>
      </c>
      <c r="P9" s="14">
        <v>0.31025420519812302</v>
      </c>
      <c r="Q9" s="14"/>
      <c r="R9" s="14">
        <v>0.32545463050920398</v>
      </c>
      <c r="S9" s="14">
        <v>0.15182954861055001</v>
      </c>
      <c r="T9" s="14">
        <v>0.166100572610756</v>
      </c>
      <c r="U9" s="14">
        <v>0.12044720115331201</v>
      </c>
      <c r="V9" s="14">
        <v>0.17746462770818699</v>
      </c>
      <c r="W9" s="14">
        <v>0.25700633092704001</v>
      </c>
      <c r="X9" s="14">
        <v>0.10155145538582901</v>
      </c>
      <c r="Y9" s="14">
        <v>0.103691868588417</v>
      </c>
      <c r="Z9" s="14">
        <v>0.19653096301860801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0.26326900216739602</v>
      </c>
      <c r="AN9" s="14">
        <v>1.9132124971302199E-2</v>
      </c>
    </row>
    <row r="10" spans="2:40" x14ac:dyDescent="0.35">
      <c r="B10" s="15" t="s">
        <v>167</v>
      </c>
      <c r="C10" s="14">
        <v>0.516773746525796</v>
      </c>
      <c r="D10" s="14">
        <v>0.54695175888009395</v>
      </c>
      <c r="E10" s="14">
        <v>0.48494082442724401</v>
      </c>
      <c r="F10" s="14"/>
      <c r="G10" s="14" t="s">
        <v>76</v>
      </c>
      <c r="H10" s="14">
        <v>0.516773746525796</v>
      </c>
      <c r="I10" s="14" t="s">
        <v>76</v>
      </c>
      <c r="J10" s="14"/>
      <c r="K10" s="14">
        <v>0.516773746525796</v>
      </c>
      <c r="L10" s="14" t="s">
        <v>76</v>
      </c>
      <c r="M10" s="14" t="s">
        <v>76</v>
      </c>
      <c r="N10" s="14"/>
      <c r="O10" s="14">
        <v>0.51154652403700196</v>
      </c>
      <c r="P10" s="14">
        <v>0.61312689350512695</v>
      </c>
      <c r="Q10" s="14"/>
      <c r="R10" s="14">
        <v>0.51452007805439803</v>
      </c>
      <c r="S10" s="14">
        <v>0.417145604757579</v>
      </c>
      <c r="T10" s="14">
        <v>0.54650019377769998</v>
      </c>
      <c r="U10" s="14">
        <v>0.50247343434328695</v>
      </c>
      <c r="V10" s="14">
        <v>0.45737134683112501</v>
      </c>
      <c r="W10" s="14">
        <v>0.44653774685722403</v>
      </c>
      <c r="X10" s="14">
        <v>0.70897535705523895</v>
      </c>
      <c r="Y10" s="14">
        <v>0.52049482696889104</v>
      </c>
      <c r="Z10" s="14">
        <v>0.56313004387545296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0.54757442146455204</v>
      </c>
      <c r="AN10" s="14">
        <v>0.36533261950705598</v>
      </c>
    </row>
    <row r="11" spans="2:40" x14ac:dyDescent="0.35">
      <c r="B11" s="15" t="s">
        <v>168</v>
      </c>
      <c r="C11" s="14">
        <v>0.241844224396596</v>
      </c>
      <c r="D11" s="14">
        <v>0.19694857556287601</v>
      </c>
      <c r="E11" s="14">
        <v>0.28712914620893298</v>
      </c>
      <c r="F11" s="14"/>
      <c r="G11" s="14" t="s">
        <v>76</v>
      </c>
      <c r="H11" s="14">
        <v>0.241844224396596</v>
      </c>
      <c r="I11" s="14" t="s">
        <v>76</v>
      </c>
      <c r="J11" s="14"/>
      <c r="K11" s="14">
        <v>0.241844224396596</v>
      </c>
      <c r="L11" s="14" t="s">
        <v>76</v>
      </c>
      <c r="M11" s="14" t="s">
        <v>76</v>
      </c>
      <c r="N11" s="14"/>
      <c r="O11" s="14">
        <v>0.262524185488833</v>
      </c>
      <c r="P11" s="14">
        <v>4.9042105148201398E-2</v>
      </c>
      <c r="Q11" s="14"/>
      <c r="R11" s="14">
        <v>0.14261347380362399</v>
      </c>
      <c r="S11" s="14">
        <v>0.34443682233342299</v>
      </c>
      <c r="T11" s="14">
        <v>0.24012799335340301</v>
      </c>
      <c r="U11" s="14">
        <v>0.28353944731992697</v>
      </c>
      <c r="V11" s="14">
        <v>0.30233410974490599</v>
      </c>
      <c r="W11" s="14">
        <v>0.24033594274266501</v>
      </c>
      <c r="X11" s="14">
        <v>0.15725347369796999</v>
      </c>
      <c r="Y11" s="14">
        <v>0.32534816193267102</v>
      </c>
      <c r="Z11" s="14">
        <v>0.19512757587389501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0.16831939657801501</v>
      </c>
      <c r="AN11" s="14">
        <v>0.43335141334684601</v>
      </c>
    </row>
    <row r="12" spans="2:40" x14ac:dyDescent="0.35">
      <c r="B12" s="15" t="s">
        <v>169</v>
      </c>
      <c r="C12" s="14">
        <v>4.74686330015835E-2</v>
      </c>
      <c r="D12" s="14">
        <v>2.9177882582946998E-2</v>
      </c>
      <c r="E12" s="14">
        <v>6.5696124610803305E-2</v>
      </c>
      <c r="F12" s="14"/>
      <c r="G12" s="14" t="s">
        <v>76</v>
      </c>
      <c r="H12" s="14">
        <v>4.74686330015835E-2</v>
      </c>
      <c r="I12" s="14" t="s">
        <v>76</v>
      </c>
      <c r="J12" s="14"/>
      <c r="K12" s="14">
        <v>4.74686330015835E-2</v>
      </c>
      <c r="L12" s="14" t="s">
        <v>76</v>
      </c>
      <c r="M12" s="14" t="s">
        <v>76</v>
      </c>
      <c r="N12" s="14"/>
      <c r="O12" s="14">
        <v>5.10328585327261E-2</v>
      </c>
      <c r="P12" s="14">
        <v>2.75767961485489E-2</v>
      </c>
      <c r="Q12" s="14"/>
      <c r="R12" s="14">
        <v>1.7411817632774201E-2</v>
      </c>
      <c r="S12" s="14">
        <v>7.2904941280657498E-2</v>
      </c>
      <c r="T12" s="14">
        <v>4.72712402581403E-2</v>
      </c>
      <c r="U12" s="14">
        <v>7.1147971411074096E-2</v>
      </c>
      <c r="V12" s="14">
        <v>2.9342330899240401E-2</v>
      </c>
      <c r="W12" s="14">
        <v>5.6119979473071499E-2</v>
      </c>
      <c r="X12" s="14">
        <v>3.2219713860961098E-2</v>
      </c>
      <c r="Y12" s="14">
        <v>5.0465142510021002E-2</v>
      </c>
      <c r="Z12" s="14">
        <v>4.5211417232043603E-2</v>
      </c>
      <c r="AA12" s="14"/>
      <c r="AB12" s="14" t="s">
        <v>76</v>
      </c>
      <c r="AC12" s="14" t="s">
        <v>76</v>
      </c>
      <c r="AD12" s="14" t="s">
        <v>76</v>
      </c>
      <c r="AE12" s="14" t="s">
        <v>76</v>
      </c>
      <c r="AF12" s="14"/>
      <c r="AG12" s="14" t="s">
        <v>76</v>
      </c>
      <c r="AH12" s="14" t="s">
        <v>76</v>
      </c>
      <c r="AI12" s="14"/>
      <c r="AJ12" s="14" t="s">
        <v>76</v>
      </c>
      <c r="AK12" s="14" t="s">
        <v>76</v>
      </c>
      <c r="AL12" s="14"/>
      <c r="AM12" s="14">
        <v>1.7289668772750601E-2</v>
      </c>
      <c r="AN12" s="14">
        <v>0.15448554341620499</v>
      </c>
    </row>
    <row r="13" spans="2:40" x14ac:dyDescent="0.35">
      <c r="B13" s="15" t="s">
        <v>70</v>
      </c>
      <c r="C13" s="20">
        <v>7.6035607487027696E-3</v>
      </c>
      <c r="D13" s="20">
        <v>1.08391109672908E-2</v>
      </c>
      <c r="E13" s="20">
        <v>4.4487214247147201E-3</v>
      </c>
      <c r="F13" s="20"/>
      <c r="G13" s="20" t="s">
        <v>76</v>
      </c>
      <c r="H13" s="20">
        <v>7.6035607487027696E-3</v>
      </c>
      <c r="I13" s="20" t="s">
        <v>76</v>
      </c>
      <c r="J13" s="20"/>
      <c r="K13" s="20">
        <v>7.6035607487027696E-3</v>
      </c>
      <c r="L13" s="20" t="s">
        <v>76</v>
      </c>
      <c r="M13" s="20" t="s">
        <v>76</v>
      </c>
      <c r="N13" s="20"/>
      <c r="O13" s="20">
        <v>8.6788500688850592E-3</v>
      </c>
      <c r="P13" s="20">
        <v>0</v>
      </c>
      <c r="Q13" s="20"/>
      <c r="R13" s="20">
        <v>0</v>
      </c>
      <c r="S13" s="20">
        <v>1.3683083017791E-2</v>
      </c>
      <c r="T13" s="20">
        <v>0</v>
      </c>
      <c r="U13" s="20">
        <v>2.2391945772398999E-2</v>
      </c>
      <c r="V13" s="20">
        <v>3.3487584816541897E-2</v>
      </c>
      <c r="W13" s="20">
        <v>0</v>
      </c>
      <c r="X13" s="20">
        <v>0</v>
      </c>
      <c r="Y13" s="20">
        <v>0</v>
      </c>
      <c r="Z13" s="20">
        <v>0</v>
      </c>
      <c r="AA13" s="20"/>
      <c r="AB13" s="20" t="s">
        <v>76</v>
      </c>
      <c r="AC13" s="20" t="s">
        <v>76</v>
      </c>
      <c r="AD13" s="20" t="s">
        <v>76</v>
      </c>
      <c r="AE13" s="20" t="s">
        <v>76</v>
      </c>
      <c r="AF13" s="20"/>
      <c r="AG13" s="20" t="s">
        <v>76</v>
      </c>
      <c r="AH13" s="20" t="s">
        <v>76</v>
      </c>
      <c r="AI13" s="20"/>
      <c r="AJ13" s="20" t="s">
        <v>76</v>
      </c>
      <c r="AK13" s="20" t="s">
        <v>76</v>
      </c>
      <c r="AL13" s="20"/>
      <c r="AM13" s="20">
        <v>3.54751101728737E-3</v>
      </c>
      <c r="AN13" s="20">
        <v>2.7698298758590301E-2</v>
      </c>
    </row>
    <row r="14" spans="2:40" x14ac:dyDescent="0.35">
      <c r="B14" s="31" t="s">
        <v>224</v>
      </c>
    </row>
    <row r="15" spans="2:40" x14ac:dyDescent="0.35">
      <c r="B15" t="s">
        <v>72</v>
      </c>
    </row>
    <row r="16" spans="2:40" x14ac:dyDescent="0.35">
      <c r="B16" t="s">
        <v>73</v>
      </c>
    </row>
    <row r="18" spans="2:2" x14ac:dyDescent="0.35">
      <c r="B18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B2:AN16"/>
  <sheetViews>
    <sheetView showGridLines="0" workbookViewId="0">
      <pane xSplit="2" topLeftCell="C1" activePane="topRight" state="frozen"/>
      <selection pane="topRight" activeCell="B13" sqref="B13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217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509</v>
      </c>
      <c r="D7" s="10">
        <v>269</v>
      </c>
      <c r="E7" s="10">
        <v>238</v>
      </c>
      <c r="F7" s="10"/>
      <c r="G7" s="10" t="s">
        <v>75</v>
      </c>
      <c r="H7" s="10">
        <v>509</v>
      </c>
      <c r="I7" s="10" t="s">
        <v>75</v>
      </c>
      <c r="J7" s="10"/>
      <c r="K7" s="10">
        <v>509</v>
      </c>
      <c r="L7" s="10" t="s">
        <v>75</v>
      </c>
      <c r="M7" s="10" t="s">
        <v>75</v>
      </c>
      <c r="N7" s="10"/>
      <c r="O7" s="10">
        <v>446</v>
      </c>
      <c r="P7" s="10">
        <v>51</v>
      </c>
      <c r="Q7" s="10"/>
      <c r="R7" s="10">
        <v>66</v>
      </c>
      <c r="S7" s="10">
        <v>89</v>
      </c>
      <c r="T7" s="10">
        <v>56</v>
      </c>
      <c r="U7" s="10">
        <v>54</v>
      </c>
      <c r="V7" s="10">
        <v>46</v>
      </c>
      <c r="W7" s="10">
        <v>64</v>
      </c>
      <c r="X7" s="10">
        <v>39</v>
      </c>
      <c r="Y7" s="10">
        <v>23</v>
      </c>
      <c r="Z7" s="10">
        <v>72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310</v>
      </c>
      <c r="AN7" s="10">
        <v>106</v>
      </c>
    </row>
    <row r="8" spans="2:40" ht="30" customHeight="1" x14ac:dyDescent="0.35">
      <c r="B8" s="11" t="s">
        <v>20</v>
      </c>
      <c r="C8" s="11">
        <v>459</v>
      </c>
      <c r="D8" s="11">
        <v>237</v>
      </c>
      <c r="E8" s="11">
        <v>220</v>
      </c>
      <c r="F8" s="11"/>
      <c r="G8" s="11" t="s">
        <v>75</v>
      </c>
      <c r="H8" s="11">
        <v>459</v>
      </c>
      <c r="I8" s="11" t="s">
        <v>75</v>
      </c>
      <c r="J8" s="11"/>
      <c r="K8" s="11">
        <v>459</v>
      </c>
      <c r="L8" s="11" t="s">
        <v>75</v>
      </c>
      <c r="M8" s="11" t="s">
        <v>75</v>
      </c>
      <c r="N8" s="11"/>
      <c r="O8" s="11">
        <v>401</v>
      </c>
      <c r="P8" s="11">
        <v>47</v>
      </c>
      <c r="Q8" s="11"/>
      <c r="R8" s="11">
        <v>66</v>
      </c>
      <c r="S8" s="11">
        <v>75</v>
      </c>
      <c r="T8" s="11">
        <v>53</v>
      </c>
      <c r="U8" s="11">
        <v>55</v>
      </c>
      <c r="V8" s="11">
        <v>42</v>
      </c>
      <c r="W8" s="11">
        <v>46</v>
      </c>
      <c r="X8" s="11">
        <v>52</v>
      </c>
      <c r="Y8" s="11">
        <v>19</v>
      </c>
      <c r="Z8" s="11">
        <v>51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277</v>
      </c>
      <c r="AN8" s="11">
        <v>97</v>
      </c>
    </row>
    <row r="9" spans="2:40" x14ac:dyDescent="0.35">
      <c r="B9" s="15" t="s">
        <v>44</v>
      </c>
      <c r="C9" s="14">
        <v>0.80657735790723295</v>
      </c>
      <c r="D9" s="14">
        <v>0.81403535980743402</v>
      </c>
      <c r="E9" s="14">
        <v>0.80243042381269203</v>
      </c>
      <c r="F9" s="14"/>
      <c r="G9" s="14" t="s">
        <v>76</v>
      </c>
      <c r="H9" s="14">
        <v>0.80657735790723295</v>
      </c>
      <c r="I9" s="14" t="s">
        <v>76</v>
      </c>
      <c r="J9" s="14"/>
      <c r="K9" s="14">
        <v>0.80657735790723295</v>
      </c>
      <c r="L9" s="14" t="s">
        <v>76</v>
      </c>
      <c r="M9" s="14" t="s">
        <v>76</v>
      </c>
      <c r="N9" s="14"/>
      <c r="O9" s="14">
        <v>0.79651527095025798</v>
      </c>
      <c r="P9" s="14">
        <v>0.88318885800768798</v>
      </c>
      <c r="Q9" s="14"/>
      <c r="R9" s="14">
        <v>0.74922213174544405</v>
      </c>
      <c r="S9" s="14">
        <v>0.77642027162187899</v>
      </c>
      <c r="T9" s="14">
        <v>0.83753147113872894</v>
      </c>
      <c r="U9" s="14">
        <v>0.82099374966962302</v>
      </c>
      <c r="V9" s="14">
        <v>0.80482503952547502</v>
      </c>
      <c r="W9" s="14">
        <v>0.84321645623681896</v>
      </c>
      <c r="X9" s="14">
        <v>0.82596913982692</v>
      </c>
      <c r="Y9" s="14">
        <v>0.95584749699982796</v>
      </c>
      <c r="Z9" s="14">
        <v>0.77029401904021999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0.84245258740752005</v>
      </c>
      <c r="AN9" s="14">
        <v>0.74363705207810005</v>
      </c>
    </row>
    <row r="10" spans="2:40" x14ac:dyDescent="0.35">
      <c r="B10" s="15" t="s">
        <v>45</v>
      </c>
      <c r="C10" s="14">
        <v>0.140617271053293</v>
      </c>
      <c r="D10" s="14">
        <v>0.135824761580637</v>
      </c>
      <c r="E10" s="14">
        <v>0.14139070695282599</v>
      </c>
      <c r="F10" s="14"/>
      <c r="G10" s="14" t="s">
        <v>76</v>
      </c>
      <c r="H10" s="14">
        <v>0.140617271053293</v>
      </c>
      <c r="I10" s="14" t="s">
        <v>76</v>
      </c>
      <c r="J10" s="14"/>
      <c r="K10" s="14">
        <v>0.140617271053293</v>
      </c>
      <c r="L10" s="14" t="s">
        <v>76</v>
      </c>
      <c r="M10" s="14" t="s">
        <v>76</v>
      </c>
      <c r="N10" s="14"/>
      <c r="O10" s="14">
        <v>0.14480997923612299</v>
      </c>
      <c r="P10" s="14">
        <v>0.102137669299447</v>
      </c>
      <c r="Q10" s="14"/>
      <c r="R10" s="14">
        <v>0.23346616815292801</v>
      </c>
      <c r="S10" s="14">
        <v>0.158082282953739</v>
      </c>
      <c r="T10" s="14">
        <v>8.8271734861731802E-2</v>
      </c>
      <c r="U10" s="14">
        <v>0.103153913466571</v>
      </c>
      <c r="V10" s="14">
        <v>0.152092892160926</v>
      </c>
      <c r="W10" s="14">
        <v>9.2705762189079804E-2</v>
      </c>
      <c r="X10" s="14">
        <v>0.100241445873235</v>
      </c>
      <c r="Y10" s="14">
        <v>4.41525030001719E-2</v>
      </c>
      <c r="Z10" s="14">
        <v>0.19963651037160399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0.122180052634683</v>
      </c>
      <c r="AN10" s="14">
        <v>0.166976014682163</v>
      </c>
    </row>
    <row r="11" spans="2:40" x14ac:dyDescent="0.35">
      <c r="B11" s="15" t="s">
        <v>70</v>
      </c>
      <c r="C11" s="20">
        <v>5.2805371039473699E-2</v>
      </c>
      <c r="D11" s="20">
        <v>5.0139878611928798E-2</v>
      </c>
      <c r="E11" s="20">
        <v>5.6178869234481801E-2</v>
      </c>
      <c r="F11" s="20"/>
      <c r="G11" s="20" t="s">
        <v>76</v>
      </c>
      <c r="H11" s="20">
        <v>5.2805371039473699E-2</v>
      </c>
      <c r="I11" s="20" t="s">
        <v>76</v>
      </c>
      <c r="J11" s="20"/>
      <c r="K11" s="20">
        <v>5.2805371039473699E-2</v>
      </c>
      <c r="L11" s="20" t="s">
        <v>76</v>
      </c>
      <c r="M11" s="20" t="s">
        <v>76</v>
      </c>
      <c r="N11" s="20"/>
      <c r="O11" s="20">
        <v>5.8674749813619101E-2</v>
      </c>
      <c r="P11" s="20">
        <v>1.46734726928654E-2</v>
      </c>
      <c r="Q11" s="20"/>
      <c r="R11" s="20">
        <v>1.7311700101627501E-2</v>
      </c>
      <c r="S11" s="20">
        <v>6.5497445424381406E-2</v>
      </c>
      <c r="T11" s="20">
        <v>7.4196793999539407E-2</v>
      </c>
      <c r="U11" s="20">
        <v>7.5852336863806297E-2</v>
      </c>
      <c r="V11" s="20">
        <v>4.30820683135998E-2</v>
      </c>
      <c r="W11" s="20">
        <v>6.4077781574100906E-2</v>
      </c>
      <c r="X11" s="20">
        <v>7.3789414299845105E-2</v>
      </c>
      <c r="Y11" s="20">
        <v>0</v>
      </c>
      <c r="Z11" s="20">
        <v>3.00694705881757E-2</v>
      </c>
      <c r="AA11" s="20"/>
      <c r="AB11" s="20" t="s">
        <v>76</v>
      </c>
      <c r="AC11" s="20" t="s">
        <v>76</v>
      </c>
      <c r="AD11" s="20" t="s">
        <v>76</v>
      </c>
      <c r="AE11" s="20" t="s">
        <v>76</v>
      </c>
      <c r="AF11" s="20"/>
      <c r="AG11" s="20" t="s">
        <v>76</v>
      </c>
      <c r="AH11" s="20" t="s">
        <v>76</v>
      </c>
      <c r="AI11" s="20"/>
      <c r="AJ11" s="20" t="s">
        <v>76</v>
      </c>
      <c r="AK11" s="20" t="s">
        <v>76</v>
      </c>
      <c r="AL11" s="20"/>
      <c r="AM11" s="20">
        <v>3.5367359957796801E-2</v>
      </c>
      <c r="AN11" s="20">
        <v>8.9386933239736996E-2</v>
      </c>
    </row>
    <row r="12" spans="2:40" x14ac:dyDescent="0.35">
      <c r="B12" s="27" t="s">
        <v>209</v>
      </c>
    </row>
    <row r="13" spans="2:40" x14ac:dyDescent="0.35">
      <c r="B13" t="s">
        <v>72</v>
      </c>
    </row>
    <row r="14" spans="2:40" x14ac:dyDescent="0.35">
      <c r="B14" t="s">
        <v>73</v>
      </c>
    </row>
    <row r="16" spans="2:40" x14ac:dyDescent="0.35">
      <c r="B16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B2:AN18"/>
  <sheetViews>
    <sheetView showGridLines="0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218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412</v>
      </c>
      <c r="D7" s="10">
        <v>221</v>
      </c>
      <c r="E7" s="10">
        <v>190</v>
      </c>
      <c r="F7" s="10"/>
      <c r="G7" s="10" t="s">
        <v>75</v>
      </c>
      <c r="H7" s="10">
        <v>412</v>
      </c>
      <c r="I7" s="10" t="s">
        <v>75</v>
      </c>
      <c r="J7" s="10"/>
      <c r="K7" s="10">
        <v>412</v>
      </c>
      <c r="L7" s="10" t="s">
        <v>75</v>
      </c>
      <c r="M7" s="10" t="s">
        <v>75</v>
      </c>
      <c r="N7" s="10"/>
      <c r="O7" s="10">
        <v>357</v>
      </c>
      <c r="P7" s="10">
        <v>45</v>
      </c>
      <c r="Q7" s="10"/>
      <c r="R7" s="10">
        <v>50</v>
      </c>
      <c r="S7" s="10">
        <v>69</v>
      </c>
      <c r="T7" s="10">
        <v>47</v>
      </c>
      <c r="U7" s="10">
        <v>45</v>
      </c>
      <c r="V7" s="10">
        <v>37</v>
      </c>
      <c r="W7" s="10">
        <v>54</v>
      </c>
      <c r="X7" s="10">
        <v>32</v>
      </c>
      <c r="Y7" s="10">
        <v>22</v>
      </c>
      <c r="Z7" s="10">
        <v>56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262</v>
      </c>
      <c r="AN7" s="10">
        <v>79</v>
      </c>
    </row>
    <row r="8" spans="2:40" ht="30" customHeight="1" x14ac:dyDescent="0.35">
      <c r="B8" s="11" t="s">
        <v>20</v>
      </c>
      <c r="C8" s="11">
        <v>370</v>
      </c>
      <c r="D8" s="11">
        <v>193</v>
      </c>
      <c r="E8" s="11">
        <v>176</v>
      </c>
      <c r="F8" s="11"/>
      <c r="G8" s="11" t="s">
        <v>75</v>
      </c>
      <c r="H8" s="11">
        <v>370</v>
      </c>
      <c r="I8" s="11" t="s">
        <v>75</v>
      </c>
      <c r="J8" s="11"/>
      <c r="K8" s="11">
        <v>370</v>
      </c>
      <c r="L8" s="11" t="s">
        <v>75</v>
      </c>
      <c r="M8" s="11" t="s">
        <v>75</v>
      </c>
      <c r="N8" s="11"/>
      <c r="O8" s="11">
        <v>320</v>
      </c>
      <c r="P8" s="11">
        <v>42</v>
      </c>
      <c r="Q8" s="11"/>
      <c r="R8" s="11">
        <v>49</v>
      </c>
      <c r="S8" s="11">
        <v>58</v>
      </c>
      <c r="T8" s="11">
        <v>44</v>
      </c>
      <c r="U8" s="11">
        <v>45</v>
      </c>
      <c r="V8" s="11">
        <v>34</v>
      </c>
      <c r="W8" s="11">
        <v>38</v>
      </c>
      <c r="X8" s="11">
        <v>43</v>
      </c>
      <c r="Y8" s="11">
        <v>19</v>
      </c>
      <c r="Z8" s="11">
        <v>40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233</v>
      </c>
      <c r="AN8" s="11">
        <v>72</v>
      </c>
    </row>
    <row r="9" spans="2:40" x14ac:dyDescent="0.35">
      <c r="B9" s="15" t="s">
        <v>155</v>
      </c>
      <c r="C9" s="14">
        <v>0.168335058302753</v>
      </c>
      <c r="D9" s="14">
        <v>0.21153445006438301</v>
      </c>
      <c r="E9" s="14">
        <v>0.121818887162972</v>
      </c>
      <c r="F9" s="14"/>
      <c r="G9" s="14" t="s">
        <v>76</v>
      </c>
      <c r="H9" s="14">
        <v>0.168335058302753</v>
      </c>
      <c r="I9" s="14" t="s">
        <v>76</v>
      </c>
      <c r="J9" s="14"/>
      <c r="K9" s="14">
        <v>0.168335058302753</v>
      </c>
      <c r="L9" s="14" t="s">
        <v>76</v>
      </c>
      <c r="M9" s="14" t="s">
        <v>76</v>
      </c>
      <c r="N9" s="14"/>
      <c r="O9" s="14">
        <v>0.14857362325231199</v>
      </c>
      <c r="P9" s="14">
        <v>0.30997661582946201</v>
      </c>
      <c r="Q9" s="14"/>
      <c r="R9" s="14">
        <v>0.33505875559447501</v>
      </c>
      <c r="S9" s="14">
        <v>0.18217959567070199</v>
      </c>
      <c r="T9" s="14">
        <v>5.7134673437356398E-2</v>
      </c>
      <c r="U9" s="14">
        <v>0.13134907785123001</v>
      </c>
      <c r="V9" s="14">
        <v>0.107073480895695</v>
      </c>
      <c r="W9" s="14">
        <v>0.27023997065370298</v>
      </c>
      <c r="X9" s="14">
        <v>8.9336768264045796E-2</v>
      </c>
      <c r="Y9" s="14">
        <v>9.2963094606873298E-2</v>
      </c>
      <c r="Z9" s="14">
        <v>0.18008344749830299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0.22060635838422801</v>
      </c>
      <c r="AN9" s="14">
        <v>8.6445030060644301E-2</v>
      </c>
    </row>
    <row r="10" spans="2:40" x14ac:dyDescent="0.35">
      <c r="B10" s="15" t="s">
        <v>156</v>
      </c>
      <c r="C10" s="14">
        <v>0.54691477812633404</v>
      </c>
      <c r="D10" s="14">
        <v>0.53945909736594999</v>
      </c>
      <c r="E10" s="14">
        <v>0.55299151305561201</v>
      </c>
      <c r="F10" s="14"/>
      <c r="G10" s="14" t="s">
        <v>76</v>
      </c>
      <c r="H10" s="14">
        <v>0.54691477812633404</v>
      </c>
      <c r="I10" s="14" t="s">
        <v>76</v>
      </c>
      <c r="J10" s="14"/>
      <c r="K10" s="14">
        <v>0.54691477812633404</v>
      </c>
      <c r="L10" s="14" t="s">
        <v>76</v>
      </c>
      <c r="M10" s="14" t="s">
        <v>76</v>
      </c>
      <c r="N10" s="14"/>
      <c r="O10" s="14">
        <v>0.54707891821399002</v>
      </c>
      <c r="P10" s="14">
        <v>0.58130200987130598</v>
      </c>
      <c r="Q10" s="14"/>
      <c r="R10" s="14">
        <v>0.48255021130272602</v>
      </c>
      <c r="S10" s="14">
        <v>0.47691866701069202</v>
      </c>
      <c r="T10" s="14">
        <v>0.527875894749957</v>
      </c>
      <c r="U10" s="14">
        <v>0.571520190960212</v>
      </c>
      <c r="V10" s="14">
        <v>0.50553562927575901</v>
      </c>
      <c r="W10" s="14">
        <v>0.50783441518600503</v>
      </c>
      <c r="X10" s="14">
        <v>0.716220750970465</v>
      </c>
      <c r="Y10" s="14">
        <v>0.49093576749276102</v>
      </c>
      <c r="Z10" s="14">
        <v>0.63935649691632601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0.52479082879681405</v>
      </c>
      <c r="AN10" s="14">
        <v>0.57582450095286397</v>
      </c>
    </row>
    <row r="11" spans="2:40" x14ac:dyDescent="0.35">
      <c r="B11" s="15" t="s">
        <v>157</v>
      </c>
      <c r="C11" s="14">
        <v>0.19713346747399399</v>
      </c>
      <c r="D11" s="14">
        <v>0.162439462377196</v>
      </c>
      <c r="E11" s="14">
        <v>0.23602057082446501</v>
      </c>
      <c r="F11" s="14"/>
      <c r="G11" s="14" t="s">
        <v>76</v>
      </c>
      <c r="H11" s="14">
        <v>0.19713346747399399</v>
      </c>
      <c r="I11" s="14" t="s">
        <v>76</v>
      </c>
      <c r="J11" s="14"/>
      <c r="K11" s="14">
        <v>0.19713346747399399</v>
      </c>
      <c r="L11" s="14" t="s">
        <v>76</v>
      </c>
      <c r="M11" s="14" t="s">
        <v>76</v>
      </c>
      <c r="N11" s="14"/>
      <c r="O11" s="14">
        <v>0.21379499330224899</v>
      </c>
      <c r="P11" s="14">
        <v>8.7206794057702305E-2</v>
      </c>
      <c r="Q11" s="14"/>
      <c r="R11" s="14">
        <v>0.104304371137015</v>
      </c>
      <c r="S11" s="14">
        <v>0.253964845172721</v>
      </c>
      <c r="T11" s="14">
        <v>0.28389649862285599</v>
      </c>
      <c r="U11" s="14">
        <v>0.16776904609610399</v>
      </c>
      <c r="V11" s="14">
        <v>0.28172007816101402</v>
      </c>
      <c r="W11" s="14">
        <v>0.16163682147076899</v>
      </c>
      <c r="X11" s="14">
        <v>0.12806708807298001</v>
      </c>
      <c r="Y11" s="14">
        <v>0.360498634285566</v>
      </c>
      <c r="Z11" s="14">
        <v>0.126814564740728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0.18953562727760301</v>
      </c>
      <c r="AN11" s="14">
        <v>0.22598313249827501</v>
      </c>
    </row>
    <row r="12" spans="2:40" x14ac:dyDescent="0.35">
      <c r="B12" s="15" t="s">
        <v>158</v>
      </c>
      <c r="C12" s="14">
        <v>7.1485446615704995E-2</v>
      </c>
      <c r="D12" s="14">
        <v>5.9936568616045897E-2</v>
      </c>
      <c r="E12" s="14">
        <v>8.4457101563440704E-2</v>
      </c>
      <c r="F12" s="14"/>
      <c r="G12" s="14" t="s">
        <v>76</v>
      </c>
      <c r="H12" s="14">
        <v>7.1485446615704995E-2</v>
      </c>
      <c r="I12" s="14" t="s">
        <v>76</v>
      </c>
      <c r="J12" s="14"/>
      <c r="K12" s="14">
        <v>7.1485446615704995E-2</v>
      </c>
      <c r="L12" s="14" t="s">
        <v>76</v>
      </c>
      <c r="M12" s="14" t="s">
        <v>76</v>
      </c>
      <c r="N12" s="14"/>
      <c r="O12" s="14">
        <v>7.4557412578598797E-2</v>
      </c>
      <c r="P12" s="14">
        <v>2.1514580241530301E-2</v>
      </c>
      <c r="Q12" s="14"/>
      <c r="R12" s="14">
        <v>7.8086661965783094E-2</v>
      </c>
      <c r="S12" s="14">
        <v>7.2660107834265297E-2</v>
      </c>
      <c r="T12" s="14">
        <v>0.11104992413211701</v>
      </c>
      <c r="U12" s="14">
        <v>8.6630846964510094E-2</v>
      </c>
      <c r="V12" s="14">
        <v>8.0294596292316195E-2</v>
      </c>
      <c r="W12" s="14">
        <v>3.9718995477214303E-2</v>
      </c>
      <c r="X12" s="14">
        <v>6.6375392692509305E-2</v>
      </c>
      <c r="Y12" s="14">
        <v>5.56025036148E-2</v>
      </c>
      <c r="Z12" s="14">
        <v>3.6460897430181501E-2</v>
      </c>
      <c r="AA12" s="14"/>
      <c r="AB12" s="14" t="s">
        <v>76</v>
      </c>
      <c r="AC12" s="14" t="s">
        <v>76</v>
      </c>
      <c r="AD12" s="14" t="s">
        <v>76</v>
      </c>
      <c r="AE12" s="14" t="s">
        <v>76</v>
      </c>
      <c r="AF12" s="14"/>
      <c r="AG12" s="14" t="s">
        <v>76</v>
      </c>
      <c r="AH12" s="14" t="s">
        <v>76</v>
      </c>
      <c r="AI12" s="14"/>
      <c r="AJ12" s="14" t="s">
        <v>76</v>
      </c>
      <c r="AK12" s="14" t="s">
        <v>76</v>
      </c>
      <c r="AL12" s="14"/>
      <c r="AM12" s="14">
        <v>4.6086956035168901E-2</v>
      </c>
      <c r="AN12" s="14">
        <v>9.0407123009045104E-2</v>
      </c>
    </row>
    <row r="13" spans="2:40" x14ac:dyDescent="0.35">
      <c r="B13" s="15" t="s">
        <v>70</v>
      </c>
      <c r="C13" s="20">
        <v>1.6131249481213899E-2</v>
      </c>
      <c r="D13" s="20">
        <v>2.6630421576425499E-2</v>
      </c>
      <c r="E13" s="20">
        <v>4.7119273935109403E-3</v>
      </c>
      <c r="F13" s="20"/>
      <c r="G13" s="20" t="s">
        <v>76</v>
      </c>
      <c r="H13" s="20">
        <v>1.6131249481213899E-2</v>
      </c>
      <c r="I13" s="20" t="s">
        <v>76</v>
      </c>
      <c r="J13" s="20"/>
      <c r="K13" s="20">
        <v>1.6131249481213899E-2</v>
      </c>
      <c r="L13" s="20" t="s">
        <v>76</v>
      </c>
      <c r="M13" s="20" t="s">
        <v>76</v>
      </c>
      <c r="N13" s="20"/>
      <c r="O13" s="20">
        <v>1.5995052652850499E-2</v>
      </c>
      <c r="P13" s="20">
        <v>0</v>
      </c>
      <c r="Q13" s="20"/>
      <c r="R13" s="20">
        <v>0</v>
      </c>
      <c r="S13" s="20">
        <v>1.42767843116198E-2</v>
      </c>
      <c r="T13" s="20">
        <v>2.00430090577138E-2</v>
      </c>
      <c r="U13" s="20">
        <v>4.2730838127943503E-2</v>
      </c>
      <c r="V13" s="20">
        <v>2.5376215375215599E-2</v>
      </c>
      <c r="W13" s="20">
        <v>2.0569797212309501E-2</v>
      </c>
      <c r="X13" s="20">
        <v>0</v>
      </c>
      <c r="Y13" s="20">
        <v>0</v>
      </c>
      <c r="Z13" s="20">
        <v>1.7284593414460599E-2</v>
      </c>
      <c r="AA13" s="20"/>
      <c r="AB13" s="20" t="s">
        <v>76</v>
      </c>
      <c r="AC13" s="20" t="s">
        <v>76</v>
      </c>
      <c r="AD13" s="20" t="s">
        <v>76</v>
      </c>
      <c r="AE13" s="20" t="s">
        <v>76</v>
      </c>
      <c r="AF13" s="20"/>
      <c r="AG13" s="20" t="s">
        <v>76</v>
      </c>
      <c r="AH13" s="20" t="s">
        <v>76</v>
      </c>
      <c r="AI13" s="20"/>
      <c r="AJ13" s="20" t="s">
        <v>76</v>
      </c>
      <c r="AK13" s="20" t="s">
        <v>76</v>
      </c>
      <c r="AL13" s="20"/>
      <c r="AM13" s="20">
        <v>1.8980229506186198E-2</v>
      </c>
      <c r="AN13" s="20">
        <v>2.13402134791719E-2</v>
      </c>
    </row>
    <row r="14" spans="2:40" x14ac:dyDescent="0.35">
      <c r="B14" s="27" t="s">
        <v>229</v>
      </c>
    </row>
    <row r="15" spans="2:40" x14ac:dyDescent="0.35">
      <c r="B15" t="s">
        <v>72</v>
      </c>
    </row>
    <row r="16" spans="2:40" x14ac:dyDescent="0.35">
      <c r="B16" t="s">
        <v>73</v>
      </c>
    </row>
    <row r="18" spans="2:2" x14ac:dyDescent="0.35">
      <c r="B18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B2:AN19"/>
  <sheetViews>
    <sheetView showGridLines="0" workbookViewId="0">
      <pane xSplit="2" topLeftCell="C1" activePane="topRight" state="frozen"/>
      <selection pane="topRight" activeCell="B15" sqref="B15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220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412</v>
      </c>
      <c r="D7" s="10">
        <v>221</v>
      </c>
      <c r="E7" s="10">
        <v>190</v>
      </c>
      <c r="F7" s="10"/>
      <c r="G7" s="10" t="s">
        <v>75</v>
      </c>
      <c r="H7" s="10">
        <v>412</v>
      </c>
      <c r="I7" s="10" t="s">
        <v>75</v>
      </c>
      <c r="J7" s="10"/>
      <c r="K7" s="10">
        <v>412</v>
      </c>
      <c r="L7" s="10" t="s">
        <v>75</v>
      </c>
      <c r="M7" s="10" t="s">
        <v>75</v>
      </c>
      <c r="N7" s="10"/>
      <c r="O7" s="10">
        <v>357</v>
      </c>
      <c r="P7" s="10">
        <v>45</v>
      </c>
      <c r="Q7" s="10"/>
      <c r="R7" s="10">
        <v>50</v>
      </c>
      <c r="S7" s="10">
        <v>69</v>
      </c>
      <c r="T7" s="10">
        <v>47</v>
      </c>
      <c r="U7" s="10">
        <v>45</v>
      </c>
      <c r="V7" s="10">
        <v>37</v>
      </c>
      <c r="W7" s="10">
        <v>54</v>
      </c>
      <c r="X7" s="10">
        <v>32</v>
      </c>
      <c r="Y7" s="10">
        <v>22</v>
      </c>
      <c r="Z7" s="10">
        <v>56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262</v>
      </c>
      <c r="AN7" s="10">
        <v>79</v>
      </c>
    </row>
    <row r="8" spans="2:40" ht="30" customHeight="1" x14ac:dyDescent="0.35">
      <c r="B8" s="11" t="s">
        <v>20</v>
      </c>
      <c r="C8" s="11">
        <v>370</v>
      </c>
      <c r="D8" s="11">
        <v>193</v>
      </c>
      <c r="E8" s="11">
        <v>176</v>
      </c>
      <c r="F8" s="11"/>
      <c r="G8" s="11" t="s">
        <v>75</v>
      </c>
      <c r="H8" s="11">
        <v>370</v>
      </c>
      <c r="I8" s="11" t="s">
        <v>75</v>
      </c>
      <c r="J8" s="11"/>
      <c r="K8" s="11">
        <v>370</v>
      </c>
      <c r="L8" s="11" t="s">
        <v>75</v>
      </c>
      <c r="M8" s="11" t="s">
        <v>75</v>
      </c>
      <c r="N8" s="11"/>
      <c r="O8" s="11">
        <v>320</v>
      </c>
      <c r="P8" s="11">
        <v>42</v>
      </c>
      <c r="Q8" s="11"/>
      <c r="R8" s="11">
        <v>49</v>
      </c>
      <c r="S8" s="11">
        <v>58</v>
      </c>
      <c r="T8" s="11">
        <v>44</v>
      </c>
      <c r="U8" s="11">
        <v>45</v>
      </c>
      <c r="V8" s="11">
        <v>34</v>
      </c>
      <c r="W8" s="11">
        <v>38</v>
      </c>
      <c r="X8" s="11">
        <v>43</v>
      </c>
      <c r="Y8" s="11">
        <v>19</v>
      </c>
      <c r="Z8" s="11">
        <v>40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233</v>
      </c>
      <c r="AN8" s="11">
        <v>72</v>
      </c>
    </row>
    <row r="9" spans="2:40" x14ac:dyDescent="0.35">
      <c r="B9" s="15" t="s">
        <v>160</v>
      </c>
      <c r="C9" s="14">
        <v>0.18523316084897601</v>
      </c>
      <c r="D9" s="14">
        <v>0.24077569232500801</v>
      </c>
      <c r="E9" s="14">
        <v>0.12528258531853001</v>
      </c>
      <c r="F9" s="14"/>
      <c r="G9" s="14" t="s">
        <v>76</v>
      </c>
      <c r="H9" s="14">
        <v>0.18523316084897601</v>
      </c>
      <c r="I9" s="14" t="s">
        <v>76</v>
      </c>
      <c r="J9" s="14"/>
      <c r="K9" s="14">
        <v>0.18523316084897601</v>
      </c>
      <c r="L9" s="14" t="s">
        <v>76</v>
      </c>
      <c r="M9" s="14" t="s">
        <v>76</v>
      </c>
      <c r="N9" s="14"/>
      <c r="O9" s="14">
        <v>0.16289240252891901</v>
      </c>
      <c r="P9" s="14">
        <v>0.33129715826105999</v>
      </c>
      <c r="Q9" s="14"/>
      <c r="R9" s="14">
        <v>0.35499593681034702</v>
      </c>
      <c r="S9" s="14">
        <v>0.198284781566965</v>
      </c>
      <c r="T9" s="14">
        <v>0.119254801204393</v>
      </c>
      <c r="U9" s="14">
        <v>0.131967880792108</v>
      </c>
      <c r="V9" s="14">
        <v>0.183202123142504</v>
      </c>
      <c r="W9" s="14">
        <v>0.236739067831615</v>
      </c>
      <c r="X9" s="14">
        <v>0.15415237801155399</v>
      </c>
      <c r="Y9" s="14">
        <v>0</v>
      </c>
      <c r="Z9" s="14">
        <v>0.160006703662225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0.26800662018301502</v>
      </c>
      <c r="AN9" s="14">
        <v>1.38170289236993E-2</v>
      </c>
    </row>
    <row r="10" spans="2:40" x14ac:dyDescent="0.35">
      <c r="B10" s="15" t="s">
        <v>161</v>
      </c>
      <c r="C10" s="14">
        <v>0.53894382123680395</v>
      </c>
      <c r="D10" s="14">
        <v>0.51203361931942304</v>
      </c>
      <c r="E10" s="14">
        <v>0.56628094922013905</v>
      </c>
      <c r="F10" s="14"/>
      <c r="G10" s="14" t="s">
        <v>76</v>
      </c>
      <c r="H10" s="14">
        <v>0.53894382123680395</v>
      </c>
      <c r="I10" s="14" t="s">
        <v>76</v>
      </c>
      <c r="J10" s="14"/>
      <c r="K10" s="14">
        <v>0.53894382123680395</v>
      </c>
      <c r="L10" s="14" t="s">
        <v>76</v>
      </c>
      <c r="M10" s="14" t="s">
        <v>76</v>
      </c>
      <c r="N10" s="14"/>
      <c r="O10" s="14">
        <v>0.54401325017091695</v>
      </c>
      <c r="P10" s="14">
        <v>0.52869600513987802</v>
      </c>
      <c r="Q10" s="14"/>
      <c r="R10" s="14">
        <v>0.422688350961477</v>
      </c>
      <c r="S10" s="14">
        <v>0.45260185179607398</v>
      </c>
      <c r="T10" s="14">
        <v>0.60068070378919503</v>
      </c>
      <c r="U10" s="14">
        <v>0.59056191922707901</v>
      </c>
      <c r="V10" s="14">
        <v>0.50563754594868504</v>
      </c>
      <c r="W10" s="14">
        <v>0.57992868271071996</v>
      </c>
      <c r="X10" s="14">
        <v>0.60351535823972502</v>
      </c>
      <c r="Y10" s="14">
        <v>0.64166782714896597</v>
      </c>
      <c r="Z10" s="14">
        <v>0.55434643674299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0.55078670302090305</v>
      </c>
      <c r="AN10" s="14">
        <v>0.48304520383363297</v>
      </c>
    </row>
    <row r="11" spans="2:40" x14ac:dyDescent="0.35">
      <c r="B11" s="15" t="s">
        <v>162</v>
      </c>
      <c r="C11" s="14">
        <v>0.22827263950159399</v>
      </c>
      <c r="D11" s="14">
        <v>0.19641301411760501</v>
      </c>
      <c r="E11" s="14">
        <v>0.26420021786424303</v>
      </c>
      <c r="F11" s="14"/>
      <c r="G11" s="14" t="s">
        <v>76</v>
      </c>
      <c r="H11" s="14">
        <v>0.22827263950159399</v>
      </c>
      <c r="I11" s="14" t="s">
        <v>76</v>
      </c>
      <c r="J11" s="14"/>
      <c r="K11" s="14">
        <v>0.22827263950159399</v>
      </c>
      <c r="L11" s="14" t="s">
        <v>76</v>
      </c>
      <c r="M11" s="14" t="s">
        <v>76</v>
      </c>
      <c r="N11" s="14"/>
      <c r="O11" s="14">
        <v>0.243414854210696</v>
      </c>
      <c r="P11" s="14">
        <v>0.119245457452437</v>
      </c>
      <c r="Q11" s="14"/>
      <c r="R11" s="14">
        <v>0.20312011081623099</v>
      </c>
      <c r="S11" s="14">
        <v>0.276453259014939</v>
      </c>
      <c r="T11" s="14">
        <v>0.17038610561411099</v>
      </c>
      <c r="U11" s="14">
        <v>0.23473936140853099</v>
      </c>
      <c r="V11" s="14">
        <v>0.25523811946133002</v>
      </c>
      <c r="W11" s="14">
        <v>0.148006001746219</v>
      </c>
      <c r="X11" s="14">
        <v>0.24233226374872099</v>
      </c>
      <c r="Y11" s="14">
        <v>0.26536907560253398</v>
      </c>
      <c r="Z11" s="14">
        <v>0.26836226618032499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0.14950957367255799</v>
      </c>
      <c r="AN11" s="14">
        <v>0.40761283766159601</v>
      </c>
    </row>
    <row r="12" spans="2:40" x14ac:dyDescent="0.35">
      <c r="B12" s="15" t="s">
        <v>163</v>
      </c>
      <c r="C12" s="14">
        <v>3.3382627375992999E-2</v>
      </c>
      <c r="D12" s="14">
        <v>3.6823883539730103E-2</v>
      </c>
      <c r="E12" s="14">
        <v>2.9769072452087798E-2</v>
      </c>
      <c r="F12" s="14"/>
      <c r="G12" s="14" t="s">
        <v>76</v>
      </c>
      <c r="H12" s="14">
        <v>3.3382627375992999E-2</v>
      </c>
      <c r="I12" s="14" t="s">
        <v>76</v>
      </c>
      <c r="J12" s="14"/>
      <c r="K12" s="14">
        <v>3.3382627375992999E-2</v>
      </c>
      <c r="L12" s="14" t="s">
        <v>76</v>
      </c>
      <c r="M12" s="14" t="s">
        <v>76</v>
      </c>
      <c r="N12" s="14"/>
      <c r="O12" s="14">
        <v>3.8666714949492302E-2</v>
      </c>
      <c r="P12" s="14">
        <v>0</v>
      </c>
      <c r="Q12" s="14"/>
      <c r="R12" s="14">
        <v>1.91956014119441E-2</v>
      </c>
      <c r="S12" s="14">
        <v>4.2089625510059597E-2</v>
      </c>
      <c r="T12" s="14">
        <v>8.9635380334587594E-2</v>
      </c>
      <c r="U12" s="14">
        <v>4.2730838572281798E-2</v>
      </c>
      <c r="V12" s="14">
        <v>3.0545996072265501E-2</v>
      </c>
      <c r="W12" s="14">
        <v>3.5326247711446199E-2</v>
      </c>
      <c r="X12" s="14">
        <v>0</v>
      </c>
      <c r="Y12" s="14">
        <v>0</v>
      </c>
      <c r="Z12" s="14">
        <v>1.7284593414460599E-2</v>
      </c>
      <c r="AA12" s="14"/>
      <c r="AB12" s="14" t="s">
        <v>76</v>
      </c>
      <c r="AC12" s="14" t="s">
        <v>76</v>
      </c>
      <c r="AD12" s="14" t="s">
        <v>76</v>
      </c>
      <c r="AE12" s="14" t="s">
        <v>76</v>
      </c>
      <c r="AF12" s="14"/>
      <c r="AG12" s="14" t="s">
        <v>76</v>
      </c>
      <c r="AH12" s="14" t="s">
        <v>76</v>
      </c>
      <c r="AI12" s="14"/>
      <c r="AJ12" s="14" t="s">
        <v>76</v>
      </c>
      <c r="AK12" s="14" t="s">
        <v>76</v>
      </c>
      <c r="AL12" s="14"/>
      <c r="AM12" s="14">
        <v>2.02711937605079E-2</v>
      </c>
      <c r="AN12" s="14">
        <v>7.1693663494406798E-2</v>
      </c>
    </row>
    <row r="13" spans="2:40" x14ac:dyDescent="0.35">
      <c r="B13" s="15" t="s">
        <v>70</v>
      </c>
      <c r="C13" s="21">
        <v>1.4167751036633199E-2</v>
      </c>
      <c r="D13" s="21">
        <v>1.3953790698234599E-2</v>
      </c>
      <c r="E13" s="21">
        <v>1.4467175144999799E-2</v>
      </c>
      <c r="F13" s="21"/>
      <c r="G13" s="21" t="s">
        <v>76</v>
      </c>
      <c r="H13" s="21">
        <v>1.4167751036633199E-2</v>
      </c>
      <c r="I13" s="21" t="s">
        <v>76</v>
      </c>
      <c r="J13" s="21"/>
      <c r="K13" s="21">
        <v>1.4167751036633199E-2</v>
      </c>
      <c r="L13" s="21" t="s">
        <v>76</v>
      </c>
      <c r="M13" s="21" t="s">
        <v>76</v>
      </c>
      <c r="N13" s="21"/>
      <c r="O13" s="21">
        <v>1.10127781399759E-2</v>
      </c>
      <c r="P13" s="21">
        <v>2.0761379146625999E-2</v>
      </c>
      <c r="Q13" s="21"/>
      <c r="R13" s="21">
        <v>0</v>
      </c>
      <c r="S13" s="21">
        <v>3.0570482111962699E-2</v>
      </c>
      <c r="T13" s="21">
        <v>2.00430090577138E-2</v>
      </c>
      <c r="U13" s="21">
        <v>0</v>
      </c>
      <c r="V13" s="21">
        <v>2.5376215375215599E-2</v>
      </c>
      <c r="W13" s="21">
        <v>0</v>
      </c>
      <c r="X13" s="21">
        <v>0</v>
      </c>
      <c r="Y13" s="21">
        <v>9.2963097248500201E-2</v>
      </c>
      <c r="Z13" s="21">
        <v>0</v>
      </c>
      <c r="AA13" s="21"/>
      <c r="AB13" s="21" t="s">
        <v>76</v>
      </c>
      <c r="AC13" s="21" t="s">
        <v>76</v>
      </c>
      <c r="AD13" s="21" t="s">
        <v>76</v>
      </c>
      <c r="AE13" s="21" t="s">
        <v>76</v>
      </c>
      <c r="AF13" s="21"/>
      <c r="AG13" s="21" t="s">
        <v>76</v>
      </c>
      <c r="AH13" s="21" t="s">
        <v>76</v>
      </c>
      <c r="AI13" s="21"/>
      <c r="AJ13" s="21" t="s">
        <v>76</v>
      </c>
      <c r="AK13" s="21" t="s">
        <v>76</v>
      </c>
      <c r="AL13" s="21"/>
      <c r="AM13" s="21">
        <v>1.1425909363015799E-2</v>
      </c>
      <c r="AN13" s="21">
        <v>2.3831266086664499E-2</v>
      </c>
    </row>
    <row r="14" spans="2:40" x14ac:dyDescent="0.35">
      <c r="B14" s="25" t="s">
        <v>164</v>
      </c>
      <c r="C14" s="30">
        <v>0.72417698208577996</v>
      </c>
      <c r="D14" s="30">
        <v>0.75280931164442999</v>
      </c>
      <c r="E14" s="30">
        <v>0.69156353453866903</v>
      </c>
      <c r="F14" s="30"/>
      <c r="G14" s="30" t="s">
        <v>76</v>
      </c>
      <c r="H14" s="30">
        <v>0.72417698208577996</v>
      </c>
      <c r="I14" s="30" t="s">
        <v>76</v>
      </c>
      <c r="J14" s="30"/>
      <c r="K14" s="30">
        <v>0.72417698208577996</v>
      </c>
      <c r="L14" s="30" t="s">
        <v>76</v>
      </c>
      <c r="M14" s="30" t="s">
        <v>76</v>
      </c>
      <c r="N14" s="30"/>
      <c r="O14" s="30">
        <v>0.70690565269983596</v>
      </c>
      <c r="P14" s="30">
        <v>0.85999316340093701</v>
      </c>
      <c r="Q14" s="30"/>
      <c r="R14" s="30">
        <v>0.77768428777182497</v>
      </c>
      <c r="S14" s="30">
        <v>0.65088663336303898</v>
      </c>
      <c r="T14" s="30">
        <v>0.71993550499358705</v>
      </c>
      <c r="U14" s="30">
        <v>0.72252980001918699</v>
      </c>
      <c r="V14" s="30">
        <v>0.68883966909118899</v>
      </c>
      <c r="W14" s="30">
        <v>0.81666775054233498</v>
      </c>
      <c r="X14" s="30">
        <v>0.75766773625127903</v>
      </c>
      <c r="Y14" s="30">
        <v>0.64166782714896597</v>
      </c>
      <c r="Z14" s="30">
        <v>0.71435314040521503</v>
      </c>
      <c r="AA14" s="30"/>
      <c r="AB14" s="30" t="s">
        <v>76</v>
      </c>
      <c r="AC14" s="30" t="s">
        <v>76</v>
      </c>
      <c r="AD14" s="30" t="s">
        <v>76</v>
      </c>
      <c r="AE14" s="30" t="s">
        <v>76</v>
      </c>
      <c r="AF14" s="30"/>
      <c r="AG14" s="30" t="s">
        <v>76</v>
      </c>
      <c r="AH14" s="30" t="s">
        <v>76</v>
      </c>
      <c r="AI14" s="30"/>
      <c r="AJ14" s="30" t="s">
        <v>76</v>
      </c>
      <c r="AK14" s="30" t="s">
        <v>76</v>
      </c>
      <c r="AL14" s="30"/>
      <c r="AM14" s="30">
        <v>0.81879332320391796</v>
      </c>
      <c r="AN14" s="30">
        <v>0.49686223275733199</v>
      </c>
    </row>
    <row r="15" spans="2:40" x14ac:dyDescent="0.35">
      <c r="B15" s="31" t="s">
        <v>229</v>
      </c>
    </row>
    <row r="16" spans="2:40" x14ac:dyDescent="0.35">
      <c r="B16" t="s">
        <v>72</v>
      </c>
    </row>
    <row r="17" spans="2:2" x14ac:dyDescent="0.35">
      <c r="B17" t="s">
        <v>73</v>
      </c>
    </row>
    <row r="19" spans="2:2" x14ac:dyDescent="0.35">
      <c r="B19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B2:AN18"/>
  <sheetViews>
    <sheetView showGridLines="0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221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412</v>
      </c>
      <c r="D7" s="10">
        <v>221</v>
      </c>
      <c r="E7" s="10">
        <v>190</v>
      </c>
      <c r="F7" s="10"/>
      <c r="G7" s="10" t="s">
        <v>75</v>
      </c>
      <c r="H7" s="10">
        <v>412</v>
      </c>
      <c r="I7" s="10" t="s">
        <v>75</v>
      </c>
      <c r="J7" s="10"/>
      <c r="K7" s="10">
        <v>412</v>
      </c>
      <c r="L7" s="10" t="s">
        <v>75</v>
      </c>
      <c r="M7" s="10" t="s">
        <v>75</v>
      </c>
      <c r="N7" s="10"/>
      <c r="O7" s="10">
        <v>357</v>
      </c>
      <c r="P7" s="10">
        <v>45</v>
      </c>
      <c r="Q7" s="10"/>
      <c r="R7" s="10">
        <v>50</v>
      </c>
      <c r="S7" s="10">
        <v>69</v>
      </c>
      <c r="T7" s="10">
        <v>47</v>
      </c>
      <c r="U7" s="10">
        <v>45</v>
      </c>
      <c r="V7" s="10">
        <v>37</v>
      </c>
      <c r="W7" s="10">
        <v>54</v>
      </c>
      <c r="X7" s="10">
        <v>32</v>
      </c>
      <c r="Y7" s="10">
        <v>22</v>
      </c>
      <c r="Z7" s="10">
        <v>56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262</v>
      </c>
      <c r="AN7" s="10">
        <v>79</v>
      </c>
    </row>
    <row r="8" spans="2:40" ht="30" customHeight="1" x14ac:dyDescent="0.35">
      <c r="B8" s="11" t="s">
        <v>20</v>
      </c>
      <c r="C8" s="11">
        <v>370</v>
      </c>
      <c r="D8" s="11">
        <v>193</v>
      </c>
      <c r="E8" s="11">
        <v>176</v>
      </c>
      <c r="F8" s="11"/>
      <c r="G8" s="11" t="s">
        <v>75</v>
      </c>
      <c r="H8" s="11">
        <v>370</v>
      </c>
      <c r="I8" s="11" t="s">
        <v>75</v>
      </c>
      <c r="J8" s="11"/>
      <c r="K8" s="11">
        <v>370</v>
      </c>
      <c r="L8" s="11" t="s">
        <v>75</v>
      </c>
      <c r="M8" s="11" t="s">
        <v>75</v>
      </c>
      <c r="N8" s="11"/>
      <c r="O8" s="11">
        <v>320</v>
      </c>
      <c r="P8" s="11">
        <v>42</v>
      </c>
      <c r="Q8" s="11"/>
      <c r="R8" s="11">
        <v>49</v>
      </c>
      <c r="S8" s="11">
        <v>58</v>
      </c>
      <c r="T8" s="11">
        <v>44</v>
      </c>
      <c r="U8" s="11">
        <v>45</v>
      </c>
      <c r="V8" s="11">
        <v>34</v>
      </c>
      <c r="W8" s="11">
        <v>38</v>
      </c>
      <c r="X8" s="11">
        <v>43</v>
      </c>
      <c r="Y8" s="11">
        <v>19</v>
      </c>
      <c r="Z8" s="11">
        <v>40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233</v>
      </c>
      <c r="AN8" s="11">
        <v>72</v>
      </c>
    </row>
    <row r="9" spans="2:40" x14ac:dyDescent="0.35">
      <c r="B9" s="15" t="s">
        <v>166</v>
      </c>
      <c r="C9" s="14">
        <v>0.161100648246498</v>
      </c>
      <c r="D9" s="14">
        <v>0.18950441659526701</v>
      </c>
      <c r="E9" s="14">
        <v>0.13074811388660901</v>
      </c>
      <c r="F9" s="14"/>
      <c r="G9" s="14" t="s">
        <v>76</v>
      </c>
      <c r="H9" s="14">
        <v>0.161100648246498</v>
      </c>
      <c r="I9" s="14" t="s">
        <v>76</v>
      </c>
      <c r="J9" s="14"/>
      <c r="K9" s="14">
        <v>0.161100648246498</v>
      </c>
      <c r="L9" s="14" t="s">
        <v>76</v>
      </c>
      <c r="M9" s="14" t="s">
        <v>76</v>
      </c>
      <c r="N9" s="14"/>
      <c r="O9" s="14">
        <v>0.14076888335974</v>
      </c>
      <c r="P9" s="14">
        <v>0.28660849035292002</v>
      </c>
      <c r="Q9" s="14"/>
      <c r="R9" s="14">
        <v>0.300638859913124</v>
      </c>
      <c r="S9" s="14">
        <v>0.144140554556907</v>
      </c>
      <c r="T9" s="14">
        <v>0.100215047270393</v>
      </c>
      <c r="U9" s="14">
        <v>6.6434596831808093E-2</v>
      </c>
      <c r="V9" s="14">
        <v>0.132449692035536</v>
      </c>
      <c r="W9" s="14">
        <v>0.29448163079914702</v>
      </c>
      <c r="X9" s="14">
        <v>0.15378572903224699</v>
      </c>
      <c r="Y9" s="14">
        <v>4.6771099399734298E-2</v>
      </c>
      <c r="Z9" s="14">
        <v>0.143451272074719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0.232894347287256</v>
      </c>
      <c r="AN9" s="14">
        <v>1.38170289236993E-2</v>
      </c>
    </row>
    <row r="10" spans="2:40" x14ac:dyDescent="0.35">
      <c r="B10" s="15" t="s">
        <v>167</v>
      </c>
      <c r="C10" s="14">
        <v>0.450623727256035</v>
      </c>
      <c r="D10" s="14">
        <v>0.44575376547972001</v>
      </c>
      <c r="E10" s="14">
        <v>0.45342672014254098</v>
      </c>
      <c r="F10" s="14"/>
      <c r="G10" s="14" t="s">
        <v>76</v>
      </c>
      <c r="H10" s="14">
        <v>0.450623727256035</v>
      </c>
      <c r="I10" s="14" t="s">
        <v>76</v>
      </c>
      <c r="J10" s="14"/>
      <c r="K10" s="14">
        <v>0.450623727256035</v>
      </c>
      <c r="L10" s="14" t="s">
        <v>76</v>
      </c>
      <c r="M10" s="14" t="s">
        <v>76</v>
      </c>
      <c r="N10" s="14"/>
      <c r="O10" s="14">
        <v>0.450319295679312</v>
      </c>
      <c r="P10" s="14">
        <v>0.50365763397688501</v>
      </c>
      <c r="Q10" s="14"/>
      <c r="R10" s="14">
        <v>0.42016752629623799</v>
      </c>
      <c r="S10" s="14">
        <v>0.376477442734864</v>
      </c>
      <c r="T10" s="14">
        <v>0.51878660424666401</v>
      </c>
      <c r="U10" s="14">
        <v>0.52960483030629901</v>
      </c>
      <c r="V10" s="14">
        <v>0.42695121839582001</v>
      </c>
      <c r="W10" s="14">
        <v>0.33215148538745898</v>
      </c>
      <c r="X10" s="14">
        <v>0.50789450564558203</v>
      </c>
      <c r="Y10" s="14">
        <v>0.499188062243062</v>
      </c>
      <c r="Z10" s="14">
        <v>0.48236701307614799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0.51084491007208299</v>
      </c>
      <c r="AN10" s="14">
        <v>0.29001601377145703</v>
      </c>
    </row>
    <row r="11" spans="2:40" x14ac:dyDescent="0.35">
      <c r="B11" s="15" t="s">
        <v>168</v>
      </c>
      <c r="C11" s="14">
        <v>0.284845420454721</v>
      </c>
      <c r="D11" s="14">
        <v>0.26001115659342899</v>
      </c>
      <c r="E11" s="14">
        <v>0.31334260506247502</v>
      </c>
      <c r="F11" s="14"/>
      <c r="G11" s="14" t="s">
        <v>76</v>
      </c>
      <c r="H11" s="14">
        <v>0.284845420454721</v>
      </c>
      <c r="I11" s="14" t="s">
        <v>76</v>
      </c>
      <c r="J11" s="14"/>
      <c r="K11" s="14">
        <v>0.284845420454721</v>
      </c>
      <c r="L11" s="14" t="s">
        <v>76</v>
      </c>
      <c r="M11" s="14" t="s">
        <v>76</v>
      </c>
      <c r="N11" s="14"/>
      <c r="O11" s="14">
        <v>0.29757784687557698</v>
      </c>
      <c r="P11" s="14">
        <v>0.188219295428664</v>
      </c>
      <c r="Q11" s="14"/>
      <c r="R11" s="14">
        <v>0.201360773254432</v>
      </c>
      <c r="S11" s="14">
        <v>0.34748015003801302</v>
      </c>
      <c r="T11" s="14">
        <v>0.27537541054352999</v>
      </c>
      <c r="U11" s="14">
        <v>0.26907701956882302</v>
      </c>
      <c r="V11" s="14">
        <v>0.35762910493126598</v>
      </c>
      <c r="W11" s="14">
        <v>0.28101896151145001</v>
      </c>
      <c r="X11" s="14">
        <v>0.24898299836703899</v>
      </c>
      <c r="Y11" s="14">
        <v>0.36165684794292602</v>
      </c>
      <c r="Z11" s="14">
        <v>0.270040767958799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0.204314717527179</v>
      </c>
      <c r="AN11" s="14">
        <v>0.397479381613772</v>
      </c>
    </row>
    <row r="12" spans="2:40" x14ac:dyDescent="0.35">
      <c r="B12" s="15" t="s">
        <v>169</v>
      </c>
      <c r="C12" s="14">
        <v>9.8786130036613601E-2</v>
      </c>
      <c r="D12" s="14">
        <v>9.5824780735708104E-2</v>
      </c>
      <c r="E12" s="14">
        <v>0.102482560908375</v>
      </c>
      <c r="F12" s="14"/>
      <c r="G12" s="14" t="s">
        <v>76</v>
      </c>
      <c r="H12" s="14">
        <v>9.8786130036613601E-2</v>
      </c>
      <c r="I12" s="14" t="s">
        <v>76</v>
      </c>
      <c r="J12" s="14"/>
      <c r="K12" s="14">
        <v>9.8786130036613601E-2</v>
      </c>
      <c r="L12" s="14" t="s">
        <v>76</v>
      </c>
      <c r="M12" s="14" t="s">
        <v>76</v>
      </c>
      <c r="N12" s="14"/>
      <c r="O12" s="14">
        <v>0.10864438521962699</v>
      </c>
      <c r="P12" s="14">
        <v>2.1514580241530301E-2</v>
      </c>
      <c r="Q12" s="14"/>
      <c r="R12" s="14">
        <v>7.7832840536206802E-2</v>
      </c>
      <c r="S12" s="14">
        <v>0.13190185267021501</v>
      </c>
      <c r="T12" s="14">
        <v>0.105622937939414</v>
      </c>
      <c r="U12" s="14">
        <v>0.13488355329307</v>
      </c>
      <c r="V12" s="14">
        <v>3.2217553886946797E-2</v>
      </c>
      <c r="W12" s="14">
        <v>9.2347922301944399E-2</v>
      </c>
      <c r="X12" s="14">
        <v>8.93367669551315E-2</v>
      </c>
      <c r="Y12" s="14">
        <v>9.2383990414278E-2</v>
      </c>
      <c r="Z12" s="14">
        <v>0.104140946890334</v>
      </c>
      <c r="AA12" s="14"/>
      <c r="AB12" s="14" t="s">
        <v>76</v>
      </c>
      <c r="AC12" s="14" t="s">
        <v>76</v>
      </c>
      <c r="AD12" s="14" t="s">
        <v>76</v>
      </c>
      <c r="AE12" s="14" t="s">
        <v>76</v>
      </c>
      <c r="AF12" s="14"/>
      <c r="AG12" s="14" t="s">
        <v>76</v>
      </c>
      <c r="AH12" s="14" t="s">
        <v>76</v>
      </c>
      <c r="AI12" s="14"/>
      <c r="AJ12" s="14" t="s">
        <v>76</v>
      </c>
      <c r="AK12" s="14" t="s">
        <v>76</v>
      </c>
      <c r="AL12" s="14"/>
      <c r="AM12" s="14">
        <v>4.82605154687605E-2</v>
      </c>
      <c r="AN12" s="14">
        <v>0.28681253563582199</v>
      </c>
    </row>
    <row r="13" spans="2:40" x14ac:dyDescent="0.35">
      <c r="B13" s="15" t="s">
        <v>70</v>
      </c>
      <c r="C13" s="20">
        <v>4.6440740061328197E-3</v>
      </c>
      <c r="D13" s="20">
        <v>8.9058805958762994E-3</v>
      </c>
      <c r="E13" s="20">
        <v>0</v>
      </c>
      <c r="F13" s="20"/>
      <c r="G13" s="20" t="s">
        <v>76</v>
      </c>
      <c r="H13" s="20">
        <v>4.6440740061328197E-3</v>
      </c>
      <c r="I13" s="20" t="s">
        <v>76</v>
      </c>
      <c r="J13" s="20"/>
      <c r="K13" s="20">
        <v>4.6440740061328197E-3</v>
      </c>
      <c r="L13" s="20" t="s">
        <v>76</v>
      </c>
      <c r="M13" s="20" t="s">
        <v>76</v>
      </c>
      <c r="N13" s="20"/>
      <c r="O13" s="20">
        <v>2.6895888657437199E-3</v>
      </c>
      <c r="P13" s="20">
        <v>0</v>
      </c>
      <c r="Q13" s="20"/>
      <c r="R13" s="20">
        <v>0</v>
      </c>
      <c r="S13" s="20">
        <v>0</v>
      </c>
      <c r="T13" s="20">
        <v>0</v>
      </c>
      <c r="U13" s="20">
        <v>0</v>
      </c>
      <c r="V13" s="20">
        <v>5.0752430750431198E-2</v>
      </c>
      <c r="W13" s="20">
        <v>0</v>
      </c>
      <c r="X13" s="20">
        <v>0</v>
      </c>
      <c r="Y13" s="20">
        <v>0</v>
      </c>
      <c r="Z13" s="20">
        <v>0</v>
      </c>
      <c r="AA13" s="20"/>
      <c r="AB13" s="20" t="s">
        <v>76</v>
      </c>
      <c r="AC13" s="20" t="s">
        <v>76</v>
      </c>
      <c r="AD13" s="20" t="s">
        <v>76</v>
      </c>
      <c r="AE13" s="20" t="s">
        <v>76</v>
      </c>
      <c r="AF13" s="20"/>
      <c r="AG13" s="20" t="s">
        <v>76</v>
      </c>
      <c r="AH13" s="20" t="s">
        <v>76</v>
      </c>
      <c r="AI13" s="20"/>
      <c r="AJ13" s="20" t="s">
        <v>76</v>
      </c>
      <c r="AK13" s="20" t="s">
        <v>76</v>
      </c>
      <c r="AL13" s="20"/>
      <c r="AM13" s="20">
        <v>3.6855096447221498E-3</v>
      </c>
      <c r="AN13" s="20">
        <v>1.18750400552491E-2</v>
      </c>
    </row>
    <row r="14" spans="2:40" x14ac:dyDescent="0.35">
      <c r="B14" s="31" t="s">
        <v>229</v>
      </c>
    </row>
    <row r="15" spans="2:40" x14ac:dyDescent="0.35">
      <c r="B15" t="s">
        <v>72</v>
      </c>
    </row>
    <row r="16" spans="2:40" x14ac:dyDescent="0.35">
      <c r="B16" t="s">
        <v>73</v>
      </c>
    </row>
    <row r="18" spans="2:2" x14ac:dyDescent="0.35">
      <c r="B18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B2:AN16"/>
  <sheetViews>
    <sheetView showGridLines="0" workbookViewId="0">
      <pane xSplit="2" topLeftCell="C1" activePane="topRight" state="frozen"/>
      <selection pane="topRight" activeCell="B12" sqref="B12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222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509</v>
      </c>
      <c r="D7" s="10">
        <v>269</v>
      </c>
      <c r="E7" s="10">
        <v>238</v>
      </c>
      <c r="F7" s="10"/>
      <c r="G7" s="10" t="s">
        <v>75</v>
      </c>
      <c r="H7" s="10">
        <v>509</v>
      </c>
      <c r="I7" s="10" t="s">
        <v>75</v>
      </c>
      <c r="J7" s="10"/>
      <c r="K7" s="10">
        <v>509</v>
      </c>
      <c r="L7" s="10" t="s">
        <v>75</v>
      </c>
      <c r="M7" s="10" t="s">
        <v>75</v>
      </c>
      <c r="N7" s="10"/>
      <c r="O7" s="10">
        <v>446</v>
      </c>
      <c r="P7" s="10">
        <v>51</v>
      </c>
      <c r="Q7" s="10"/>
      <c r="R7" s="10">
        <v>66</v>
      </c>
      <c r="S7" s="10">
        <v>89</v>
      </c>
      <c r="T7" s="10">
        <v>56</v>
      </c>
      <c r="U7" s="10">
        <v>54</v>
      </c>
      <c r="V7" s="10">
        <v>46</v>
      </c>
      <c r="W7" s="10">
        <v>64</v>
      </c>
      <c r="X7" s="10">
        <v>39</v>
      </c>
      <c r="Y7" s="10">
        <v>23</v>
      </c>
      <c r="Z7" s="10">
        <v>72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310</v>
      </c>
      <c r="AN7" s="10">
        <v>106</v>
      </c>
    </row>
    <row r="8" spans="2:40" ht="30" customHeight="1" x14ac:dyDescent="0.35">
      <c r="B8" s="11" t="s">
        <v>20</v>
      </c>
      <c r="C8" s="11">
        <v>459</v>
      </c>
      <c r="D8" s="11">
        <v>237</v>
      </c>
      <c r="E8" s="11">
        <v>220</v>
      </c>
      <c r="F8" s="11"/>
      <c r="G8" s="11" t="s">
        <v>75</v>
      </c>
      <c r="H8" s="11">
        <v>459</v>
      </c>
      <c r="I8" s="11" t="s">
        <v>75</v>
      </c>
      <c r="J8" s="11"/>
      <c r="K8" s="11">
        <v>459</v>
      </c>
      <c r="L8" s="11" t="s">
        <v>75</v>
      </c>
      <c r="M8" s="11" t="s">
        <v>75</v>
      </c>
      <c r="N8" s="11"/>
      <c r="O8" s="11">
        <v>401</v>
      </c>
      <c r="P8" s="11">
        <v>47</v>
      </c>
      <c r="Q8" s="11"/>
      <c r="R8" s="11">
        <v>66</v>
      </c>
      <c r="S8" s="11">
        <v>75</v>
      </c>
      <c r="T8" s="11">
        <v>53</v>
      </c>
      <c r="U8" s="11">
        <v>55</v>
      </c>
      <c r="V8" s="11">
        <v>42</v>
      </c>
      <c r="W8" s="11">
        <v>46</v>
      </c>
      <c r="X8" s="11">
        <v>52</v>
      </c>
      <c r="Y8" s="11">
        <v>19</v>
      </c>
      <c r="Z8" s="11">
        <v>51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277</v>
      </c>
      <c r="AN8" s="11">
        <v>97</v>
      </c>
    </row>
    <row r="9" spans="2:40" x14ac:dyDescent="0.35">
      <c r="B9" s="15" t="s">
        <v>44</v>
      </c>
      <c r="C9" s="14">
        <v>0.68737039929153398</v>
      </c>
      <c r="D9" s="14">
        <v>0.65989071676975797</v>
      </c>
      <c r="E9" s="14">
        <v>0.723495319789906</v>
      </c>
      <c r="F9" s="14"/>
      <c r="G9" s="14" t="s">
        <v>76</v>
      </c>
      <c r="H9" s="14">
        <v>0.68737039929153398</v>
      </c>
      <c r="I9" s="14" t="s">
        <v>76</v>
      </c>
      <c r="J9" s="14"/>
      <c r="K9" s="14">
        <v>0.68737039929153398</v>
      </c>
      <c r="L9" s="14" t="s">
        <v>76</v>
      </c>
      <c r="M9" s="14" t="s">
        <v>76</v>
      </c>
      <c r="N9" s="14"/>
      <c r="O9" s="14">
        <v>0.67974974059960802</v>
      </c>
      <c r="P9" s="14">
        <v>0.77302240935942601</v>
      </c>
      <c r="Q9" s="14"/>
      <c r="R9" s="14">
        <v>0.651558419882031</v>
      </c>
      <c r="S9" s="14">
        <v>0.67924880486794803</v>
      </c>
      <c r="T9" s="14">
        <v>0.73895606214409704</v>
      </c>
      <c r="U9" s="14">
        <v>0.70558435349694204</v>
      </c>
      <c r="V9" s="14">
        <v>0.67009621125962704</v>
      </c>
      <c r="W9" s="14">
        <v>0.575091606838254</v>
      </c>
      <c r="X9" s="14">
        <v>0.73719705759273202</v>
      </c>
      <c r="Y9" s="14">
        <v>0.77476746018277298</v>
      </c>
      <c r="Z9" s="14">
        <v>0.70324831585853997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0.71973019061857302</v>
      </c>
      <c r="AN9" s="14">
        <v>0.61470163300097902</v>
      </c>
    </row>
    <row r="10" spans="2:40" x14ac:dyDescent="0.35">
      <c r="B10" s="15" t="s">
        <v>45</v>
      </c>
      <c r="C10" s="14">
        <v>0.24460720765269001</v>
      </c>
      <c r="D10" s="14">
        <v>0.27318598529851701</v>
      </c>
      <c r="E10" s="14">
        <v>0.212377899365251</v>
      </c>
      <c r="F10" s="14"/>
      <c r="G10" s="14" t="s">
        <v>76</v>
      </c>
      <c r="H10" s="14">
        <v>0.24460720765269001</v>
      </c>
      <c r="I10" s="14" t="s">
        <v>76</v>
      </c>
      <c r="J10" s="14"/>
      <c r="K10" s="14">
        <v>0.24460720765269001</v>
      </c>
      <c r="L10" s="14" t="s">
        <v>76</v>
      </c>
      <c r="M10" s="14" t="s">
        <v>76</v>
      </c>
      <c r="N10" s="14"/>
      <c r="O10" s="14">
        <v>0.24870425106504901</v>
      </c>
      <c r="P10" s="14">
        <v>0.19196744933687501</v>
      </c>
      <c r="Q10" s="14"/>
      <c r="R10" s="14">
        <v>0.27265545690127502</v>
      </c>
      <c r="S10" s="14">
        <v>0.24191071070608</v>
      </c>
      <c r="T10" s="14">
        <v>0.22747063613159499</v>
      </c>
      <c r="U10" s="14">
        <v>0.16495642645551001</v>
      </c>
      <c r="V10" s="14">
        <v>0.28905696136869402</v>
      </c>
      <c r="W10" s="14">
        <v>0.34136869113442198</v>
      </c>
      <c r="X10" s="14">
        <v>0.238614449904412</v>
      </c>
      <c r="Y10" s="14">
        <v>0.136927533816883</v>
      </c>
      <c r="Z10" s="14">
        <v>0.239325189014929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0.23390422688825699</v>
      </c>
      <c r="AN10" s="14">
        <v>0.28396900544173498</v>
      </c>
    </row>
    <row r="11" spans="2:40" x14ac:dyDescent="0.35">
      <c r="B11" s="15" t="s">
        <v>70</v>
      </c>
      <c r="C11" s="20">
        <v>6.8022393055775496E-2</v>
      </c>
      <c r="D11" s="20">
        <v>6.6923297931725398E-2</v>
      </c>
      <c r="E11" s="20">
        <v>6.4126780844843204E-2</v>
      </c>
      <c r="F11" s="20"/>
      <c r="G11" s="20" t="s">
        <v>76</v>
      </c>
      <c r="H11" s="20">
        <v>6.8022393055775496E-2</v>
      </c>
      <c r="I11" s="20" t="s">
        <v>76</v>
      </c>
      <c r="J11" s="20"/>
      <c r="K11" s="20">
        <v>6.8022393055775496E-2</v>
      </c>
      <c r="L11" s="20" t="s">
        <v>76</v>
      </c>
      <c r="M11" s="20" t="s">
        <v>76</v>
      </c>
      <c r="N11" s="20"/>
      <c r="O11" s="20">
        <v>7.1546008335343303E-2</v>
      </c>
      <c r="P11" s="20">
        <v>3.5010141303698297E-2</v>
      </c>
      <c r="Q11" s="20"/>
      <c r="R11" s="20">
        <v>7.5786123216693896E-2</v>
      </c>
      <c r="S11" s="20">
        <v>7.8840484425972204E-2</v>
      </c>
      <c r="T11" s="20">
        <v>3.3573301724307801E-2</v>
      </c>
      <c r="U11" s="20">
        <v>0.12945922004754801</v>
      </c>
      <c r="V11" s="20">
        <v>4.0846827371679099E-2</v>
      </c>
      <c r="W11" s="20">
        <v>8.3539702027323401E-2</v>
      </c>
      <c r="X11" s="20">
        <v>2.41884925028556E-2</v>
      </c>
      <c r="Y11" s="20">
        <v>8.83050060003438E-2</v>
      </c>
      <c r="Z11" s="20">
        <v>5.74264951265306E-2</v>
      </c>
      <c r="AA11" s="20"/>
      <c r="AB11" s="20" t="s">
        <v>76</v>
      </c>
      <c r="AC11" s="20" t="s">
        <v>76</v>
      </c>
      <c r="AD11" s="20" t="s">
        <v>76</v>
      </c>
      <c r="AE11" s="20" t="s">
        <v>76</v>
      </c>
      <c r="AF11" s="20"/>
      <c r="AG11" s="20" t="s">
        <v>76</v>
      </c>
      <c r="AH11" s="20" t="s">
        <v>76</v>
      </c>
      <c r="AI11" s="20"/>
      <c r="AJ11" s="20" t="s">
        <v>76</v>
      </c>
      <c r="AK11" s="20" t="s">
        <v>76</v>
      </c>
      <c r="AL11" s="20"/>
      <c r="AM11" s="20">
        <v>4.6365582493169799E-2</v>
      </c>
      <c r="AN11" s="20">
        <v>0.101329361557286</v>
      </c>
    </row>
    <row r="12" spans="2:40" x14ac:dyDescent="0.35">
      <c r="B12" s="27" t="s">
        <v>234</v>
      </c>
    </row>
    <row r="13" spans="2:40" x14ac:dyDescent="0.35">
      <c r="B13" t="s">
        <v>72</v>
      </c>
    </row>
    <row r="14" spans="2:40" x14ac:dyDescent="0.35">
      <c r="B14" t="s">
        <v>73</v>
      </c>
    </row>
    <row r="16" spans="2:40" x14ac:dyDescent="0.35">
      <c r="B16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B2:AN18"/>
  <sheetViews>
    <sheetView showGridLines="0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223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348</v>
      </c>
      <c r="D7" s="10">
        <v>177</v>
      </c>
      <c r="E7" s="10">
        <v>171</v>
      </c>
      <c r="F7" s="10"/>
      <c r="G7" s="10" t="s">
        <v>75</v>
      </c>
      <c r="H7" s="10">
        <v>348</v>
      </c>
      <c r="I7" s="10" t="s">
        <v>75</v>
      </c>
      <c r="J7" s="10"/>
      <c r="K7" s="10">
        <v>348</v>
      </c>
      <c r="L7" s="10" t="s">
        <v>75</v>
      </c>
      <c r="M7" s="10" t="s">
        <v>75</v>
      </c>
      <c r="N7" s="10"/>
      <c r="O7" s="10">
        <v>302</v>
      </c>
      <c r="P7" s="10">
        <v>39</v>
      </c>
      <c r="Q7" s="10"/>
      <c r="R7" s="10">
        <v>43</v>
      </c>
      <c r="S7" s="10">
        <v>60</v>
      </c>
      <c r="T7" s="10">
        <v>41</v>
      </c>
      <c r="U7" s="10">
        <v>38</v>
      </c>
      <c r="V7" s="10">
        <v>31</v>
      </c>
      <c r="W7" s="10">
        <v>37</v>
      </c>
      <c r="X7" s="10">
        <v>29</v>
      </c>
      <c r="Y7" s="10">
        <v>18</v>
      </c>
      <c r="Z7" s="10">
        <v>51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223</v>
      </c>
      <c r="AN7" s="10">
        <v>64</v>
      </c>
    </row>
    <row r="8" spans="2:40" ht="30" customHeight="1" x14ac:dyDescent="0.35">
      <c r="B8" s="11" t="s">
        <v>20</v>
      </c>
      <c r="C8" s="11">
        <v>316</v>
      </c>
      <c r="D8" s="11">
        <v>157</v>
      </c>
      <c r="E8" s="11">
        <v>159</v>
      </c>
      <c r="F8" s="11"/>
      <c r="G8" s="11" t="s">
        <v>75</v>
      </c>
      <c r="H8" s="11">
        <v>316</v>
      </c>
      <c r="I8" s="11" t="s">
        <v>75</v>
      </c>
      <c r="J8" s="11"/>
      <c r="K8" s="11">
        <v>316</v>
      </c>
      <c r="L8" s="11" t="s">
        <v>75</v>
      </c>
      <c r="M8" s="11" t="s">
        <v>75</v>
      </c>
      <c r="N8" s="11"/>
      <c r="O8" s="11">
        <v>273</v>
      </c>
      <c r="P8" s="11">
        <v>36</v>
      </c>
      <c r="Q8" s="11"/>
      <c r="R8" s="11">
        <v>43</v>
      </c>
      <c r="S8" s="11">
        <v>51</v>
      </c>
      <c r="T8" s="11">
        <v>39</v>
      </c>
      <c r="U8" s="11">
        <v>39</v>
      </c>
      <c r="V8" s="11">
        <v>28</v>
      </c>
      <c r="W8" s="11">
        <v>26</v>
      </c>
      <c r="X8" s="11">
        <v>38</v>
      </c>
      <c r="Y8" s="11">
        <v>15</v>
      </c>
      <c r="Z8" s="11">
        <v>36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199</v>
      </c>
      <c r="AN8" s="11">
        <v>60</v>
      </c>
    </row>
    <row r="9" spans="2:40" x14ac:dyDescent="0.35">
      <c r="B9" s="15" t="s">
        <v>155</v>
      </c>
      <c r="C9" s="14">
        <v>0.141162800049318</v>
      </c>
      <c r="D9" s="14">
        <v>0.158255712186612</v>
      </c>
      <c r="E9" s="14">
        <v>0.12433931814634901</v>
      </c>
      <c r="F9" s="14"/>
      <c r="G9" s="14" t="s">
        <v>76</v>
      </c>
      <c r="H9" s="14">
        <v>0.141162800049318</v>
      </c>
      <c r="I9" s="14" t="s">
        <v>76</v>
      </c>
      <c r="J9" s="14"/>
      <c r="K9" s="14">
        <v>0.141162800049318</v>
      </c>
      <c r="L9" s="14" t="s">
        <v>76</v>
      </c>
      <c r="M9" s="14" t="s">
        <v>76</v>
      </c>
      <c r="N9" s="14"/>
      <c r="O9" s="14">
        <v>0.117612325953468</v>
      </c>
      <c r="P9" s="14">
        <v>0.31505367837041398</v>
      </c>
      <c r="Q9" s="14"/>
      <c r="R9" s="14">
        <v>0.22640763890702201</v>
      </c>
      <c r="S9" s="14">
        <v>4.7264157334820103E-2</v>
      </c>
      <c r="T9" s="14">
        <v>0.123437259068752</v>
      </c>
      <c r="U9" s="14">
        <v>0.20224175111797901</v>
      </c>
      <c r="V9" s="14">
        <v>0.103390557477003</v>
      </c>
      <c r="W9" s="14">
        <v>0.17981653559067101</v>
      </c>
      <c r="X9" s="14">
        <v>0.10009455563472799</v>
      </c>
      <c r="Y9" s="14">
        <v>0.111696789264639</v>
      </c>
      <c r="Z9" s="14">
        <v>0.18297534039668001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0.186052776680216</v>
      </c>
      <c r="AN9" s="14">
        <v>7.6113772142972796E-2</v>
      </c>
    </row>
    <row r="10" spans="2:40" x14ac:dyDescent="0.35">
      <c r="B10" s="15" t="s">
        <v>156</v>
      </c>
      <c r="C10" s="14">
        <v>0.51575438928202899</v>
      </c>
      <c r="D10" s="14">
        <v>0.46575209202885698</v>
      </c>
      <c r="E10" s="14">
        <v>0.56496851594393305</v>
      </c>
      <c r="F10" s="14"/>
      <c r="G10" s="14" t="s">
        <v>76</v>
      </c>
      <c r="H10" s="14">
        <v>0.51575438928202899</v>
      </c>
      <c r="I10" s="14" t="s">
        <v>76</v>
      </c>
      <c r="J10" s="14"/>
      <c r="K10" s="14">
        <v>0.51575438928202899</v>
      </c>
      <c r="L10" s="14" t="s">
        <v>76</v>
      </c>
      <c r="M10" s="14" t="s">
        <v>76</v>
      </c>
      <c r="N10" s="14"/>
      <c r="O10" s="14">
        <v>0.502802965722978</v>
      </c>
      <c r="P10" s="14">
        <v>0.58206041897946303</v>
      </c>
      <c r="Q10" s="14"/>
      <c r="R10" s="14">
        <v>0.57102092729185205</v>
      </c>
      <c r="S10" s="14">
        <v>0.497061498623736</v>
      </c>
      <c r="T10" s="14">
        <v>0.55087205628531799</v>
      </c>
      <c r="U10" s="14">
        <v>0.50279600007208802</v>
      </c>
      <c r="V10" s="14">
        <v>0.44212712727915399</v>
      </c>
      <c r="W10" s="14">
        <v>0.60143544571443097</v>
      </c>
      <c r="X10" s="14">
        <v>0.40798391752922603</v>
      </c>
      <c r="Y10" s="14">
        <v>0.56682506663914101</v>
      </c>
      <c r="Z10" s="14">
        <v>0.54061067371864202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0.50147992745355596</v>
      </c>
      <c r="AN10" s="14">
        <v>0.51668012101675498</v>
      </c>
    </row>
    <row r="11" spans="2:40" x14ac:dyDescent="0.35">
      <c r="B11" s="15" t="s">
        <v>157</v>
      </c>
      <c r="C11" s="14">
        <v>0.25189039218187398</v>
      </c>
      <c r="D11" s="14">
        <v>0.27508729938529902</v>
      </c>
      <c r="E11" s="14">
        <v>0.229059130580161</v>
      </c>
      <c r="F11" s="14"/>
      <c r="G11" s="14" t="s">
        <v>76</v>
      </c>
      <c r="H11" s="14">
        <v>0.25189039218187398</v>
      </c>
      <c r="I11" s="14" t="s">
        <v>76</v>
      </c>
      <c r="J11" s="14"/>
      <c r="K11" s="14">
        <v>0.25189039218187398</v>
      </c>
      <c r="L11" s="14" t="s">
        <v>76</v>
      </c>
      <c r="M11" s="14" t="s">
        <v>76</v>
      </c>
      <c r="N11" s="14"/>
      <c r="O11" s="14">
        <v>0.27964792759470303</v>
      </c>
      <c r="P11" s="14">
        <v>6.1457423200298802E-2</v>
      </c>
      <c r="Q11" s="14"/>
      <c r="R11" s="14">
        <v>0.15571803658330799</v>
      </c>
      <c r="S11" s="14">
        <v>0.27668119069727398</v>
      </c>
      <c r="T11" s="14">
        <v>0.18935936645197601</v>
      </c>
      <c r="U11" s="14">
        <v>0.213956994831666</v>
      </c>
      <c r="V11" s="14">
        <v>0.38364096099789802</v>
      </c>
      <c r="W11" s="14">
        <v>0.19337831293484001</v>
      </c>
      <c r="X11" s="14">
        <v>0.41971172455685402</v>
      </c>
      <c r="Y11" s="14">
        <v>0.26744680480581601</v>
      </c>
      <c r="Z11" s="14">
        <v>0.194755069598115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0.241260326425706</v>
      </c>
      <c r="AN11" s="14">
        <v>0.235788097187623</v>
      </c>
    </row>
    <row r="12" spans="2:40" x14ac:dyDescent="0.35">
      <c r="B12" s="15" t="s">
        <v>158</v>
      </c>
      <c r="C12" s="14">
        <v>6.9783594123789303E-2</v>
      </c>
      <c r="D12" s="14">
        <v>7.5998211646316705E-2</v>
      </c>
      <c r="E12" s="14">
        <v>6.3666935675870603E-2</v>
      </c>
      <c r="F12" s="14"/>
      <c r="G12" s="14" t="s">
        <v>76</v>
      </c>
      <c r="H12" s="14">
        <v>6.9783594123789303E-2</v>
      </c>
      <c r="I12" s="14" t="s">
        <v>76</v>
      </c>
      <c r="J12" s="14"/>
      <c r="K12" s="14">
        <v>6.9783594123789303E-2</v>
      </c>
      <c r="L12" s="14" t="s">
        <v>76</v>
      </c>
      <c r="M12" s="14" t="s">
        <v>76</v>
      </c>
      <c r="N12" s="14"/>
      <c r="O12" s="14">
        <v>7.5173998588338106E-2</v>
      </c>
      <c r="P12" s="14">
        <v>4.1428479449823301E-2</v>
      </c>
      <c r="Q12" s="14"/>
      <c r="R12" s="14">
        <v>4.6853397217817901E-2</v>
      </c>
      <c r="S12" s="14">
        <v>0.13172899600934901</v>
      </c>
      <c r="T12" s="14">
        <v>8.5026804046383006E-2</v>
      </c>
      <c r="U12" s="14">
        <v>8.1005253978267494E-2</v>
      </c>
      <c r="V12" s="14">
        <v>3.2146180677134303E-2</v>
      </c>
      <c r="W12" s="14">
        <v>2.5369705760058502E-2</v>
      </c>
      <c r="X12" s="14">
        <v>3.9442650305541498E-2</v>
      </c>
      <c r="Y12" s="14">
        <v>5.4031339290404698E-2</v>
      </c>
      <c r="Z12" s="14">
        <v>8.1658916286563604E-2</v>
      </c>
      <c r="AA12" s="14"/>
      <c r="AB12" s="14" t="s">
        <v>76</v>
      </c>
      <c r="AC12" s="14" t="s">
        <v>76</v>
      </c>
      <c r="AD12" s="14" t="s">
        <v>76</v>
      </c>
      <c r="AE12" s="14" t="s">
        <v>76</v>
      </c>
      <c r="AF12" s="14"/>
      <c r="AG12" s="14" t="s">
        <v>76</v>
      </c>
      <c r="AH12" s="14" t="s">
        <v>76</v>
      </c>
      <c r="AI12" s="14"/>
      <c r="AJ12" s="14" t="s">
        <v>76</v>
      </c>
      <c r="AK12" s="14" t="s">
        <v>76</v>
      </c>
      <c r="AL12" s="14"/>
      <c r="AM12" s="14">
        <v>6.1902532987183699E-2</v>
      </c>
      <c r="AN12" s="14">
        <v>0.123679638964247</v>
      </c>
    </row>
    <row r="13" spans="2:40" x14ac:dyDescent="0.35">
      <c r="B13" s="15" t="s">
        <v>70</v>
      </c>
      <c r="C13" s="20">
        <v>2.1408824362990599E-2</v>
      </c>
      <c r="D13" s="20">
        <v>2.49066847529162E-2</v>
      </c>
      <c r="E13" s="20">
        <v>1.7966099653686601E-2</v>
      </c>
      <c r="F13" s="20"/>
      <c r="G13" s="20" t="s">
        <v>76</v>
      </c>
      <c r="H13" s="20">
        <v>2.1408824362990599E-2</v>
      </c>
      <c r="I13" s="20" t="s">
        <v>76</v>
      </c>
      <c r="J13" s="20"/>
      <c r="K13" s="20">
        <v>2.1408824362990599E-2</v>
      </c>
      <c r="L13" s="20" t="s">
        <v>76</v>
      </c>
      <c r="M13" s="20" t="s">
        <v>76</v>
      </c>
      <c r="N13" s="20"/>
      <c r="O13" s="20">
        <v>2.4762782140511998E-2</v>
      </c>
      <c r="P13" s="20">
        <v>0</v>
      </c>
      <c r="Q13" s="20"/>
      <c r="R13" s="20">
        <v>0</v>
      </c>
      <c r="S13" s="20">
        <v>4.7264157334820103E-2</v>
      </c>
      <c r="T13" s="20">
        <v>5.1304514147571603E-2</v>
      </c>
      <c r="U13" s="20">
        <v>0</v>
      </c>
      <c r="V13" s="20">
        <v>3.8695173568810998E-2</v>
      </c>
      <c r="W13" s="20">
        <v>0</v>
      </c>
      <c r="X13" s="20">
        <v>3.2767151973650099E-2</v>
      </c>
      <c r="Y13" s="20">
        <v>0</v>
      </c>
      <c r="Z13" s="20">
        <v>0</v>
      </c>
      <c r="AA13" s="20"/>
      <c r="AB13" s="20" t="s">
        <v>76</v>
      </c>
      <c r="AC13" s="20" t="s">
        <v>76</v>
      </c>
      <c r="AD13" s="20" t="s">
        <v>76</v>
      </c>
      <c r="AE13" s="20" t="s">
        <v>76</v>
      </c>
      <c r="AF13" s="20"/>
      <c r="AG13" s="20" t="s">
        <v>76</v>
      </c>
      <c r="AH13" s="20" t="s">
        <v>76</v>
      </c>
      <c r="AI13" s="20"/>
      <c r="AJ13" s="20" t="s">
        <v>76</v>
      </c>
      <c r="AK13" s="20" t="s">
        <v>76</v>
      </c>
      <c r="AL13" s="20"/>
      <c r="AM13" s="20">
        <v>9.3044364533375092E-3</v>
      </c>
      <c r="AN13" s="20">
        <v>4.7738370688403101E-2</v>
      </c>
    </row>
    <row r="14" spans="2:40" x14ac:dyDescent="0.35">
      <c r="B14" s="27" t="s">
        <v>234</v>
      </c>
    </row>
    <row r="15" spans="2:40" x14ac:dyDescent="0.35">
      <c r="B15" t="s">
        <v>72</v>
      </c>
    </row>
    <row r="16" spans="2:40" x14ac:dyDescent="0.35">
      <c r="B16" t="s">
        <v>73</v>
      </c>
    </row>
    <row r="18" spans="2:2" x14ac:dyDescent="0.35">
      <c r="B18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B2:AN19"/>
  <sheetViews>
    <sheetView showGridLines="0" workbookViewId="0">
      <pane xSplit="2" topLeftCell="C1" activePane="topRight" state="frozen"/>
      <selection pane="topRight" activeCell="B15" sqref="B15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225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348</v>
      </c>
      <c r="D7" s="10">
        <v>177</v>
      </c>
      <c r="E7" s="10">
        <v>171</v>
      </c>
      <c r="F7" s="10"/>
      <c r="G7" s="10" t="s">
        <v>75</v>
      </c>
      <c r="H7" s="10">
        <v>348</v>
      </c>
      <c r="I7" s="10" t="s">
        <v>75</v>
      </c>
      <c r="J7" s="10"/>
      <c r="K7" s="10">
        <v>348</v>
      </c>
      <c r="L7" s="10" t="s">
        <v>75</v>
      </c>
      <c r="M7" s="10" t="s">
        <v>75</v>
      </c>
      <c r="N7" s="10"/>
      <c r="O7" s="10">
        <v>302</v>
      </c>
      <c r="P7" s="10">
        <v>39</v>
      </c>
      <c r="Q7" s="10"/>
      <c r="R7" s="10">
        <v>43</v>
      </c>
      <c r="S7" s="10">
        <v>60</v>
      </c>
      <c r="T7" s="10">
        <v>41</v>
      </c>
      <c r="U7" s="10">
        <v>38</v>
      </c>
      <c r="V7" s="10">
        <v>31</v>
      </c>
      <c r="W7" s="10">
        <v>37</v>
      </c>
      <c r="X7" s="10">
        <v>29</v>
      </c>
      <c r="Y7" s="10">
        <v>18</v>
      </c>
      <c r="Z7" s="10">
        <v>51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223</v>
      </c>
      <c r="AN7" s="10">
        <v>64</v>
      </c>
    </row>
    <row r="8" spans="2:40" ht="30" customHeight="1" x14ac:dyDescent="0.35">
      <c r="B8" s="11" t="s">
        <v>20</v>
      </c>
      <c r="C8" s="11">
        <v>316</v>
      </c>
      <c r="D8" s="11">
        <v>157</v>
      </c>
      <c r="E8" s="11">
        <v>159</v>
      </c>
      <c r="F8" s="11"/>
      <c r="G8" s="11" t="s">
        <v>75</v>
      </c>
      <c r="H8" s="11">
        <v>316</v>
      </c>
      <c r="I8" s="11" t="s">
        <v>75</v>
      </c>
      <c r="J8" s="11"/>
      <c r="K8" s="11">
        <v>316</v>
      </c>
      <c r="L8" s="11" t="s">
        <v>75</v>
      </c>
      <c r="M8" s="11" t="s">
        <v>75</v>
      </c>
      <c r="N8" s="11"/>
      <c r="O8" s="11">
        <v>273</v>
      </c>
      <c r="P8" s="11">
        <v>36</v>
      </c>
      <c r="Q8" s="11"/>
      <c r="R8" s="11">
        <v>43</v>
      </c>
      <c r="S8" s="11">
        <v>51</v>
      </c>
      <c r="T8" s="11">
        <v>39</v>
      </c>
      <c r="U8" s="11">
        <v>39</v>
      </c>
      <c r="V8" s="11">
        <v>28</v>
      </c>
      <c r="W8" s="11">
        <v>26</v>
      </c>
      <c r="X8" s="11">
        <v>38</v>
      </c>
      <c r="Y8" s="11">
        <v>15</v>
      </c>
      <c r="Z8" s="11">
        <v>36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199</v>
      </c>
      <c r="AN8" s="11">
        <v>60</v>
      </c>
    </row>
    <row r="9" spans="2:40" x14ac:dyDescent="0.35">
      <c r="B9" s="15" t="s">
        <v>160</v>
      </c>
      <c r="C9" s="14">
        <v>0.17205431641673899</v>
      </c>
      <c r="D9" s="14">
        <v>0.17658223412518201</v>
      </c>
      <c r="E9" s="14">
        <v>0.16759777086064701</v>
      </c>
      <c r="F9" s="14"/>
      <c r="G9" s="14" t="s">
        <v>76</v>
      </c>
      <c r="H9" s="14">
        <v>0.17205431641673899</v>
      </c>
      <c r="I9" s="14" t="s">
        <v>76</v>
      </c>
      <c r="J9" s="14"/>
      <c r="K9" s="14">
        <v>0.17205431641673899</v>
      </c>
      <c r="L9" s="14" t="s">
        <v>76</v>
      </c>
      <c r="M9" s="14" t="s">
        <v>76</v>
      </c>
      <c r="N9" s="14"/>
      <c r="O9" s="14">
        <v>0.14723243138952999</v>
      </c>
      <c r="P9" s="14">
        <v>0.31601318292104202</v>
      </c>
      <c r="Q9" s="14"/>
      <c r="R9" s="14">
        <v>0.304527808561466</v>
      </c>
      <c r="S9" s="14">
        <v>0.165812192590964</v>
      </c>
      <c r="T9" s="14">
        <v>0.171371715163713</v>
      </c>
      <c r="U9" s="14">
        <v>0.179773782824905</v>
      </c>
      <c r="V9" s="14">
        <v>0.186747940042542</v>
      </c>
      <c r="W9" s="14">
        <v>0.184938191656663</v>
      </c>
      <c r="X9" s="14">
        <v>9.8301454125299295E-2</v>
      </c>
      <c r="Y9" s="14">
        <v>5.69880677335051E-2</v>
      </c>
      <c r="Z9" s="14">
        <v>0.12081020415583101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0.23865002694295501</v>
      </c>
      <c r="AN9" s="14">
        <v>7.8566715208786206E-2</v>
      </c>
    </row>
    <row r="10" spans="2:40" x14ac:dyDescent="0.35">
      <c r="B10" s="15" t="s">
        <v>161</v>
      </c>
      <c r="C10" s="14">
        <v>0.53116153536745703</v>
      </c>
      <c r="D10" s="14">
        <v>0.52462083486804401</v>
      </c>
      <c r="E10" s="14">
        <v>0.53759913684816296</v>
      </c>
      <c r="F10" s="14"/>
      <c r="G10" s="14" t="s">
        <v>76</v>
      </c>
      <c r="H10" s="14">
        <v>0.53116153536745703</v>
      </c>
      <c r="I10" s="14" t="s">
        <v>76</v>
      </c>
      <c r="J10" s="14"/>
      <c r="K10" s="14">
        <v>0.53116153536745703</v>
      </c>
      <c r="L10" s="14" t="s">
        <v>76</v>
      </c>
      <c r="M10" s="14" t="s">
        <v>76</v>
      </c>
      <c r="N10" s="14"/>
      <c r="O10" s="14">
        <v>0.53580630940321206</v>
      </c>
      <c r="P10" s="14">
        <v>0.51328867074955897</v>
      </c>
      <c r="Q10" s="14"/>
      <c r="R10" s="14">
        <v>0.46633106876876101</v>
      </c>
      <c r="S10" s="14">
        <v>0.45044283120902701</v>
      </c>
      <c r="T10" s="14">
        <v>0.62826333131761003</v>
      </c>
      <c r="U10" s="14">
        <v>0.52449235145902096</v>
      </c>
      <c r="V10" s="14">
        <v>0.44980171422297899</v>
      </c>
      <c r="W10" s="14">
        <v>0.49658115913360301</v>
      </c>
      <c r="X10" s="14">
        <v>0.59880016997062802</v>
      </c>
      <c r="Y10" s="14">
        <v>0.72688658159559105</v>
      </c>
      <c r="Z10" s="14">
        <v>0.56001784051521297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0.55769175413779504</v>
      </c>
      <c r="AN10" s="14">
        <v>0.37151376639957701</v>
      </c>
    </row>
    <row r="11" spans="2:40" x14ac:dyDescent="0.35">
      <c r="B11" s="15" t="s">
        <v>162</v>
      </c>
      <c r="C11" s="14">
        <v>0.23834520041559501</v>
      </c>
      <c r="D11" s="14">
        <v>0.234940417102038</v>
      </c>
      <c r="E11" s="14">
        <v>0.24169631519340801</v>
      </c>
      <c r="F11" s="14"/>
      <c r="G11" s="14" t="s">
        <v>76</v>
      </c>
      <c r="H11" s="14">
        <v>0.23834520041559501</v>
      </c>
      <c r="I11" s="14" t="s">
        <v>76</v>
      </c>
      <c r="J11" s="14"/>
      <c r="K11" s="14">
        <v>0.23834520041559501</v>
      </c>
      <c r="L11" s="14" t="s">
        <v>76</v>
      </c>
      <c r="M11" s="14" t="s">
        <v>76</v>
      </c>
      <c r="N11" s="14"/>
      <c r="O11" s="14">
        <v>0.25284992703522002</v>
      </c>
      <c r="P11" s="14">
        <v>0.170698146329399</v>
      </c>
      <c r="Q11" s="14"/>
      <c r="R11" s="14">
        <v>0.158425682612268</v>
      </c>
      <c r="S11" s="14">
        <v>0.30136451478891502</v>
      </c>
      <c r="T11" s="14">
        <v>0.14756406889116599</v>
      </c>
      <c r="U11" s="14">
        <v>0.26580916359913498</v>
      </c>
      <c r="V11" s="14">
        <v>0.32475516488614298</v>
      </c>
      <c r="W11" s="14">
        <v>0.26668425275643398</v>
      </c>
      <c r="X11" s="14">
        <v>0.23557096898081201</v>
      </c>
      <c r="Y11" s="14">
        <v>0.21612535067090399</v>
      </c>
      <c r="Z11" s="14">
        <v>0.23751303904239199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0.172646904684122</v>
      </c>
      <c r="AN11" s="14">
        <v>0.43164882450020398</v>
      </c>
    </row>
    <row r="12" spans="2:40" x14ac:dyDescent="0.35">
      <c r="B12" s="15" t="s">
        <v>163</v>
      </c>
      <c r="C12" s="14">
        <v>4.6103445602835601E-2</v>
      </c>
      <c r="D12" s="14">
        <v>4.3413841311936902E-2</v>
      </c>
      <c r="E12" s="14">
        <v>4.87506545015087E-2</v>
      </c>
      <c r="F12" s="14"/>
      <c r="G12" s="14" t="s">
        <v>76</v>
      </c>
      <c r="H12" s="14">
        <v>4.6103445602835601E-2</v>
      </c>
      <c r="I12" s="14" t="s">
        <v>76</v>
      </c>
      <c r="J12" s="14"/>
      <c r="K12" s="14">
        <v>4.6103445602835601E-2</v>
      </c>
      <c r="L12" s="14" t="s">
        <v>76</v>
      </c>
      <c r="M12" s="14" t="s">
        <v>76</v>
      </c>
      <c r="N12" s="14"/>
      <c r="O12" s="14">
        <v>4.9843320611560202E-2</v>
      </c>
      <c r="P12" s="14">
        <v>0</v>
      </c>
      <c r="Q12" s="14"/>
      <c r="R12" s="14">
        <v>7.0715440057504395E-2</v>
      </c>
      <c r="S12" s="14">
        <v>6.6907973878427202E-2</v>
      </c>
      <c r="T12" s="14">
        <v>5.28008846275108E-2</v>
      </c>
      <c r="U12" s="14">
        <v>0</v>
      </c>
      <c r="V12" s="14">
        <v>3.8695180848336001E-2</v>
      </c>
      <c r="W12" s="14">
        <v>2.5369705760058502E-2</v>
      </c>
      <c r="X12" s="14">
        <v>3.4560254949610597E-2</v>
      </c>
      <c r="Y12" s="14">
        <v>0</v>
      </c>
      <c r="Z12" s="14">
        <v>8.1658916286563604E-2</v>
      </c>
      <c r="AA12" s="14"/>
      <c r="AB12" s="14" t="s">
        <v>76</v>
      </c>
      <c r="AC12" s="14" t="s">
        <v>76</v>
      </c>
      <c r="AD12" s="14" t="s">
        <v>76</v>
      </c>
      <c r="AE12" s="14" t="s">
        <v>76</v>
      </c>
      <c r="AF12" s="14"/>
      <c r="AG12" s="14" t="s">
        <v>76</v>
      </c>
      <c r="AH12" s="14" t="s">
        <v>76</v>
      </c>
      <c r="AI12" s="14"/>
      <c r="AJ12" s="14" t="s">
        <v>76</v>
      </c>
      <c r="AK12" s="14" t="s">
        <v>76</v>
      </c>
      <c r="AL12" s="14"/>
      <c r="AM12" s="14">
        <v>2.3581957757697801E-2</v>
      </c>
      <c r="AN12" s="14">
        <v>9.7283968824492098E-2</v>
      </c>
    </row>
    <row r="13" spans="2:40" x14ac:dyDescent="0.35">
      <c r="B13" s="15" t="s">
        <v>70</v>
      </c>
      <c r="C13" s="21">
        <v>1.23355021973738E-2</v>
      </c>
      <c r="D13" s="21">
        <v>2.0442672592799201E-2</v>
      </c>
      <c r="E13" s="21">
        <v>4.3561225962737201E-3</v>
      </c>
      <c r="F13" s="21"/>
      <c r="G13" s="21" t="s">
        <v>76</v>
      </c>
      <c r="H13" s="21">
        <v>1.23355021973738E-2</v>
      </c>
      <c r="I13" s="21" t="s">
        <v>76</v>
      </c>
      <c r="J13" s="21"/>
      <c r="K13" s="21">
        <v>1.23355021973738E-2</v>
      </c>
      <c r="L13" s="21" t="s">
        <v>76</v>
      </c>
      <c r="M13" s="21" t="s">
        <v>76</v>
      </c>
      <c r="N13" s="21"/>
      <c r="O13" s="21">
        <v>1.42680115604772E-2</v>
      </c>
      <c r="P13" s="21">
        <v>0</v>
      </c>
      <c r="Q13" s="21"/>
      <c r="R13" s="21">
        <v>0</v>
      </c>
      <c r="S13" s="21">
        <v>1.54724875326672E-2</v>
      </c>
      <c r="T13" s="21">
        <v>0</v>
      </c>
      <c r="U13" s="21">
        <v>2.9924702116938401E-2</v>
      </c>
      <c r="V13" s="21">
        <v>0</v>
      </c>
      <c r="W13" s="21">
        <v>2.6426690693242098E-2</v>
      </c>
      <c r="X13" s="21">
        <v>3.2767151973650099E-2</v>
      </c>
      <c r="Y13" s="21">
        <v>0</v>
      </c>
      <c r="Z13" s="21">
        <v>0</v>
      </c>
      <c r="AA13" s="21"/>
      <c r="AB13" s="21" t="s">
        <v>76</v>
      </c>
      <c r="AC13" s="21" t="s">
        <v>76</v>
      </c>
      <c r="AD13" s="21" t="s">
        <v>76</v>
      </c>
      <c r="AE13" s="21" t="s">
        <v>76</v>
      </c>
      <c r="AF13" s="21"/>
      <c r="AG13" s="21" t="s">
        <v>76</v>
      </c>
      <c r="AH13" s="21" t="s">
        <v>76</v>
      </c>
      <c r="AI13" s="21"/>
      <c r="AJ13" s="21" t="s">
        <v>76</v>
      </c>
      <c r="AK13" s="21" t="s">
        <v>76</v>
      </c>
      <c r="AL13" s="21"/>
      <c r="AM13" s="21">
        <v>7.4293564774303702E-3</v>
      </c>
      <c r="AN13" s="21">
        <v>2.0986725066940801E-2</v>
      </c>
    </row>
    <row r="14" spans="2:40" x14ac:dyDescent="0.35">
      <c r="B14" s="25" t="s">
        <v>164</v>
      </c>
      <c r="C14" s="30">
        <v>0.70321585178419599</v>
      </c>
      <c r="D14" s="30">
        <v>0.70120306899322604</v>
      </c>
      <c r="E14" s="30">
        <v>0.70519690770880905</v>
      </c>
      <c r="F14" s="30"/>
      <c r="G14" s="30" t="s">
        <v>76</v>
      </c>
      <c r="H14" s="30">
        <v>0.70321585178419599</v>
      </c>
      <c r="I14" s="30" t="s">
        <v>76</v>
      </c>
      <c r="J14" s="30"/>
      <c r="K14" s="30">
        <v>0.70321585178419599</v>
      </c>
      <c r="L14" s="30" t="s">
        <v>76</v>
      </c>
      <c r="M14" s="30" t="s">
        <v>76</v>
      </c>
      <c r="N14" s="30"/>
      <c r="O14" s="30">
        <v>0.68303874079274196</v>
      </c>
      <c r="P14" s="30">
        <v>0.82930185367060105</v>
      </c>
      <c r="Q14" s="30"/>
      <c r="R14" s="30">
        <v>0.77085887733022695</v>
      </c>
      <c r="S14" s="30">
        <v>0.61625502379999098</v>
      </c>
      <c r="T14" s="30">
        <v>0.799635046481323</v>
      </c>
      <c r="U14" s="30">
        <v>0.70426613428392604</v>
      </c>
      <c r="V14" s="30">
        <v>0.63654965426552101</v>
      </c>
      <c r="W14" s="30">
        <v>0.68151935079026604</v>
      </c>
      <c r="X14" s="30">
        <v>0.69710162409592802</v>
      </c>
      <c r="Y14" s="30">
        <v>0.78387464932909601</v>
      </c>
      <c r="Z14" s="30">
        <v>0.68082804467104396</v>
      </c>
      <c r="AA14" s="30"/>
      <c r="AB14" s="30" t="s">
        <v>76</v>
      </c>
      <c r="AC14" s="30" t="s">
        <v>76</v>
      </c>
      <c r="AD14" s="30" t="s">
        <v>76</v>
      </c>
      <c r="AE14" s="30" t="s">
        <v>76</v>
      </c>
      <c r="AF14" s="30"/>
      <c r="AG14" s="30" t="s">
        <v>76</v>
      </c>
      <c r="AH14" s="30" t="s">
        <v>76</v>
      </c>
      <c r="AI14" s="30"/>
      <c r="AJ14" s="30" t="s">
        <v>76</v>
      </c>
      <c r="AK14" s="30" t="s">
        <v>76</v>
      </c>
      <c r="AL14" s="30"/>
      <c r="AM14" s="30">
        <v>0.79634178108075004</v>
      </c>
      <c r="AN14" s="30">
        <v>0.450080481608363</v>
      </c>
    </row>
    <row r="15" spans="2:40" x14ac:dyDescent="0.35">
      <c r="B15" s="31" t="s">
        <v>234</v>
      </c>
    </row>
    <row r="16" spans="2:40" x14ac:dyDescent="0.35">
      <c r="B16" t="s">
        <v>72</v>
      </c>
    </row>
    <row r="17" spans="2:2" x14ac:dyDescent="0.35">
      <c r="B17" t="s">
        <v>73</v>
      </c>
    </row>
    <row r="19" spans="2:2" x14ac:dyDescent="0.35">
      <c r="B19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B2:AN18"/>
  <sheetViews>
    <sheetView showGridLines="0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226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348</v>
      </c>
      <c r="D7" s="10">
        <v>177</v>
      </c>
      <c r="E7" s="10">
        <v>171</v>
      </c>
      <c r="F7" s="10"/>
      <c r="G7" s="10" t="s">
        <v>75</v>
      </c>
      <c r="H7" s="10">
        <v>348</v>
      </c>
      <c r="I7" s="10" t="s">
        <v>75</v>
      </c>
      <c r="J7" s="10"/>
      <c r="K7" s="10">
        <v>348</v>
      </c>
      <c r="L7" s="10" t="s">
        <v>75</v>
      </c>
      <c r="M7" s="10" t="s">
        <v>75</v>
      </c>
      <c r="N7" s="10"/>
      <c r="O7" s="10">
        <v>302</v>
      </c>
      <c r="P7" s="10">
        <v>39</v>
      </c>
      <c r="Q7" s="10"/>
      <c r="R7" s="10">
        <v>43</v>
      </c>
      <c r="S7" s="10">
        <v>60</v>
      </c>
      <c r="T7" s="10">
        <v>41</v>
      </c>
      <c r="U7" s="10">
        <v>38</v>
      </c>
      <c r="V7" s="10">
        <v>31</v>
      </c>
      <c r="W7" s="10">
        <v>37</v>
      </c>
      <c r="X7" s="10">
        <v>29</v>
      </c>
      <c r="Y7" s="10">
        <v>18</v>
      </c>
      <c r="Z7" s="10">
        <v>51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223</v>
      </c>
      <c r="AN7" s="10">
        <v>64</v>
      </c>
    </row>
    <row r="8" spans="2:40" ht="30" customHeight="1" x14ac:dyDescent="0.35">
      <c r="B8" s="11" t="s">
        <v>20</v>
      </c>
      <c r="C8" s="11">
        <v>316</v>
      </c>
      <c r="D8" s="11">
        <v>157</v>
      </c>
      <c r="E8" s="11">
        <v>159</v>
      </c>
      <c r="F8" s="11"/>
      <c r="G8" s="11" t="s">
        <v>75</v>
      </c>
      <c r="H8" s="11">
        <v>316</v>
      </c>
      <c r="I8" s="11" t="s">
        <v>75</v>
      </c>
      <c r="J8" s="11"/>
      <c r="K8" s="11">
        <v>316</v>
      </c>
      <c r="L8" s="11" t="s">
        <v>75</v>
      </c>
      <c r="M8" s="11" t="s">
        <v>75</v>
      </c>
      <c r="N8" s="11"/>
      <c r="O8" s="11">
        <v>273</v>
      </c>
      <c r="P8" s="11">
        <v>36</v>
      </c>
      <c r="Q8" s="11"/>
      <c r="R8" s="11">
        <v>43</v>
      </c>
      <c r="S8" s="11">
        <v>51</v>
      </c>
      <c r="T8" s="11">
        <v>39</v>
      </c>
      <c r="U8" s="11">
        <v>39</v>
      </c>
      <c r="V8" s="11">
        <v>28</v>
      </c>
      <c r="W8" s="11">
        <v>26</v>
      </c>
      <c r="X8" s="11">
        <v>38</v>
      </c>
      <c r="Y8" s="11">
        <v>15</v>
      </c>
      <c r="Z8" s="11">
        <v>36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199</v>
      </c>
      <c r="AN8" s="11">
        <v>60</v>
      </c>
    </row>
    <row r="9" spans="2:40" x14ac:dyDescent="0.35">
      <c r="B9" s="15" t="s">
        <v>166</v>
      </c>
      <c r="C9" s="14">
        <v>0.179066729498987</v>
      </c>
      <c r="D9" s="14">
        <v>0.19203671489304</v>
      </c>
      <c r="E9" s="14">
        <v>0.16630118593297699</v>
      </c>
      <c r="F9" s="14"/>
      <c r="G9" s="14" t="s">
        <v>76</v>
      </c>
      <c r="H9" s="14">
        <v>0.179066729498987</v>
      </c>
      <c r="I9" s="14" t="s">
        <v>76</v>
      </c>
      <c r="J9" s="14"/>
      <c r="K9" s="14">
        <v>0.179066729498987</v>
      </c>
      <c r="L9" s="14" t="s">
        <v>76</v>
      </c>
      <c r="M9" s="14" t="s">
        <v>76</v>
      </c>
      <c r="N9" s="14"/>
      <c r="O9" s="14">
        <v>0.152216207344396</v>
      </c>
      <c r="P9" s="14">
        <v>0.338171684146092</v>
      </c>
      <c r="Q9" s="14"/>
      <c r="R9" s="14">
        <v>0.35558614587802301</v>
      </c>
      <c r="S9" s="14">
        <v>0.10117756573155701</v>
      </c>
      <c r="T9" s="14">
        <v>0.250020909919282</v>
      </c>
      <c r="U9" s="14">
        <v>0.231165994216773</v>
      </c>
      <c r="V9" s="14">
        <v>6.9173504122154894E-2</v>
      </c>
      <c r="W9" s="14">
        <v>0.25809886317839997</v>
      </c>
      <c r="X9" s="14">
        <v>0.107135363177633</v>
      </c>
      <c r="Y9" s="14">
        <v>5.69880677335051E-2</v>
      </c>
      <c r="Z9" s="14">
        <v>0.10187774686922101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0.25426445414939403</v>
      </c>
      <c r="AN9" s="14">
        <v>5.2429283736122698E-2</v>
      </c>
    </row>
    <row r="10" spans="2:40" x14ac:dyDescent="0.35">
      <c r="B10" s="15" t="s">
        <v>167</v>
      </c>
      <c r="C10" s="14">
        <v>0.42208593428722502</v>
      </c>
      <c r="D10" s="14">
        <v>0.41469529423322099</v>
      </c>
      <c r="E10" s="14">
        <v>0.42936007799083797</v>
      </c>
      <c r="F10" s="14"/>
      <c r="G10" s="14" t="s">
        <v>76</v>
      </c>
      <c r="H10" s="14">
        <v>0.42208593428722502</v>
      </c>
      <c r="I10" s="14" t="s">
        <v>76</v>
      </c>
      <c r="J10" s="14"/>
      <c r="K10" s="14">
        <v>0.42208593428722502</v>
      </c>
      <c r="L10" s="14" t="s">
        <v>76</v>
      </c>
      <c r="M10" s="14" t="s">
        <v>76</v>
      </c>
      <c r="N10" s="14"/>
      <c r="O10" s="14">
        <v>0.41869814943786898</v>
      </c>
      <c r="P10" s="14">
        <v>0.46987269321978198</v>
      </c>
      <c r="Q10" s="14"/>
      <c r="R10" s="14">
        <v>0.34693019756627502</v>
      </c>
      <c r="S10" s="14">
        <v>0.403634380379776</v>
      </c>
      <c r="T10" s="14">
        <v>0.42855629996647598</v>
      </c>
      <c r="U10" s="14">
        <v>0.343435542999243</v>
      </c>
      <c r="V10" s="14">
        <v>0.47427330921598698</v>
      </c>
      <c r="W10" s="14">
        <v>0.36297358341373298</v>
      </c>
      <c r="X10" s="14">
        <v>0.51559805181853702</v>
      </c>
      <c r="Y10" s="14">
        <v>0.45142001127553</v>
      </c>
      <c r="Z10" s="14">
        <v>0.50531641318610498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0.48450856097875</v>
      </c>
      <c r="AN10" s="14">
        <v>0.19969293540953101</v>
      </c>
    </row>
    <row r="11" spans="2:40" x14ac:dyDescent="0.35">
      <c r="B11" s="15" t="s">
        <v>168</v>
      </c>
      <c r="C11" s="14">
        <v>0.286692008744168</v>
      </c>
      <c r="D11" s="14">
        <v>0.30407973826447998</v>
      </c>
      <c r="E11" s="14">
        <v>0.26957835657249002</v>
      </c>
      <c r="F11" s="14"/>
      <c r="G11" s="14" t="s">
        <v>76</v>
      </c>
      <c r="H11" s="14">
        <v>0.286692008744168</v>
      </c>
      <c r="I11" s="14" t="s">
        <v>76</v>
      </c>
      <c r="J11" s="14"/>
      <c r="K11" s="14">
        <v>0.286692008744168</v>
      </c>
      <c r="L11" s="14" t="s">
        <v>76</v>
      </c>
      <c r="M11" s="14" t="s">
        <v>76</v>
      </c>
      <c r="N11" s="14"/>
      <c r="O11" s="14">
        <v>0.305386115194133</v>
      </c>
      <c r="P11" s="14">
        <v>0.17294208246229101</v>
      </c>
      <c r="Q11" s="14"/>
      <c r="R11" s="14">
        <v>0.20348744689382101</v>
      </c>
      <c r="S11" s="14">
        <v>0.32416080987620199</v>
      </c>
      <c r="T11" s="14">
        <v>0.19895486428562201</v>
      </c>
      <c r="U11" s="14">
        <v>0.323237356916175</v>
      </c>
      <c r="V11" s="14">
        <v>0.417858005813522</v>
      </c>
      <c r="W11" s="14">
        <v>0.243192966858778</v>
      </c>
      <c r="X11" s="14">
        <v>0.30993917808056998</v>
      </c>
      <c r="Y11" s="14">
        <v>0.43460385002867202</v>
      </c>
      <c r="Z11" s="14">
        <v>0.23182130541878601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0.204440425572817</v>
      </c>
      <c r="AN11" s="14">
        <v>0.42488695150511402</v>
      </c>
    </row>
    <row r="12" spans="2:40" x14ac:dyDescent="0.35">
      <c r="B12" s="15" t="s">
        <v>169</v>
      </c>
      <c r="C12" s="14">
        <v>9.7227390225675503E-2</v>
      </c>
      <c r="D12" s="14">
        <v>6.6279660651533207E-2</v>
      </c>
      <c r="E12" s="14">
        <v>0.12768730040637399</v>
      </c>
      <c r="F12" s="14"/>
      <c r="G12" s="14" t="s">
        <v>76</v>
      </c>
      <c r="H12" s="14">
        <v>9.7227390225675503E-2</v>
      </c>
      <c r="I12" s="14" t="s">
        <v>76</v>
      </c>
      <c r="J12" s="14"/>
      <c r="K12" s="14">
        <v>9.7227390225675503E-2</v>
      </c>
      <c r="L12" s="14" t="s">
        <v>76</v>
      </c>
      <c r="M12" s="14" t="s">
        <v>76</v>
      </c>
      <c r="N12" s="14"/>
      <c r="O12" s="14">
        <v>0.108976465028751</v>
      </c>
      <c r="P12" s="14">
        <v>0</v>
      </c>
      <c r="Q12" s="14"/>
      <c r="R12" s="14">
        <v>6.7426520716748206E-2</v>
      </c>
      <c r="S12" s="14">
        <v>0.155554756479798</v>
      </c>
      <c r="T12" s="14">
        <v>9.3626868688598805E-2</v>
      </c>
      <c r="U12" s="14">
        <v>7.7301037155034599E-2</v>
      </c>
      <c r="V12" s="14">
        <v>3.8695180848336001E-2</v>
      </c>
      <c r="W12" s="14">
        <v>0.13573458654908899</v>
      </c>
      <c r="X12" s="14">
        <v>6.7327406923260794E-2</v>
      </c>
      <c r="Y12" s="14">
        <v>5.6988070962293601E-2</v>
      </c>
      <c r="Z12" s="14">
        <v>0.141814723855759</v>
      </c>
      <c r="AA12" s="14"/>
      <c r="AB12" s="14" t="s">
        <v>76</v>
      </c>
      <c r="AC12" s="14" t="s">
        <v>76</v>
      </c>
      <c r="AD12" s="14" t="s">
        <v>76</v>
      </c>
      <c r="AE12" s="14" t="s">
        <v>76</v>
      </c>
      <c r="AF12" s="14"/>
      <c r="AG12" s="14" t="s">
        <v>76</v>
      </c>
      <c r="AH12" s="14" t="s">
        <v>76</v>
      </c>
      <c r="AI12" s="14"/>
      <c r="AJ12" s="14" t="s">
        <v>76</v>
      </c>
      <c r="AK12" s="14" t="s">
        <v>76</v>
      </c>
      <c r="AL12" s="14"/>
      <c r="AM12" s="14">
        <v>3.8795630982975997E-2</v>
      </c>
      <c r="AN12" s="14">
        <v>0.32299082934923201</v>
      </c>
    </row>
    <row r="13" spans="2:40" x14ac:dyDescent="0.35">
      <c r="B13" s="15" t="s">
        <v>70</v>
      </c>
      <c r="C13" s="20">
        <v>1.4927937243944299E-2</v>
      </c>
      <c r="D13" s="20">
        <v>2.29085919577258E-2</v>
      </c>
      <c r="E13" s="20">
        <v>7.0730790973207603E-3</v>
      </c>
      <c r="F13" s="20"/>
      <c r="G13" s="20" t="s">
        <v>76</v>
      </c>
      <c r="H13" s="20">
        <v>1.4927937243944299E-2</v>
      </c>
      <c r="I13" s="20" t="s">
        <v>76</v>
      </c>
      <c r="J13" s="20"/>
      <c r="K13" s="20">
        <v>1.4927937243944299E-2</v>
      </c>
      <c r="L13" s="20" t="s">
        <v>76</v>
      </c>
      <c r="M13" s="20" t="s">
        <v>76</v>
      </c>
      <c r="N13" s="20"/>
      <c r="O13" s="20">
        <v>1.4723062994851099E-2</v>
      </c>
      <c r="P13" s="20">
        <v>1.9013540171833699E-2</v>
      </c>
      <c r="Q13" s="20"/>
      <c r="R13" s="20">
        <v>2.65696889451324E-2</v>
      </c>
      <c r="S13" s="20">
        <v>1.54724875326672E-2</v>
      </c>
      <c r="T13" s="20">
        <v>2.8841057140021002E-2</v>
      </c>
      <c r="U13" s="20">
        <v>2.4860068712775098E-2</v>
      </c>
      <c r="V13" s="20">
        <v>0</v>
      </c>
      <c r="W13" s="20">
        <v>0</v>
      </c>
      <c r="X13" s="20">
        <v>0</v>
      </c>
      <c r="Y13" s="20">
        <v>0</v>
      </c>
      <c r="Z13" s="20">
        <v>1.9169810670129898E-2</v>
      </c>
      <c r="AA13" s="20"/>
      <c r="AB13" s="20" t="s">
        <v>76</v>
      </c>
      <c r="AC13" s="20" t="s">
        <v>76</v>
      </c>
      <c r="AD13" s="20" t="s">
        <v>76</v>
      </c>
      <c r="AE13" s="20" t="s">
        <v>76</v>
      </c>
      <c r="AF13" s="20"/>
      <c r="AG13" s="20" t="s">
        <v>76</v>
      </c>
      <c r="AH13" s="20" t="s">
        <v>76</v>
      </c>
      <c r="AI13" s="20"/>
      <c r="AJ13" s="20" t="s">
        <v>76</v>
      </c>
      <c r="AK13" s="20" t="s">
        <v>76</v>
      </c>
      <c r="AL13" s="20"/>
      <c r="AM13" s="20">
        <v>1.79909283160632E-2</v>
      </c>
      <c r="AN13" s="20">
        <v>0</v>
      </c>
    </row>
    <row r="14" spans="2:40" x14ac:dyDescent="0.35">
      <c r="B14" s="31" t="s">
        <v>234</v>
      </c>
    </row>
    <row r="15" spans="2:40" x14ac:dyDescent="0.35">
      <c r="B15" t="s">
        <v>72</v>
      </c>
    </row>
    <row r="16" spans="2:40" x14ac:dyDescent="0.35">
      <c r="B16" t="s">
        <v>73</v>
      </c>
    </row>
    <row r="18" spans="2:2" x14ac:dyDescent="0.35">
      <c r="B18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B2:AN16"/>
  <sheetViews>
    <sheetView showGridLines="0" workbookViewId="0">
      <pane xSplit="2" topLeftCell="C1" activePane="topRight" state="frozen"/>
      <selection pane="topRight" activeCell="B10" sqref="B10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227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509</v>
      </c>
      <c r="D7" s="10">
        <v>269</v>
      </c>
      <c r="E7" s="10">
        <v>238</v>
      </c>
      <c r="F7" s="10"/>
      <c r="G7" s="10" t="s">
        <v>75</v>
      </c>
      <c r="H7" s="10">
        <v>509</v>
      </c>
      <c r="I7" s="10" t="s">
        <v>75</v>
      </c>
      <c r="J7" s="10"/>
      <c r="K7" s="10">
        <v>509</v>
      </c>
      <c r="L7" s="10" t="s">
        <v>75</v>
      </c>
      <c r="M7" s="10" t="s">
        <v>75</v>
      </c>
      <c r="N7" s="10"/>
      <c r="O7" s="10">
        <v>446</v>
      </c>
      <c r="P7" s="10">
        <v>51</v>
      </c>
      <c r="Q7" s="10"/>
      <c r="R7" s="10">
        <v>66</v>
      </c>
      <c r="S7" s="10">
        <v>89</v>
      </c>
      <c r="T7" s="10">
        <v>56</v>
      </c>
      <c r="U7" s="10">
        <v>54</v>
      </c>
      <c r="V7" s="10">
        <v>46</v>
      </c>
      <c r="W7" s="10">
        <v>64</v>
      </c>
      <c r="X7" s="10">
        <v>39</v>
      </c>
      <c r="Y7" s="10">
        <v>23</v>
      </c>
      <c r="Z7" s="10">
        <v>72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310</v>
      </c>
      <c r="AN7" s="10">
        <v>106</v>
      </c>
    </row>
    <row r="8" spans="2:40" ht="30" customHeight="1" x14ac:dyDescent="0.35">
      <c r="B8" s="11" t="s">
        <v>20</v>
      </c>
      <c r="C8" s="11">
        <v>459</v>
      </c>
      <c r="D8" s="11">
        <v>237</v>
      </c>
      <c r="E8" s="11">
        <v>220</v>
      </c>
      <c r="F8" s="11"/>
      <c r="G8" s="11" t="s">
        <v>75</v>
      </c>
      <c r="H8" s="11">
        <v>459</v>
      </c>
      <c r="I8" s="11" t="s">
        <v>75</v>
      </c>
      <c r="J8" s="11"/>
      <c r="K8" s="11">
        <v>459</v>
      </c>
      <c r="L8" s="11" t="s">
        <v>75</v>
      </c>
      <c r="M8" s="11" t="s">
        <v>75</v>
      </c>
      <c r="N8" s="11"/>
      <c r="O8" s="11">
        <v>401</v>
      </c>
      <c r="P8" s="11">
        <v>47</v>
      </c>
      <c r="Q8" s="11"/>
      <c r="R8" s="11">
        <v>66</v>
      </c>
      <c r="S8" s="11">
        <v>75</v>
      </c>
      <c r="T8" s="11">
        <v>53</v>
      </c>
      <c r="U8" s="11">
        <v>55</v>
      </c>
      <c r="V8" s="11">
        <v>42</v>
      </c>
      <c r="W8" s="11">
        <v>46</v>
      </c>
      <c r="X8" s="11">
        <v>52</v>
      </c>
      <c r="Y8" s="11">
        <v>19</v>
      </c>
      <c r="Z8" s="11">
        <v>51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277</v>
      </c>
      <c r="AN8" s="11">
        <v>97</v>
      </c>
    </row>
    <row r="9" spans="2:40" x14ac:dyDescent="0.35">
      <c r="B9" s="15" t="s">
        <v>44</v>
      </c>
      <c r="C9" s="14">
        <v>0.72261893073161998</v>
      </c>
      <c r="D9" s="14">
        <v>0.68444889386622598</v>
      </c>
      <c r="E9" s="14">
        <v>0.77061172009610301</v>
      </c>
      <c r="F9" s="14"/>
      <c r="G9" s="14" t="s">
        <v>76</v>
      </c>
      <c r="H9" s="14">
        <v>0.72261893073161998</v>
      </c>
      <c r="I9" s="14" t="s">
        <v>76</v>
      </c>
      <c r="J9" s="14"/>
      <c r="K9" s="14">
        <v>0.72261893073161998</v>
      </c>
      <c r="L9" s="14" t="s">
        <v>76</v>
      </c>
      <c r="M9" s="14" t="s">
        <v>76</v>
      </c>
      <c r="N9" s="14"/>
      <c r="O9" s="14">
        <v>0.72348871364817602</v>
      </c>
      <c r="P9" s="14">
        <v>0.72536005400846804</v>
      </c>
      <c r="Q9" s="14"/>
      <c r="R9" s="14">
        <v>0.72713407664477003</v>
      </c>
      <c r="S9" s="14">
        <v>0.70957792352253302</v>
      </c>
      <c r="T9" s="14">
        <v>0.68250747690465596</v>
      </c>
      <c r="U9" s="14">
        <v>0.70277517558388602</v>
      </c>
      <c r="V9" s="14">
        <v>0.76330468758672299</v>
      </c>
      <c r="W9" s="14">
        <v>0.78385962202896298</v>
      </c>
      <c r="X9" s="14">
        <v>0.765271613011137</v>
      </c>
      <c r="Y9" s="14">
        <v>0.60833616796749501</v>
      </c>
      <c r="Z9" s="14">
        <v>0.71044573569864999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0.74623174709559503</v>
      </c>
      <c r="AN9" s="14">
        <v>0.69149463570656999</v>
      </c>
    </row>
    <row r="10" spans="2:40" x14ac:dyDescent="0.35">
      <c r="B10" s="15" t="s">
        <v>45</v>
      </c>
      <c r="C10" s="14">
        <v>0.19181582564972099</v>
      </c>
      <c r="D10" s="14">
        <v>0.230476293807304</v>
      </c>
      <c r="E10" s="14">
        <v>0.14248822815862699</v>
      </c>
      <c r="F10" s="14"/>
      <c r="G10" s="14" t="s">
        <v>76</v>
      </c>
      <c r="H10" s="14">
        <v>0.19181582564972099</v>
      </c>
      <c r="I10" s="14" t="s">
        <v>76</v>
      </c>
      <c r="J10" s="14"/>
      <c r="K10" s="14">
        <v>0.19181582564972099</v>
      </c>
      <c r="L10" s="14" t="s">
        <v>76</v>
      </c>
      <c r="M10" s="14" t="s">
        <v>76</v>
      </c>
      <c r="N10" s="14"/>
      <c r="O10" s="14">
        <v>0.186628041582896</v>
      </c>
      <c r="P10" s="14">
        <v>0.22493191205374999</v>
      </c>
      <c r="Q10" s="14"/>
      <c r="R10" s="14">
        <v>0.24117244939939</v>
      </c>
      <c r="S10" s="14">
        <v>0.145349424529054</v>
      </c>
      <c r="T10" s="14">
        <v>0.24582028836852199</v>
      </c>
      <c r="U10" s="14">
        <v>0.15948749296564901</v>
      </c>
      <c r="V10" s="14">
        <v>0.128182234518741</v>
      </c>
      <c r="W10" s="14">
        <v>0.171335584407006</v>
      </c>
      <c r="X10" s="14">
        <v>0.15574851116643501</v>
      </c>
      <c r="Y10" s="14">
        <v>0.39166383203250499</v>
      </c>
      <c r="Z10" s="14">
        <v>0.206587685864938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0.1783042428637</v>
      </c>
      <c r="AN10" s="14">
        <v>0.186425670537297</v>
      </c>
    </row>
    <row r="11" spans="2:40" x14ac:dyDescent="0.35">
      <c r="B11" s="15" t="s">
        <v>70</v>
      </c>
      <c r="C11" s="20">
        <v>8.5565243618659304E-2</v>
      </c>
      <c r="D11" s="20">
        <v>8.5074812326470003E-2</v>
      </c>
      <c r="E11" s="20">
        <v>8.6900051745270296E-2</v>
      </c>
      <c r="F11" s="20"/>
      <c r="G11" s="20" t="s">
        <v>76</v>
      </c>
      <c r="H11" s="20">
        <v>8.5565243618659304E-2</v>
      </c>
      <c r="I11" s="20" t="s">
        <v>76</v>
      </c>
      <c r="J11" s="20"/>
      <c r="K11" s="20">
        <v>8.5565243618659304E-2</v>
      </c>
      <c r="L11" s="20" t="s">
        <v>76</v>
      </c>
      <c r="M11" s="20" t="s">
        <v>76</v>
      </c>
      <c r="N11" s="20"/>
      <c r="O11" s="20">
        <v>8.9883244768927895E-2</v>
      </c>
      <c r="P11" s="20">
        <v>4.9708033937781497E-2</v>
      </c>
      <c r="Q11" s="20"/>
      <c r="R11" s="20">
        <v>3.1693473955840101E-2</v>
      </c>
      <c r="S11" s="20">
        <v>0.14507265194841301</v>
      </c>
      <c r="T11" s="20">
        <v>7.1672234726822298E-2</v>
      </c>
      <c r="U11" s="20">
        <v>0.13773733145046499</v>
      </c>
      <c r="V11" s="20">
        <v>0.108513077894536</v>
      </c>
      <c r="W11" s="20">
        <v>4.4804793564031699E-2</v>
      </c>
      <c r="X11" s="20">
        <v>7.8979875822428103E-2</v>
      </c>
      <c r="Y11" s="20">
        <v>0</v>
      </c>
      <c r="Z11" s="20">
        <v>8.2966578436412503E-2</v>
      </c>
      <c r="AA11" s="20"/>
      <c r="AB11" s="20" t="s">
        <v>76</v>
      </c>
      <c r="AC11" s="20" t="s">
        <v>76</v>
      </c>
      <c r="AD11" s="20" t="s">
        <v>76</v>
      </c>
      <c r="AE11" s="20" t="s">
        <v>76</v>
      </c>
      <c r="AF11" s="20"/>
      <c r="AG11" s="20" t="s">
        <v>76</v>
      </c>
      <c r="AH11" s="20" t="s">
        <v>76</v>
      </c>
      <c r="AI11" s="20"/>
      <c r="AJ11" s="20" t="s">
        <v>76</v>
      </c>
      <c r="AK11" s="20" t="s">
        <v>76</v>
      </c>
      <c r="AL11" s="20"/>
      <c r="AM11" s="20">
        <v>7.5464010040705201E-2</v>
      </c>
      <c r="AN11" s="20">
        <v>0.12207969375613301</v>
      </c>
    </row>
    <row r="12" spans="2:40" x14ac:dyDescent="0.35">
      <c r="B12" s="27" t="s">
        <v>209</v>
      </c>
    </row>
    <row r="13" spans="2:40" x14ac:dyDescent="0.35">
      <c r="B13" t="s">
        <v>72</v>
      </c>
    </row>
    <row r="14" spans="2:40" x14ac:dyDescent="0.35">
      <c r="B14" t="s">
        <v>73</v>
      </c>
    </row>
    <row r="16" spans="2:40" x14ac:dyDescent="0.35">
      <c r="B16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B2:AN18"/>
  <sheetViews>
    <sheetView showGridLines="0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228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367</v>
      </c>
      <c r="D7" s="10">
        <v>184</v>
      </c>
      <c r="E7" s="10">
        <v>183</v>
      </c>
      <c r="F7" s="10"/>
      <c r="G7" s="10" t="s">
        <v>75</v>
      </c>
      <c r="H7" s="10">
        <v>367</v>
      </c>
      <c r="I7" s="10" t="s">
        <v>75</v>
      </c>
      <c r="J7" s="10"/>
      <c r="K7" s="10">
        <v>367</v>
      </c>
      <c r="L7" s="10" t="s">
        <v>75</v>
      </c>
      <c r="M7" s="10" t="s">
        <v>75</v>
      </c>
      <c r="N7" s="10"/>
      <c r="O7" s="10">
        <v>323</v>
      </c>
      <c r="P7" s="10">
        <v>36</v>
      </c>
      <c r="Q7" s="10"/>
      <c r="R7" s="10">
        <v>48</v>
      </c>
      <c r="S7" s="10">
        <v>63</v>
      </c>
      <c r="T7" s="10">
        <v>38</v>
      </c>
      <c r="U7" s="10">
        <v>38</v>
      </c>
      <c r="V7" s="10">
        <v>35</v>
      </c>
      <c r="W7" s="10">
        <v>50</v>
      </c>
      <c r="X7" s="10">
        <v>30</v>
      </c>
      <c r="Y7" s="10">
        <v>14</v>
      </c>
      <c r="Z7" s="10">
        <v>51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230</v>
      </c>
      <c r="AN7" s="10">
        <v>73</v>
      </c>
    </row>
    <row r="8" spans="2:40" ht="30" customHeight="1" x14ac:dyDescent="0.35">
      <c r="B8" s="11" t="s">
        <v>20</v>
      </c>
      <c r="C8" s="11">
        <v>332</v>
      </c>
      <c r="D8" s="11">
        <v>162</v>
      </c>
      <c r="E8" s="11">
        <v>169</v>
      </c>
      <c r="F8" s="11"/>
      <c r="G8" s="11" t="s">
        <v>75</v>
      </c>
      <c r="H8" s="11">
        <v>332</v>
      </c>
      <c r="I8" s="11" t="s">
        <v>75</v>
      </c>
      <c r="J8" s="11"/>
      <c r="K8" s="11">
        <v>332</v>
      </c>
      <c r="L8" s="11" t="s">
        <v>75</v>
      </c>
      <c r="M8" s="11" t="s">
        <v>75</v>
      </c>
      <c r="N8" s="11"/>
      <c r="O8" s="11">
        <v>290</v>
      </c>
      <c r="P8" s="11">
        <v>34</v>
      </c>
      <c r="Q8" s="11"/>
      <c r="R8" s="11">
        <v>48</v>
      </c>
      <c r="S8" s="11">
        <v>53</v>
      </c>
      <c r="T8" s="11">
        <v>36</v>
      </c>
      <c r="U8" s="11">
        <v>38</v>
      </c>
      <c r="V8" s="11">
        <v>32</v>
      </c>
      <c r="W8" s="11">
        <v>36</v>
      </c>
      <c r="X8" s="11">
        <v>40</v>
      </c>
      <c r="Y8" s="11">
        <v>12</v>
      </c>
      <c r="Z8" s="11">
        <v>37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207</v>
      </c>
      <c r="AN8" s="11">
        <v>67</v>
      </c>
    </row>
    <row r="9" spans="2:40" x14ac:dyDescent="0.35">
      <c r="B9" s="15" t="s">
        <v>155</v>
      </c>
      <c r="C9" s="14">
        <v>0.13704745666980001</v>
      </c>
      <c r="D9" s="14">
        <v>0.17563354786527</v>
      </c>
      <c r="E9" s="14">
        <v>0.10006466127027699</v>
      </c>
      <c r="F9" s="14"/>
      <c r="G9" s="14" t="s">
        <v>76</v>
      </c>
      <c r="H9" s="14">
        <v>0.13704745666980001</v>
      </c>
      <c r="I9" s="14" t="s">
        <v>76</v>
      </c>
      <c r="J9" s="14"/>
      <c r="K9" s="14">
        <v>0.13704745666980001</v>
      </c>
      <c r="L9" s="14" t="s">
        <v>76</v>
      </c>
      <c r="M9" s="14" t="s">
        <v>76</v>
      </c>
      <c r="N9" s="14"/>
      <c r="O9" s="14">
        <v>0.11409053218316299</v>
      </c>
      <c r="P9" s="14">
        <v>0.33245608315460901</v>
      </c>
      <c r="Q9" s="14"/>
      <c r="R9" s="14">
        <v>0.31135137691863801</v>
      </c>
      <c r="S9" s="14">
        <v>0.12347846860452399</v>
      </c>
      <c r="T9" s="14">
        <v>0.129774474531649</v>
      </c>
      <c r="U9" s="14">
        <v>0.12889473676405699</v>
      </c>
      <c r="V9" s="14">
        <v>8.8947366111048795E-2</v>
      </c>
      <c r="W9" s="14">
        <v>7.7274758486983702E-2</v>
      </c>
      <c r="X9" s="14">
        <v>3.15650638911689E-2</v>
      </c>
      <c r="Y9" s="14">
        <v>0.13848964631562899</v>
      </c>
      <c r="Z9" s="14">
        <v>0.158537016906177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0.18267425740446999</v>
      </c>
      <c r="AN9" s="14">
        <v>4.3262956676040201E-2</v>
      </c>
    </row>
    <row r="10" spans="2:40" x14ac:dyDescent="0.35">
      <c r="B10" s="15" t="s">
        <v>156</v>
      </c>
      <c r="C10" s="14">
        <v>0.55721661328050098</v>
      </c>
      <c r="D10" s="14">
        <v>0.54072882870265904</v>
      </c>
      <c r="E10" s="14">
        <v>0.57301931173328902</v>
      </c>
      <c r="F10" s="14"/>
      <c r="G10" s="14" t="s">
        <v>76</v>
      </c>
      <c r="H10" s="14">
        <v>0.55721661328050098</v>
      </c>
      <c r="I10" s="14" t="s">
        <v>76</v>
      </c>
      <c r="J10" s="14"/>
      <c r="K10" s="14">
        <v>0.55721661328050098</v>
      </c>
      <c r="L10" s="14" t="s">
        <v>76</v>
      </c>
      <c r="M10" s="14" t="s">
        <v>76</v>
      </c>
      <c r="N10" s="14"/>
      <c r="O10" s="14">
        <v>0.55848877844289802</v>
      </c>
      <c r="P10" s="14">
        <v>0.50666662966209097</v>
      </c>
      <c r="Q10" s="14"/>
      <c r="R10" s="14">
        <v>0.36626859562573899</v>
      </c>
      <c r="S10" s="14">
        <v>0.44797836584671602</v>
      </c>
      <c r="T10" s="14">
        <v>0.521199608283062</v>
      </c>
      <c r="U10" s="14">
        <v>0.57359812190148196</v>
      </c>
      <c r="V10" s="14">
        <v>0.68675078432636005</v>
      </c>
      <c r="W10" s="14">
        <v>0.70532099681357496</v>
      </c>
      <c r="X10" s="14">
        <v>0.766618857817427</v>
      </c>
      <c r="Y10" s="14">
        <v>0.58970773960022604</v>
      </c>
      <c r="Z10" s="14">
        <v>0.48836388750613002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0.56784352031138396</v>
      </c>
      <c r="AN10" s="14">
        <v>0.50531191688207999</v>
      </c>
    </row>
    <row r="11" spans="2:40" x14ac:dyDescent="0.35">
      <c r="B11" s="15" t="s">
        <v>157</v>
      </c>
      <c r="C11" s="14">
        <v>0.210955547228278</v>
      </c>
      <c r="D11" s="14">
        <v>0.18436942676164</v>
      </c>
      <c r="E11" s="14">
        <v>0.23643698427521601</v>
      </c>
      <c r="F11" s="14"/>
      <c r="G11" s="14" t="s">
        <v>76</v>
      </c>
      <c r="H11" s="14">
        <v>0.210955547228278</v>
      </c>
      <c r="I11" s="14" t="s">
        <v>76</v>
      </c>
      <c r="J11" s="14"/>
      <c r="K11" s="14">
        <v>0.210955547228278</v>
      </c>
      <c r="L11" s="14" t="s">
        <v>76</v>
      </c>
      <c r="M11" s="14" t="s">
        <v>76</v>
      </c>
      <c r="N11" s="14"/>
      <c r="O11" s="14">
        <v>0.225895419688184</v>
      </c>
      <c r="P11" s="14">
        <v>0.103576674532015</v>
      </c>
      <c r="Q11" s="14"/>
      <c r="R11" s="14">
        <v>0.217071897157122</v>
      </c>
      <c r="S11" s="14">
        <v>0.25540433253570399</v>
      </c>
      <c r="T11" s="14">
        <v>0.26225169498012202</v>
      </c>
      <c r="U11" s="14">
        <v>0.16625920654811199</v>
      </c>
      <c r="V11" s="14">
        <v>0.13963958658589201</v>
      </c>
      <c r="W11" s="14">
        <v>0.17545305091271701</v>
      </c>
      <c r="X11" s="14">
        <v>0.13656289736555399</v>
      </c>
      <c r="Y11" s="14">
        <v>0.202989142657378</v>
      </c>
      <c r="Z11" s="14">
        <v>0.31561778418082698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0.18418057404715599</v>
      </c>
      <c r="AN11" s="14">
        <v>0.245286917593806</v>
      </c>
    </row>
    <row r="12" spans="2:40" x14ac:dyDescent="0.35">
      <c r="B12" s="15" t="s">
        <v>158</v>
      </c>
      <c r="C12" s="14">
        <v>6.9152960267837293E-2</v>
      </c>
      <c r="D12" s="14">
        <v>7.0797411174920999E-2</v>
      </c>
      <c r="E12" s="14">
        <v>6.7576838158625599E-2</v>
      </c>
      <c r="F12" s="14"/>
      <c r="G12" s="14" t="s">
        <v>76</v>
      </c>
      <c r="H12" s="14">
        <v>6.9152960267837293E-2</v>
      </c>
      <c r="I12" s="14" t="s">
        <v>76</v>
      </c>
      <c r="J12" s="14"/>
      <c r="K12" s="14">
        <v>6.9152960267837293E-2</v>
      </c>
      <c r="L12" s="14" t="s">
        <v>76</v>
      </c>
      <c r="M12" s="14" t="s">
        <v>76</v>
      </c>
      <c r="N12" s="14"/>
      <c r="O12" s="14">
        <v>7.2246869256505503E-2</v>
      </c>
      <c r="P12" s="14">
        <v>5.7300612651284402E-2</v>
      </c>
      <c r="Q12" s="14"/>
      <c r="R12" s="14">
        <v>6.0418452722705497E-2</v>
      </c>
      <c r="S12" s="14">
        <v>0.122895475142275</v>
      </c>
      <c r="T12" s="14">
        <v>5.71679209430336E-2</v>
      </c>
      <c r="U12" s="14">
        <v>8.1329052845137306E-2</v>
      </c>
      <c r="V12" s="14">
        <v>8.4662262976699904E-2</v>
      </c>
      <c r="W12" s="14">
        <v>4.1951193786723302E-2</v>
      </c>
      <c r="X12" s="14">
        <v>6.5253180925850196E-2</v>
      </c>
      <c r="Y12" s="14">
        <v>6.8813471426767595E-2</v>
      </c>
      <c r="Z12" s="14">
        <v>1.8740655703433601E-2</v>
      </c>
      <c r="AA12" s="14"/>
      <c r="AB12" s="14" t="s">
        <v>76</v>
      </c>
      <c r="AC12" s="14" t="s">
        <v>76</v>
      </c>
      <c r="AD12" s="14" t="s">
        <v>76</v>
      </c>
      <c r="AE12" s="14" t="s">
        <v>76</v>
      </c>
      <c r="AF12" s="14"/>
      <c r="AG12" s="14" t="s">
        <v>76</v>
      </c>
      <c r="AH12" s="14" t="s">
        <v>76</v>
      </c>
      <c r="AI12" s="14"/>
      <c r="AJ12" s="14" t="s">
        <v>76</v>
      </c>
      <c r="AK12" s="14" t="s">
        <v>76</v>
      </c>
      <c r="AL12" s="14"/>
      <c r="AM12" s="14">
        <v>4.68747986174173E-2</v>
      </c>
      <c r="AN12" s="14">
        <v>0.15128267136013299</v>
      </c>
    </row>
    <row r="13" spans="2:40" x14ac:dyDescent="0.35">
      <c r="B13" s="15" t="s">
        <v>70</v>
      </c>
      <c r="C13" s="20">
        <v>2.5627422553582802E-2</v>
      </c>
      <c r="D13" s="20">
        <v>2.8470785495510201E-2</v>
      </c>
      <c r="E13" s="20">
        <v>2.29022045625926E-2</v>
      </c>
      <c r="F13" s="20"/>
      <c r="G13" s="20" t="s">
        <v>76</v>
      </c>
      <c r="H13" s="20">
        <v>2.5627422553582802E-2</v>
      </c>
      <c r="I13" s="20" t="s">
        <v>76</v>
      </c>
      <c r="J13" s="20"/>
      <c r="K13" s="20">
        <v>2.5627422553582802E-2</v>
      </c>
      <c r="L13" s="20" t="s">
        <v>76</v>
      </c>
      <c r="M13" s="20" t="s">
        <v>76</v>
      </c>
      <c r="N13" s="20"/>
      <c r="O13" s="20">
        <v>2.9278400429249399E-2</v>
      </c>
      <c r="P13" s="20">
        <v>0</v>
      </c>
      <c r="Q13" s="20"/>
      <c r="R13" s="20">
        <v>4.4889677575795497E-2</v>
      </c>
      <c r="S13" s="20">
        <v>5.0243357870780499E-2</v>
      </c>
      <c r="T13" s="20">
        <v>2.9606301262134101E-2</v>
      </c>
      <c r="U13" s="20">
        <v>4.9918881941211302E-2</v>
      </c>
      <c r="V13" s="20">
        <v>0</v>
      </c>
      <c r="W13" s="20">
        <v>0</v>
      </c>
      <c r="X13" s="20">
        <v>0</v>
      </c>
      <c r="Y13" s="20">
        <v>0</v>
      </c>
      <c r="Z13" s="20">
        <v>1.8740655703433601E-2</v>
      </c>
      <c r="AA13" s="20"/>
      <c r="AB13" s="20" t="s">
        <v>76</v>
      </c>
      <c r="AC13" s="20" t="s">
        <v>76</v>
      </c>
      <c r="AD13" s="20" t="s">
        <v>76</v>
      </c>
      <c r="AE13" s="20" t="s">
        <v>76</v>
      </c>
      <c r="AF13" s="20"/>
      <c r="AG13" s="20" t="s">
        <v>76</v>
      </c>
      <c r="AH13" s="20" t="s">
        <v>76</v>
      </c>
      <c r="AI13" s="20"/>
      <c r="AJ13" s="20" t="s">
        <v>76</v>
      </c>
      <c r="AK13" s="20" t="s">
        <v>76</v>
      </c>
      <c r="AL13" s="20"/>
      <c r="AM13" s="20">
        <v>1.8426849619571799E-2</v>
      </c>
      <c r="AN13" s="20">
        <v>5.4855537487941003E-2</v>
      </c>
    </row>
    <row r="14" spans="2:40" x14ac:dyDescent="0.35">
      <c r="B14" s="27" t="s">
        <v>239</v>
      </c>
    </row>
    <row r="15" spans="2:40" x14ac:dyDescent="0.35">
      <c r="B15" t="s">
        <v>72</v>
      </c>
    </row>
    <row r="16" spans="2:40" x14ac:dyDescent="0.35">
      <c r="B16" t="s">
        <v>73</v>
      </c>
    </row>
    <row r="18" spans="2:2" x14ac:dyDescent="0.35">
      <c r="B18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B2:AN19"/>
  <sheetViews>
    <sheetView showGridLines="0" workbookViewId="0">
      <pane xSplit="2" topLeftCell="C1" activePane="topRight" state="frozen"/>
      <selection pane="topRight" activeCell="B15" sqref="B15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230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367</v>
      </c>
      <c r="D7" s="10">
        <v>184</v>
      </c>
      <c r="E7" s="10">
        <v>183</v>
      </c>
      <c r="F7" s="10"/>
      <c r="G7" s="10" t="s">
        <v>75</v>
      </c>
      <c r="H7" s="10">
        <v>367</v>
      </c>
      <c r="I7" s="10" t="s">
        <v>75</v>
      </c>
      <c r="J7" s="10"/>
      <c r="K7" s="10">
        <v>367</v>
      </c>
      <c r="L7" s="10" t="s">
        <v>75</v>
      </c>
      <c r="M7" s="10" t="s">
        <v>75</v>
      </c>
      <c r="N7" s="10"/>
      <c r="O7" s="10">
        <v>323</v>
      </c>
      <c r="P7" s="10">
        <v>36</v>
      </c>
      <c r="Q7" s="10"/>
      <c r="R7" s="10">
        <v>48</v>
      </c>
      <c r="S7" s="10">
        <v>63</v>
      </c>
      <c r="T7" s="10">
        <v>38</v>
      </c>
      <c r="U7" s="10">
        <v>38</v>
      </c>
      <c r="V7" s="10">
        <v>35</v>
      </c>
      <c r="W7" s="10">
        <v>50</v>
      </c>
      <c r="X7" s="10">
        <v>30</v>
      </c>
      <c r="Y7" s="10">
        <v>14</v>
      </c>
      <c r="Z7" s="10">
        <v>51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230</v>
      </c>
      <c r="AN7" s="10">
        <v>73</v>
      </c>
    </row>
    <row r="8" spans="2:40" ht="30" customHeight="1" x14ac:dyDescent="0.35">
      <c r="B8" s="11" t="s">
        <v>20</v>
      </c>
      <c r="C8" s="11">
        <v>332</v>
      </c>
      <c r="D8" s="11">
        <v>162</v>
      </c>
      <c r="E8" s="11">
        <v>169</v>
      </c>
      <c r="F8" s="11"/>
      <c r="G8" s="11" t="s">
        <v>75</v>
      </c>
      <c r="H8" s="11">
        <v>332</v>
      </c>
      <c r="I8" s="11" t="s">
        <v>75</v>
      </c>
      <c r="J8" s="11"/>
      <c r="K8" s="11">
        <v>332</v>
      </c>
      <c r="L8" s="11" t="s">
        <v>75</v>
      </c>
      <c r="M8" s="11" t="s">
        <v>75</v>
      </c>
      <c r="N8" s="11"/>
      <c r="O8" s="11">
        <v>290</v>
      </c>
      <c r="P8" s="11">
        <v>34</v>
      </c>
      <c r="Q8" s="11"/>
      <c r="R8" s="11">
        <v>48</v>
      </c>
      <c r="S8" s="11">
        <v>53</v>
      </c>
      <c r="T8" s="11">
        <v>36</v>
      </c>
      <c r="U8" s="11">
        <v>38</v>
      </c>
      <c r="V8" s="11">
        <v>32</v>
      </c>
      <c r="W8" s="11">
        <v>36</v>
      </c>
      <c r="X8" s="11">
        <v>40</v>
      </c>
      <c r="Y8" s="11">
        <v>12</v>
      </c>
      <c r="Z8" s="11">
        <v>37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207</v>
      </c>
      <c r="AN8" s="11">
        <v>67</v>
      </c>
    </row>
    <row r="9" spans="2:40" x14ac:dyDescent="0.35">
      <c r="B9" s="15" t="s">
        <v>160</v>
      </c>
      <c r="C9" s="14">
        <v>0.21781346904835799</v>
      </c>
      <c r="D9" s="14">
        <v>0.25435199168886902</v>
      </c>
      <c r="E9" s="14">
        <v>0.18279316341103799</v>
      </c>
      <c r="F9" s="14"/>
      <c r="G9" s="14" t="s">
        <v>76</v>
      </c>
      <c r="H9" s="14">
        <v>0.21781346904835799</v>
      </c>
      <c r="I9" s="14" t="s">
        <v>76</v>
      </c>
      <c r="J9" s="14"/>
      <c r="K9" s="14">
        <v>0.21781346904835799</v>
      </c>
      <c r="L9" s="14" t="s">
        <v>76</v>
      </c>
      <c r="M9" s="14" t="s">
        <v>76</v>
      </c>
      <c r="N9" s="14"/>
      <c r="O9" s="14">
        <v>0.19743849599761301</v>
      </c>
      <c r="P9" s="14">
        <v>0.38225422628899097</v>
      </c>
      <c r="Q9" s="14"/>
      <c r="R9" s="14">
        <v>0.35986313063726699</v>
      </c>
      <c r="S9" s="14">
        <v>0.16772624011639201</v>
      </c>
      <c r="T9" s="14">
        <v>0.201066779644298</v>
      </c>
      <c r="U9" s="14">
        <v>0.18017947267265</v>
      </c>
      <c r="V9" s="14">
        <v>0.136711212343744</v>
      </c>
      <c r="W9" s="14">
        <v>0.15800271336358801</v>
      </c>
      <c r="X9" s="14">
        <v>0.29651125658830402</v>
      </c>
      <c r="Y9" s="14">
        <v>0.225855015507306</v>
      </c>
      <c r="Z9" s="14">
        <v>0.201639542618755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0.29799408473112199</v>
      </c>
      <c r="AN9" s="14">
        <v>6.5140380271422604E-2</v>
      </c>
    </row>
    <row r="10" spans="2:40" x14ac:dyDescent="0.35">
      <c r="B10" s="15" t="s">
        <v>161</v>
      </c>
      <c r="C10" s="14">
        <v>0.58451786540607997</v>
      </c>
      <c r="D10" s="14">
        <v>0.57242500654162798</v>
      </c>
      <c r="E10" s="14">
        <v>0.59610825228703601</v>
      </c>
      <c r="F10" s="14"/>
      <c r="G10" s="14" t="s">
        <v>76</v>
      </c>
      <c r="H10" s="14">
        <v>0.58451786540607997</v>
      </c>
      <c r="I10" s="14" t="s">
        <v>76</v>
      </c>
      <c r="J10" s="14"/>
      <c r="K10" s="14">
        <v>0.58451786540607997</v>
      </c>
      <c r="L10" s="14" t="s">
        <v>76</v>
      </c>
      <c r="M10" s="14" t="s">
        <v>76</v>
      </c>
      <c r="N10" s="14"/>
      <c r="O10" s="14">
        <v>0.60293603236337501</v>
      </c>
      <c r="P10" s="14">
        <v>0.42330717820729202</v>
      </c>
      <c r="Q10" s="14"/>
      <c r="R10" s="14">
        <v>0.43242666346618203</v>
      </c>
      <c r="S10" s="14">
        <v>0.65613059057518597</v>
      </c>
      <c r="T10" s="14">
        <v>0.57955011347532603</v>
      </c>
      <c r="U10" s="14">
        <v>0.71966984903576103</v>
      </c>
      <c r="V10" s="14">
        <v>0.68357607268645804</v>
      </c>
      <c r="W10" s="14">
        <v>0.56395787299210198</v>
      </c>
      <c r="X10" s="14">
        <v>0.54181304839687705</v>
      </c>
      <c r="Y10" s="14">
        <v>0.56648026939687501</v>
      </c>
      <c r="Z10" s="14">
        <v>0.528178869858416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0.58592736136425605</v>
      </c>
      <c r="AN10" s="14">
        <v>0.53734109654607498</v>
      </c>
    </row>
    <row r="11" spans="2:40" x14ac:dyDescent="0.35">
      <c r="B11" s="15" t="s">
        <v>162</v>
      </c>
      <c r="C11" s="14">
        <v>0.164992833012684</v>
      </c>
      <c r="D11" s="14">
        <v>0.14088906858957101</v>
      </c>
      <c r="E11" s="14">
        <v>0.18809505872148999</v>
      </c>
      <c r="F11" s="14"/>
      <c r="G11" s="14" t="s">
        <v>76</v>
      </c>
      <c r="H11" s="14">
        <v>0.164992833012684</v>
      </c>
      <c r="I11" s="14" t="s">
        <v>76</v>
      </c>
      <c r="J11" s="14"/>
      <c r="K11" s="14">
        <v>0.164992833012684</v>
      </c>
      <c r="L11" s="14" t="s">
        <v>76</v>
      </c>
      <c r="M11" s="14" t="s">
        <v>76</v>
      </c>
      <c r="N11" s="14"/>
      <c r="O11" s="14">
        <v>0.16836529932119701</v>
      </c>
      <c r="P11" s="14">
        <v>0.142963943588616</v>
      </c>
      <c r="Q11" s="14"/>
      <c r="R11" s="14">
        <v>0.187931502254501</v>
      </c>
      <c r="S11" s="14">
        <v>0.126906163519312</v>
      </c>
      <c r="T11" s="14">
        <v>0.13731126612010799</v>
      </c>
      <c r="U11" s="14">
        <v>5.0231796350376702E-2</v>
      </c>
      <c r="V11" s="14">
        <v>0.17971271496979799</v>
      </c>
      <c r="W11" s="14">
        <v>0.25470112507753101</v>
      </c>
      <c r="X11" s="14">
        <v>0.16167569501481899</v>
      </c>
      <c r="Y11" s="14">
        <v>0.134175675363847</v>
      </c>
      <c r="Z11" s="14">
        <v>0.25120598292267898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0.10753472457045</v>
      </c>
      <c r="AN11" s="14">
        <v>0.31233615402116499</v>
      </c>
    </row>
    <row r="12" spans="2:40" x14ac:dyDescent="0.35">
      <c r="B12" s="15" t="s">
        <v>163</v>
      </c>
      <c r="C12" s="14">
        <v>2.2575002268947E-2</v>
      </c>
      <c r="D12" s="14">
        <v>2.2145789742675899E-2</v>
      </c>
      <c r="E12" s="14">
        <v>2.2986380528579101E-2</v>
      </c>
      <c r="F12" s="14"/>
      <c r="G12" s="14" t="s">
        <v>76</v>
      </c>
      <c r="H12" s="14">
        <v>2.2575002268947E-2</v>
      </c>
      <c r="I12" s="14" t="s">
        <v>76</v>
      </c>
      <c r="J12" s="14"/>
      <c r="K12" s="14">
        <v>2.2575002268947E-2</v>
      </c>
      <c r="L12" s="14" t="s">
        <v>76</v>
      </c>
      <c r="M12" s="14" t="s">
        <v>76</v>
      </c>
      <c r="N12" s="14"/>
      <c r="O12" s="14">
        <v>2.2701651196960701E-2</v>
      </c>
      <c r="P12" s="14">
        <v>2.6195869829096E-2</v>
      </c>
      <c r="Q12" s="14"/>
      <c r="R12" s="14">
        <v>1.9778703642050002E-2</v>
      </c>
      <c r="S12" s="14">
        <v>3.3615346228329103E-2</v>
      </c>
      <c r="T12" s="14">
        <v>8.2071840760267703E-2</v>
      </c>
      <c r="U12" s="14">
        <v>2.4959440970605599E-2</v>
      </c>
      <c r="V12" s="14">
        <v>0</v>
      </c>
      <c r="W12" s="14">
        <v>2.3338288566779899E-2</v>
      </c>
      <c r="X12" s="14">
        <v>0</v>
      </c>
      <c r="Y12" s="14">
        <v>0</v>
      </c>
      <c r="Z12" s="14">
        <v>0</v>
      </c>
      <c r="AA12" s="14"/>
      <c r="AB12" s="14" t="s">
        <v>76</v>
      </c>
      <c r="AC12" s="14" t="s">
        <v>76</v>
      </c>
      <c r="AD12" s="14" t="s">
        <v>76</v>
      </c>
      <c r="AE12" s="14" t="s">
        <v>76</v>
      </c>
      <c r="AF12" s="14"/>
      <c r="AG12" s="14" t="s">
        <v>76</v>
      </c>
      <c r="AH12" s="14" t="s">
        <v>76</v>
      </c>
      <c r="AI12" s="14"/>
      <c r="AJ12" s="14" t="s">
        <v>76</v>
      </c>
      <c r="AK12" s="14" t="s">
        <v>76</v>
      </c>
      <c r="AL12" s="14"/>
      <c r="AM12" s="14">
        <v>4.5220188630973003E-3</v>
      </c>
      <c r="AN12" s="14">
        <v>5.8064027125314201E-2</v>
      </c>
    </row>
    <row r="13" spans="2:40" x14ac:dyDescent="0.35">
      <c r="B13" s="15" t="s">
        <v>70</v>
      </c>
      <c r="C13" s="21">
        <v>1.01008302639302E-2</v>
      </c>
      <c r="D13" s="21">
        <v>1.01881434372551E-2</v>
      </c>
      <c r="E13" s="21">
        <v>1.00171450518573E-2</v>
      </c>
      <c r="F13" s="21"/>
      <c r="G13" s="21" t="s">
        <v>76</v>
      </c>
      <c r="H13" s="21">
        <v>1.01008302639302E-2</v>
      </c>
      <c r="I13" s="21" t="s">
        <v>76</v>
      </c>
      <c r="J13" s="21"/>
      <c r="K13" s="21">
        <v>1.01008302639302E-2</v>
      </c>
      <c r="L13" s="21" t="s">
        <v>76</v>
      </c>
      <c r="M13" s="21" t="s">
        <v>76</v>
      </c>
      <c r="N13" s="21"/>
      <c r="O13" s="21">
        <v>8.5585211208534604E-3</v>
      </c>
      <c r="P13" s="21">
        <v>2.5278782086005501E-2</v>
      </c>
      <c r="Q13" s="21"/>
      <c r="R13" s="21">
        <v>0</v>
      </c>
      <c r="S13" s="21">
        <v>1.56216595607809E-2</v>
      </c>
      <c r="T13" s="21">
        <v>0</v>
      </c>
      <c r="U13" s="21">
        <v>2.4959440970605599E-2</v>
      </c>
      <c r="V13" s="21">
        <v>0</v>
      </c>
      <c r="W13" s="21">
        <v>0</v>
      </c>
      <c r="X13" s="21">
        <v>0</v>
      </c>
      <c r="Y13" s="21">
        <v>7.3489039731971698E-2</v>
      </c>
      <c r="Z13" s="21">
        <v>1.8975604600149999E-2</v>
      </c>
      <c r="AA13" s="21"/>
      <c r="AB13" s="21" t="s">
        <v>76</v>
      </c>
      <c r="AC13" s="21" t="s">
        <v>76</v>
      </c>
      <c r="AD13" s="21" t="s">
        <v>76</v>
      </c>
      <c r="AE13" s="21" t="s">
        <v>76</v>
      </c>
      <c r="AF13" s="21"/>
      <c r="AG13" s="21" t="s">
        <v>76</v>
      </c>
      <c r="AH13" s="21" t="s">
        <v>76</v>
      </c>
      <c r="AI13" s="21"/>
      <c r="AJ13" s="21" t="s">
        <v>76</v>
      </c>
      <c r="AK13" s="21" t="s">
        <v>76</v>
      </c>
      <c r="AL13" s="21"/>
      <c r="AM13" s="21">
        <v>4.0218104710741899E-3</v>
      </c>
      <c r="AN13" s="21">
        <v>2.71183420360234E-2</v>
      </c>
    </row>
    <row r="14" spans="2:40" x14ac:dyDescent="0.35">
      <c r="B14" s="25" t="s">
        <v>164</v>
      </c>
      <c r="C14" s="30">
        <v>0.80233133445443805</v>
      </c>
      <c r="D14" s="30">
        <v>0.82677699823049799</v>
      </c>
      <c r="E14" s="30">
        <v>0.77890141569807303</v>
      </c>
      <c r="F14" s="30"/>
      <c r="G14" s="30" t="s">
        <v>76</v>
      </c>
      <c r="H14" s="30">
        <v>0.80233133445443805</v>
      </c>
      <c r="I14" s="30" t="s">
        <v>76</v>
      </c>
      <c r="J14" s="30"/>
      <c r="K14" s="30">
        <v>0.80233133445443805</v>
      </c>
      <c r="L14" s="30" t="s">
        <v>76</v>
      </c>
      <c r="M14" s="30" t="s">
        <v>76</v>
      </c>
      <c r="N14" s="30"/>
      <c r="O14" s="30">
        <v>0.80037452836098799</v>
      </c>
      <c r="P14" s="30">
        <v>0.805561404496283</v>
      </c>
      <c r="Q14" s="30"/>
      <c r="R14" s="30">
        <v>0.79228979410344902</v>
      </c>
      <c r="S14" s="30">
        <v>0.823856830691578</v>
      </c>
      <c r="T14" s="30">
        <v>0.78061689311962401</v>
      </c>
      <c r="U14" s="30">
        <v>0.89984932170841203</v>
      </c>
      <c r="V14" s="30">
        <v>0.82028728503020198</v>
      </c>
      <c r="W14" s="30">
        <v>0.72196058635568905</v>
      </c>
      <c r="X14" s="30">
        <v>0.83832430498518096</v>
      </c>
      <c r="Y14" s="30">
        <v>0.79233528490418204</v>
      </c>
      <c r="Z14" s="30">
        <v>0.72981841247717105</v>
      </c>
      <c r="AA14" s="30"/>
      <c r="AB14" s="30" t="s">
        <v>76</v>
      </c>
      <c r="AC14" s="30" t="s">
        <v>76</v>
      </c>
      <c r="AD14" s="30" t="s">
        <v>76</v>
      </c>
      <c r="AE14" s="30" t="s">
        <v>76</v>
      </c>
      <c r="AF14" s="30"/>
      <c r="AG14" s="30" t="s">
        <v>76</v>
      </c>
      <c r="AH14" s="30" t="s">
        <v>76</v>
      </c>
      <c r="AI14" s="30"/>
      <c r="AJ14" s="30" t="s">
        <v>76</v>
      </c>
      <c r="AK14" s="30" t="s">
        <v>76</v>
      </c>
      <c r="AL14" s="30"/>
      <c r="AM14" s="30">
        <v>0.88392144609537904</v>
      </c>
      <c r="AN14" s="30">
        <v>0.60248147681749697</v>
      </c>
    </row>
    <row r="15" spans="2:40" x14ac:dyDescent="0.35">
      <c r="B15" s="27" t="s">
        <v>239</v>
      </c>
    </row>
    <row r="16" spans="2:40" x14ac:dyDescent="0.35">
      <c r="B16" t="s">
        <v>72</v>
      </c>
    </row>
    <row r="17" spans="2:2" x14ac:dyDescent="0.35">
      <c r="B17" t="s">
        <v>73</v>
      </c>
    </row>
    <row r="19" spans="2:2" x14ac:dyDescent="0.35">
      <c r="B19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B2:AN18"/>
  <sheetViews>
    <sheetView showGridLines="0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231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367</v>
      </c>
      <c r="D7" s="10">
        <v>184</v>
      </c>
      <c r="E7" s="10">
        <v>183</v>
      </c>
      <c r="F7" s="10"/>
      <c r="G7" s="10" t="s">
        <v>75</v>
      </c>
      <c r="H7" s="10">
        <v>367</v>
      </c>
      <c r="I7" s="10" t="s">
        <v>75</v>
      </c>
      <c r="J7" s="10"/>
      <c r="K7" s="10">
        <v>367</v>
      </c>
      <c r="L7" s="10" t="s">
        <v>75</v>
      </c>
      <c r="M7" s="10" t="s">
        <v>75</v>
      </c>
      <c r="N7" s="10"/>
      <c r="O7" s="10">
        <v>323</v>
      </c>
      <c r="P7" s="10">
        <v>36</v>
      </c>
      <c r="Q7" s="10"/>
      <c r="R7" s="10">
        <v>48</v>
      </c>
      <c r="S7" s="10">
        <v>63</v>
      </c>
      <c r="T7" s="10">
        <v>38</v>
      </c>
      <c r="U7" s="10">
        <v>38</v>
      </c>
      <c r="V7" s="10">
        <v>35</v>
      </c>
      <c r="W7" s="10">
        <v>50</v>
      </c>
      <c r="X7" s="10">
        <v>30</v>
      </c>
      <c r="Y7" s="10">
        <v>14</v>
      </c>
      <c r="Z7" s="10">
        <v>51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230</v>
      </c>
      <c r="AN7" s="10">
        <v>73</v>
      </c>
    </row>
    <row r="8" spans="2:40" ht="30" customHeight="1" x14ac:dyDescent="0.35">
      <c r="B8" s="11" t="s">
        <v>20</v>
      </c>
      <c r="C8" s="11">
        <v>332</v>
      </c>
      <c r="D8" s="11">
        <v>162</v>
      </c>
      <c r="E8" s="11">
        <v>169</v>
      </c>
      <c r="F8" s="11"/>
      <c r="G8" s="11" t="s">
        <v>75</v>
      </c>
      <c r="H8" s="11">
        <v>332</v>
      </c>
      <c r="I8" s="11" t="s">
        <v>75</v>
      </c>
      <c r="J8" s="11"/>
      <c r="K8" s="11">
        <v>332</v>
      </c>
      <c r="L8" s="11" t="s">
        <v>75</v>
      </c>
      <c r="M8" s="11" t="s">
        <v>75</v>
      </c>
      <c r="N8" s="11"/>
      <c r="O8" s="11">
        <v>290</v>
      </c>
      <c r="P8" s="11">
        <v>34</v>
      </c>
      <c r="Q8" s="11"/>
      <c r="R8" s="11">
        <v>48</v>
      </c>
      <c r="S8" s="11">
        <v>53</v>
      </c>
      <c r="T8" s="11">
        <v>36</v>
      </c>
      <c r="U8" s="11">
        <v>38</v>
      </c>
      <c r="V8" s="11">
        <v>32</v>
      </c>
      <c r="W8" s="11">
        <v>36</v>
      </c>
      <c r="X8" s="11">
        <v>40</v>
      </c>
      <c r="Y8" s="11">
        <v>12</v>
      </c>
      <c r="Z8" s="11">
        <v>37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207</v>
      </c>
      <c r="AN8" s="11">
        <v>67</v>
      </c>
    </row>
    <row r="9" spans="2:40" x14ac:dyDescent="0.35">
      <c r="B9" s="15" t="s">
        <v>166</v>
      </c>
      <c r="C9" s="14">
        <v>0.203211971629642</v>
      </c>
      <c r="D9" s="14">
        <v>0.24267632407246201</v>
      </c>
      <c r="E9" s="14">
        <v>0.16538740773241001</v>
      </c>
      <c r="F9" s="14"/>
      <c r="G9" s="14" t="s">
        <v>76</v>
      </c>
      <c r="H9" s="14">
        <v>0.203211971629642</v>
      </c>
      <c r="I9" s="14" t="s">
        <v>76</v>
      </c>
      <c r="J9" s="14"/>
      <c r="K9" s="14">
        <v>0.203211971629642</v>
      </c>
      <c r="L9" s="14" t="s">
        <v>76</v>
      </c>
      <c r="M9" s="14" t="s">
        <v>76</v>
      </c>
      <c r="N9" s="14"/>
      <c r="O9" s="14">
        <v>0.18634000134466799</v>
      </c>
      <c r="P9" s="14">
        <v>0.33491392769925399</v>
      </c>
      <c r="Q9" s="14"/>
      <c r="R9" s="14">
        <v>0.381483425522117</v>
      </c>
      <c r="S9" s="14">
        <v>0.169347249928019</v>
      </c>
      <c r="T9" s="14">
        <v>0.25160382355923799</v>
      </c>
      <c r="U9" s="14">
        <v>0.23041125885296099</v>
      </c>
      <c r="V9" s="14">
        <v>5.35131357581742E-2</v>
      </c>
      <c r="W9" s="14">
        <v>0.13692468722714499</v>
      </c>
      <c r="X9" s="14">
        <v>0.12798757754812601</v>
      </c>
      <c r="Y9" s="14">
        <v>0.20730311360916001</v>
      </c>
      <c r="Z9" s="14">
        <v>0.21886112501299601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0.28279843844226099</v>
      </c>
      <c r="AN9" s="14">
        <v>4.8974239118753198E-2</v>
      </c>
    </row>
    <row r="10" spans="2:40" x14ac:dyDescent="0.35">
      <c r="B10" s="15" t="s">
        <v>167</v>
      </c>
      <c r="C10" s="14">
        <v>0.47863380059489902</v>
      </c>
      <c r="D10" s="14">
        <v>0.49262737372950299</v>
      </c>
      <c r="E10" s="14">
        <v>0.46522167627467098</v>
      </c>
      <c r="F10" s="14"/>
      <c r="G10" s="14" t="s">
        <v>76</v>
      </c>
      <c r="H10" s="14">
        <v>0.47863380059489902</v>
      </c>
      <c r="I10" s="14" t="s">
        <v>76</v>
      </c>
      <c r="J10" s="14"/>
      <c r="K10" s="14">
        <v>0.47863380059489902</v>
      </c>
      <c r="L10" s="14" t="s">
        <v>76</v>
      </c>
      <c r="M10" s="14" t="s">
        <v>76</v>
      </c>
      <c r="N10" s="14"/>
      <c r="O10" s="14">
        <v>0.48626164431818703</v>
      </c>
      <c r="P10" s="14">
        <v>0.41146845210416499</v>
      </c>
      <c r="Q10" s="14"/>
      <c r="R10" s="14">
        <v>0.41080636583101399</v>
      </c>
      <c r="S10" s="14">
        <v>0.436174215965419</v>
      </c>
      <c r="T10" s="14">
        <v>0.47680487488783702</v>
      </c>
      <c r="U10" s="14">
        <v>0.48142487710943999</v>
      </c>
      <c r="V10" s="14">
        <v>0.56640795138728295</v>
      </c>
      <c r="W10" s="14">
        <v>0.54928709406668697</v>
      </c>
      <c r="X10" s="14">
        <v>0.53376442370945798</v>
      </c>
      <c r="Y10" s="14">
        <v>0.51621869986825397</v>
      </c>
      <c r="Z10" s="14">
        <v>0.410111648861268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0.541210496954591</v>
      </c>
      <c r="AN10" s="14">
        <v>0.334779625973113</v>
      </c>
    </row>
    <row r="11" spans="2:40" x14ac:dyDescent="0.35">
      <c r="B11" s="15" t="s">
        <v>168</v>
      </c>
      <c r="C11" s="14">
        <v>0.23591926936488899</v>
      </c>
      <c r="D11" s="14">
        <v>0.21479259695139899</v>
      </c>
      <c r="E11" s="14">
        <v>0.25616810460924799</v>
      </c>
      <c r="F11" s="14"/>
      <c r="G11" s="14" t="s">
        <v>76</v>
      </c>
      <c r="H11" s="14">
        <v>0.23591926936488899</v>
      </c>
      <c r="I11" s="14" t="s">
        <v>76</v>
      </c>
      <c r="J11" s="14"/>
      <c r="K11" s="14">
        <v>0.23591926936488899</v>
      </c>
      <c r="L11" s="14" t="s">
        <v>76</v>
      </c>
      <c r="M11" s="14" t="s">
        <v>76</v>
      </c>
      <c r="N11" s="14"/>
      <c r="O11" s="14">
        <v>0.25000159757114498</v>
      </c>
      <c r="P11" s="14">
        <v>0.14100308163365499</v>
      </c>
      <c r="Q11" s="14"/>
      <c r="R11" s="14">
        <v>0.122180780984058</v>
      </c>
      <c r="S11" s="14">
        <v>0.29880552006607197</v>
      </c>
      <c r="T11" s="14">
        <v>0.19480441658002501</v>
      </c>
      <c r="U11" s="14">
        <v>0.23687912864808899</v>
      </c>
      <c r="V11" s="14">
        <v>0.25569731601468898</v>
      </c>
      <c r="W11" s="14">
        <v>0.25167317066080702</v>
      </c>
      <c r="X11" s="14">
        <v>0.30495561231995399</v>
      </c>
      <c r="Y11" s="14">
        <v>0.202989146790614</v>
      </c>
      <c r="Z11" s="14">
        <v>0.23604832943988999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0.143039987514266</v>
      </c>
      <c r="AN11" s="14">
        <v>0.387799353577365</v>
      </c>
    </row>
    <row r="12" spans="2:40" x14ac:dyDescent="0.35">
      <c r="B12" s="15" t="s">
        <v>169</v>
      </c>
      <c r="C12" s="14">
        <v>7.0935306915579893E-2</v>
      </c>
      <c r="D12" s="14">
        <v>4.3989748121736998E-2</v>
      </c>
      <c r="E12" s="14">
        <v>9.6761247220088303E-2</v>
      </c>
      <c r="F12" s="14"/>
      <c r="G12" s="14" t="s">
        <v>76</v>
      </c>
      <c r="H12" s="14">
        <v>7.0935306915579893E-2</v>
      </c>
      <c r="I12" s="14" t="s">
        <v>76</v>
      </c>
      <c r="J12" s="14"/>
      <c r="K12" s="14">
        <v>7.0935306915579893E-2</v>
      </c>
      <c r="L12" s="14" t="s">
        <v>76</v>
      </c>
      <c r="M12" s="14" t="s">
        <v>76</v>
      </c>
      <c r="N12" s="14"/>
      <c r="O12" s="14">
        <v>7.1227986232089799E-2</v>
      </c>
      <c r="P12" s="14">
        <v>5.5459829406495798E-2</v>
      </c>
      <c r="Q12" s="14"/>
      <c r="R12" s="14">
        <v>8.5529427662811006E-2</v>
      </c>
      <c r="S12" s="14">
        <v>8.0051354479708806E-2</v>
      </c>
      <c r="T12" s="14">
        <v>7.6786884972900302E-2</v>
      </c>
      <c r="U12" s="14">
        <v>2.63252944189038E-2</v>
      </c>
      <c r="V12" s="14">
        <v>9.0411552502178902E-2</v>
      </c>
      <c r="W12" s="14">
        <v>6.2115048045360603E-2</v>
      </c>
      <c r="X12" s="14">
        <v>3.32923864224621E-2</v>
      </c>
      <c r="Y12" s="14">
        <v>0</v>
      </c>
      <c r="Z12" s="14">
        <v>0.13497889668584601</v>
      </c>
      <c r="AA12" s="14"/>
      <c r="AB12" s="14" t="s">
        <v>76</v>
      </c>
      <c r="AC12" s="14" t="s">
        <v>76</v>
      </c>
      <c r="AD12" s="14" t="s">
        <v>76</v>
      </c>
      <c r="AE12" s="14" t="s">
        <v>76</v>
      </c>
      <c r="AF12" s="14"/>
      <c r="AG12" s="14" t="s">
        <v>76</v>
      </c>
      <c r="AH12" s="14" t="s">
        <v>76</v>
      </c>
      <c r="AI12" s="14"/>
      <c r="AJ12" s="14" t="s">
        <v>76</v>
      </c>
      <c r="AK12" s="14" t="s">
        <v>76</v>
      </c>
      <c r="AL12" s="14"/>
      <c r="AM12" s="14">
        <v>2.8929266617807599E-2</v>
      </c>
      <c r="AN12" s="14">
        <v>0.201328439294745</v>
      </c>
    </row>
    <row r="13" spans="2:40" x14ac:dyDescent="0.35">
      <c r="B13" s="15" t="s">
        <v>70</v>
      </c>
      <c r="C13" s="20">
        <v>1.1299651494989E-2</v>
      </c>
      <c r="D13" s="20">
        <v>5.91395712489972E-3</v>
      </c>
      <c r="E13" s="20">
        <v>1.6461564163581899E-2</v>
      </c>
      <c r="F13" s="20"/>
      <c r="G13" s="20" t="s">
        <v>76</v>
      </c>
      <c r="H13" s="20">
        <v>1.1299651494989E-2</v>
      </c>
      <c r="I13" s="20" t="s">
        <v>76</v>
      </c>
      <c r="J13" s="20"/>
      <c r="K13" s="20">
        <v>1.1299651494989E-2</v>
      </c>
      <c r="L13" s="20" t="s">
        <v>76</v>
      </c>
      <c r="M13" s="20" t="s">
        <v>76</v>
      </c>
      <c r="N13" s="20"/>
      <c r="O13" s="20">
        <v>6.1687705339105101E-3</v>
      </c>
      <c r="P13" s="20">
        <v>5.7154709156430498E-2</v>
      </c>
      <c r="Q13" s="20"/>
      <c r="R13" s="20">
        <v>0</v>
      </c>
      <c r="S13" s="20">
        <v>1.56216595607809E-2</v>
      </c>
      <c r="T13" s="20">
        <v>0</v>
      </c>
      <c r="U13" s="20">
        <v>2.4959440970605599E-2</v>
      </c>
      <c r="V13" s="20">
        <v>3.39700443376749E-2</v>
      </c>
      <c r="W13" s="20">
        <v>0</v>
      </c>
      <c r="X13" s="20">
        <v>0</v>
      </c>
      <c r="Y13" s="20">
        <v>7.3489039731971698E-2</v>
      </c>
      <c r="Z13" s="20">
        <v>0</v>
      </c>
      <c r="AA13" s="20"/>
      <c r="AB13" s="20" t="s">
        <v>76</v>
      </c>
      <c r="AC13" s="20" t="s">
        <v>76</v>
      </c>
      <c r="AD13" s="20" t="s">
        <v>76</v>
      </c>
      <c r="AE13" s="20" t="s">
        <v>76</v>
      </c>
      <c r="AF13" s="20"/>
      <c r="AG13" s="20" t="s">
        <v>76</v>
      </c>
      <c r="AH13" s="20" t="s">
        <v>76</v>
      </c>
      <c r="AI13" s="20"/>
      <c r="AJ13" s="20" t="s">
        <v>76</v>
      </c>
      <c r="AK13" s="20" t="s">
        <v>76</v>
      </c>
      <c r="AL13" s="20"/>
      <c r="AM13" s="20">
        <v>4.0218104710741899E-3</v>
      </c>
      <c r="AN13" s="20">
        <v>2.71183420360234E-2</v>
      </c>
    </row>
    <row r="14" spans="2:40" x14ac:dyDescent="0.35">
      <c r="B14" s="27" t="s">
        <v>239</v>
      </c>
    </row>
    <row r="15" spans="2:40" x14ac:dyDescent="0.35">
      <c r="B15" t="s">
        <v>72</v>
      </c>
    </row>
    <row r="16" spans="2:40" x14ac:dyDescent="0.35">
      <c r="B16" t="s">
        <v>73</v>
      </c>
    </row>
    <row r="18" spans="2:2" x14ac:dyDescent="0.35">
      <c r="B18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B2:AN16"/>
  <sheetViews>
    <sheetView showGridLines="0" workbookViewId="0">
      <pane xSplit="2" topLeftCell="C1" activePane="topRight" state="frozen"/>
      <selection pane="topRight" activeCell="B11" sqref="B11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232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509</v>
      </c>
      <c r="D7" s="10">
        <v>269</v>
      </c>
      <c r="E7" s="10">
        <v>238</v>
      </c>
      <c r="F7" s="10"/>
      <c r="G7" s="10" t="s">
        <v>75</v>
      </c>
      <c r="H7" s="10">
        <v>509</v>
      </c>
      <c r="I7" s="10" t="s">
        <v>75</v>
      </c>
      <c r="J7" s="10"/>
      <c r="K7" s="10">
        <v>509</v>
      </c>
      <c r="L7" s="10" t="s">
        <v>75</v>
      </c>
      <c r="M7" s="10" t="s">
        <v>75</v>
      </c>
      <c r="N7" s="10"/>
      <c r="O7" s="10">
        <v>446</v>
      </c>
      <c r="P7" s="10">
        <v>51</v>
      </c>
      <c r="Q7" s="10"/>
      <c r="R7" s="10">
        <v>66</v>
      </c>
      <c r="S7" s="10">
        <v>89</v>
      </c>
      <c r="T7" s="10">
        <v>56</v>
      </c>
      <c r="U7" s="10">
        <v>54</v>
      </c>
      <c r="V7" s="10">
        <v>46</v>
      </c>
      <c r="W7" s="10">
        <v>64</v>
      </c>
      <c r="X7" s="10">
        <v>39</v>
      </c>
      <c r="Y7" s="10">
        <v>23</v>
      </c>
      <c r="Z7" s="10">
        <v>72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310</v>
      </c>
      <c r="AN7" s="10">
        <v>106</v>
      </c>
    </row>
    <row r="8" spans="2:40" ht="30" customHeight="1" x14ac:dyDescent="0.35">
      <c r="B8" s="11" t="s">
        <v>20</v>
      </c>
      <c r="C8" s="11">
        <v>459</v>
      </c>
      <c r="D8" s="11">
        <v>237</v>
      </c>
      <c r="E8" s="11">
        <v>220</v>
      </c>
      <c r="F8" s="11"/>
      <c r="G8" s="11" t="s">
        <v>75</v>
      </c>
      <c r="H8" s="11">
        <v>459</v>
      </c>
      <c r="I8" s="11" t="s">
        <v>75</v>
      </c>
      <c r="J8" s="11"/>
      <c r="K8" s="11">
        <v>459</v>
      </c>
      <c r="L8" s="11" t="s">
        <v>75</v>
      </c>
      <c r="M8" s="11" t="s">
        <v>75</v>
      </c>
      <c r="N8" s="11"/>
      <c r="O8" s="11">
        <v>401</v>
      </c>
      <c r="P8" s="11">
        <v>47</v>
      </c>
      <c r="Q8" s="11"/>
      <c r="R8" s="11">
        <v>66</v>
      </c>
      <c r="S8" s="11">
        <v>75</v>
      </c>
      <c r="T8" s="11">
        <v>53</v>
      </c>
      <c r="U8" s="11">
        <v>55</v>
      </c>
      <c r="V8" s="11">
        <v>42</v>
      </c>
      <c r="W8" s="11">
        <v>46</v>
      </c>
      <c r="X8" s="11">
        <v>52</v>
      </c>
      <c r="Y8" s="11">
        <v>19</v>
      </c>
      <c r="Z8" s="11">
        <v>51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277</v>
      </c>
      <c r="AN8" s="11">
        <v>97</v>
      </c>
    </row>
    <row r="9" spans="2:40" x14ac:dyDescent="0.35">
      <c r="B9" s="15" t="s">
        <v>44</v>
      </c>
      <c r="C9" s="14">
        <v>0.48828828288685799</v>
      </c>
      <c r="D9" s="14">
        <v>0.46612263023348999</v>
      </c>
      <c r="E9" s="14">
        <v>0.51311173508238594</v>
      </c>
      <c r="F9" s="14"/>
      <c r="G9" s="14" t="s">
        <v>76</v>
      </c>
      <c r="H9" s="14">
        <v>0.48828828288685799</v>
      </c>
      <c r="I9" s="14" t="s">
        <v>76</v>
      </c>
      <c r="J9" s="14"/>
      <c r="K9" s="14">
        <v>0.48828828288685799</v>
      </c>
      <c r="L9" s="14" t="s">
        <v>76</v>
      </c>
      <c r="M9" s="14" t="s">
        <v>76</v>
      </c>
      <c r="N9" s="14"/>
      <c r="O9" s="14">
        <v>0.46853403409129402</v>
      </c>
      <c r="P9" s="14">
        <v>0.65291906547847101</v>
      </c>
      <c r="Q9" s="14"/>
      <c r="R9" s="14">
        <v>0.52426164338998105</v>
      </c>
      <c r="S9" s="14">
        <v>0.43682381839439199</v>
      </c>
      <c r="T9" s="14">
        <v>0.50435240100611101</v>
      </c>
      <c r="U9" s="14">
        <v>0.47678902727817402</v>
      </c>
      <c r="V9" s="14">
        <v>0.38192147651694403</v>
      </c>
      <c r="W9" s="14">
        <v>0.568665593960614</v>
      </c>
      <c r="X9" s="14">
        <v>0.48842354847914299</v>
      </c>
      <c r="Y9" s="14">
        <v>0.55756473052255695</v>
      </c>
      <c r="Z9" s="14">
        <v>0.50245412674685797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0.55701217454229801</v>
      </c>
      <c r="AN9" s="14">
        <v>0.303368183495692</v>
      </c>
    </row>
    <row r="10" spans="2:40" x14ac:dyDescent="0.35">
      <c r="B10" s="15" t="s">
        <v>45</v>
      </c>
      <c r="C10" s="14">
        <v>0.32632083105413201</v>
      </c>
      <c r="D10" s="14">
        <v>0.34767664098003898</v>
      </c>
      <c r="E10" s="14">
        <v>0.30062586178696199</v>
      </c>
      <c r="F10" s="14"/>
      <c r="G10" s="14" t="s">
        <v>76</v>
      </c>
      <c r="H10" s="14">
        <v>0.32632083105413201</v>
      </c>
      <c r="I10" s="14" t="s">
        <v>76</v>
      </c>
      <c r="J10" s="14"/>
      <c r="K10" s="14">
        <v>0.32632083105413201</v>
      </c>
      <c r="L10" s="14" t="s">
        <v>76</v>
      </c>
      <c r="M10" s="14" t="s">
        <v>76</v>
      </c>
      <c r="N10" s="14"/>
      <c r="O10" s="14">
        <v>0.33564862781933402</v>
      </c>
      <c r="P10" s="14">
        <v>0.26145611693696102</v>
      </c>
      <c r="Q10" s="14"/>
      <c r="R10" s="14">
        <v>0.35072895754873501</v>
      </c>
      <c r="S10" s="14">
        <v>0.28508636297344198</v>
      </c>
      <c r="T10" s="14">
        <v>0.39037876577448799</v>
      </c>
      <c r="U10" s="14">
        <v>0.31624565796929599</v>
      </c>
      <c r="V10" s="14">
        <v>0.39831938164339198</v>
      </c>
      <c r="W10" s="14">
        <v>0.26012159851142602</v>
      </c>
      <c r="X10" s="14">
        <v>0.30363018068480502</v>
      </c>
      <c r="Y10" s="14">
        <v>0.30942422265894098</v>
      </c>
      <c r="Z10" s="14">
        <v>0.32910217151688798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0.30139793929131498</v>
      </c>
      <c r="AN10" s="14">
        <v>0.40427396253478498</v>
      </c>
    </row>
    <row r="11" spans="2:40" x14ac:dyDescent="0.35">
      <c r="B11" s="15" t="s">
        <v>70</v>
      </c>
      <c r="C11" s="20">
        <v>0.18539088605901</v>
      </c>
      <c r="D11" s="20">
        <v>0.18620072878647101</v>
      </c>
      <c r="E11" s="20">
        <v>0.18626240313065101</v>
      </c>
      <c r="F11" s="20"/>
      <c r="G11" s="20" t="s">
        <v>76</v>
      </c>
      <c r="H11" s="20">
        <v>0.18539088605901</v>
      </c>
      <c r="I11" s="20" t="s">
        <v>76</v>
      </c>
      <c r="J11" s="20"/>
      <c r="K11" s="20">
        <v>0.18539088605901</v>
      </c>
      <c r="L11" s="20" t="s">
        <v>76</v>
      </c>
      <c r="M11" s="20" t="s">
        <v>76</v>
      </c>
      <c r="N11" s="20"/>
      <c r="O11" s="20">
        <v>0.19581733808937199</v>
      </c>
      <c r="P11" s="20">
        <v>8.5624817584568205E-2</v>
      </c>
      <c r="Q11" s="20"/>
      <c r="R11" s="20">
        <v>0.125009399061284</v>
      </c>
      <c r="S11" s="20">
        <v>0.27808981863216597</v>
      </c>
      <c r="T11" s="20">
        <v>0.105268833219401</v>
      </c>
      <c r="U11" s="20">
        <v>0.20696531475252999</v>
      </c>
      <c r="V11" s="20">
        <v>0.219759141839663</v>
      </c>
      <c r="W11" s="20">
        <v>0.17121280752796</v>
      </c>
      <c r="X11" s="20">
        <v>0.20794627083605199</v>
      </c>
      <c r="Y11" s="20">
        <v>0.13301104681850201</v>
      </c>
      <c r="Z11" s="20">
        <v>0.168443701736254</v>
      </c>
      <c r="AA11" s="20"/>
      <c r="AB11" s="20" t="s">
        <v>76</v>
      </c>
      <c r="AC11" s="20" t="s">
        <v>76</v>
      </c>
      <c r="AD11" s="20" t="s">
        <v>76</v>
      </c>
      <c r="AE11" s="20" t="s">
        <v>76</v>
      </c>
      <c r="AF11" s="20"/>
      <c r="AG11" s="20" t="s">
        <v>76</v>
      </c>
      <c r="AH11" s="20" t="s">
        <v>76</v>
      </c>
      <c r="AI11" s="20"/>
      <c r="AJ11" s="20" t="s">
        <v>76</v>
      </c>
      <c r="AK11" s="20" t="s">
        <v>76</v>
      </c>
      <c r="AL11" s="20"/>
      <c r="AM11" s="20">
        <v>0.14158988616638599</v>
      </c>
      <c r="AN11" s="20">
        <v>0.29235785396952302</v>
      </c>
    </row>
    <row r="12" spans="2:40" x14ac:dyDescent="0.35">
      <c r="B12" s="27" t="s">
        <v>209</v>
      </c>
    </row>
    <row r="13" spans="2:40" x14ac:dyDescent="0.35">
      <c r="B13" t="s">
        <v>72</v>
      </c>
    </row>
    <row r="14" spans="2:40" x14ac:dyDescent="0.35">
      <c r="B14" t="s">
        <v>73</v>
      </c>
    </row>
    <row r="16" spans="2:40" x14ac:dyDescent="0.35">
      <c r="B16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B2:AN18"/>
  <sheetViews>
    <sheetView showGridLines="0" topLeftCell="A2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233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250</v>
      </c>
      <c r="D7" s="10">
        <v>126</v>
      </c>
      <c r="E7" s="10">
        <v>123</v>
      </c>
      <c r="F7" s="10"/>
      <c r="G7" s="10" t="s">
        <v>75</v>
      </c>
      <c r="H7" s="10">
        <v>250</v>
      </c>
      <c r="I7" s="10" t="s">
        <v>75</v>
      </c>
      <c r="J7" s="10"/>
      <c r="K7" s="10">
        <v>250</v>
      </c>
      <c r="L7" s="10" t="s">
        <v>75</v>
      </c>
      <c r="M7" s="10" t="s">
        <v>75</v>
      </c>
      <c r="N7" s="10"/>
      <c r="O7" s="10">
        <v>212</v>
      </c>
      <c r="P7" s="10">
        <v>32</v>
      </c>
      <c r="Q7" s="10"/>
      <c r="R7" s="10">
        <v>35</v>
      </c>
      <c r="S7" s="10">
        <v>39</v>
      </c>
      <c r="T7" s="10">
        <v>28</v>
      </c>
      <c r="U7" s="10">
        <v>26</v>
      </c>
      <c r="V7" s="10">
        <v>18</v>
      </c>
      <c r="W7" s="10">
        <v>36</v>
      </c>
      <c r="X7" s="10">
        <v>19</v>
      </c>
      <c r="Y7" s="10">
        <v>13</v>
      </c>
      <c r="Z7" s="10">
        <v>36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171</v>
      </c>
      <c r="AN7" s="10">
        <v>34</v>
      </c>
    </row>
    <row r="8" spans="2:40" ht="30" customHeight="1" x14ac:dyDescent="0.35">
      <c r="B8" s="11" t="s">
        <v>20</v>
      </c>
      <c r="C8" s="11">
        <v>224</v>
      </c>
      <c r="D8" s="11">
        <v>111</v>
      </c>
      <c r="E8" s="11">
        <v>113</v>
      </c>
      <c r="F8" s="11"/>
      <c r="G8" s="11" t="s">
        <v>75</v>
      </c>
      <c r="H8" s="11">
        <v>224</v>
      </c>
      <c r="I8" s="11" t="s">
        <v>75</v>
      </c>
      <c r="J8" s="11"/>
      <c r="K8" s="11">
        <v>224</v>
      </c>
      <c r="L8" s="11" t="s">
        <v>75</v>
      </c>
      <c r="M8" s="11" t="s">
        <v>75</v>
      </c>
      <c r="N8" s="11"/>
      <c r="O8" s="11">
        <v>188</v>
      </c>
      <c r="P8" s="11">
        <v>31</v>
      </c>
      <c r="Q8" s="11"/>
      <c r="R8" s="11">
        <v>35</v>
      </c>
      <c r="S8" s="11">
        <v>33</v>
      </c>
      <c r="T8" s="11">
        <v>27</v>
      </c>
      <c r="U8" s="11">
        <v>26</v>
      </c>
      <c r="V8" s="11">
        <v>16</v>
      </c>
      <c r="W8" s="11">
        <v>26</v>
      </c>
      <c r="X8" s="11">
        <v>25</v>
      </c>
      <c r="Y8" s="11">
        <v>11</v>
      </c>
      <c r="Z8" s="11">
        <v>26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154</v>
      </c>
      <c r="AN8" s="11">
        <v>30</v>
      </c>
    </row>
    <row r="9" spans="2:40" x14ac:dyDescent="0.35">
      <c r="B9" s="15" t="s">
        <v>155</v>
      </c>
      <c r="C9" s="14">
        <v>0.21550803838570301</v>
      </c>
      <c r="D9" s="14">
        <v>0.280205627090932</v>
      </c>
      <c r="E9" s="14">
        <v>0.153637011647517</v>
      </c>
      <c r="F9" s="14"/>
      <c r="G9" s="14" t="s">
        <v>76</v>
      </c>
      <c r="H9" s="14">
        <v>0.21550803838570301</v>
      </c>
      <c r="I9" s="14" t="s">
        <v>76</v>
      </c>
      <c r="J9" s="14"/>
      <c r="K9" s="14">
        <v>0.21550803838570301</v>
      </c>
      <c r="L9" s="14" t="s">
        <v>76</v>
      </c>
      <c r="M9" s="14" t="s">
        <v>76</v>
      </c>
      <c r="N9" s="14"/>
      <c r="O9" s="14">
        <v>0.18418274515375399</v>
      </c>
      <c r="P9" s="14">
        <v>0.41244886947783899</v>
      </c>
      <c r="Q9" s="14"/>
      <c r="R9" s="14">
        <v>0.31098419213629502</v>
      </c>
      <c r="S9" s="14">
        <v>9.9171942142033495E-2</v>
      </c>
      <c r="T9" s="14">
        <v>0.20863981934126299</v>
      </c>
      <c r="U9" s="14">
        <v>0.30879909971290498</v>
      </c>
      <c r="V9" s="14">
        <v>4.7867109123256799E-2</v>
      </c>
      <c r="W9" s="14">
        <v>0.34556707193519298</v>
      </c>
      <c r="X9" s="14">
        <v>0.26006581337666201</v>
      </c>
      <c r="Y9" s="14">
        <v>0</v>
      </c>
      <c r="Z9" s="14">
        <v>0.167971362715987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0.26986662230717801</v>
      </c>
      <c r="AN9" s="14">
        <v>0.10983586630610299</v>
      </c>
    </row>
    <row r="10" spans="2:40" x14ac:dyDescent="0.35">
      <c r="B10" s="15" t="s">
        <v>156</v>
      </c>
      <c r="C10" s="14">
        <v>0.46172218027190298</v>
      </c>
      <c r="D10" s="14">
        <v>0.391368129020085</v>
      </c>
      <c r="E10" s="14">
        <v>0.52681524211480502</v>
      </c>
      <c r="F10" s="14"/>
      <c r="G10" s="14" t="s">
        <v>76</v>
      </c>
      <c r="H10" s="14">
        <v>0.46172218027190298</v>
      </c>
      <c r="I10" s="14" t="s">
        <v>76</v>
      </c>
      <c r="J10" s="14"/>
      <c r="K10" s="14">
        <v>0.46172218027190298</v>
      </c>
      <c r="L10" s="14" t="s">
        <v>76</v>
      </c>
      <c r="M10" s="14" t="s">
        <v>76</v>
      </c>
      <c r="N10" s="14"/>
      <c r="O10" s="14">
        <v>0.45650543113508502</v>
      </c>
      <c r="P10" s="14">
        <v>0.51597930392096203</v>
      </c>
      <c r="Q10" s="14"/>
      <c r="R10" s="14">
        <v>0.40023810306625801</v>
      </c>
      <c r="S10" s="14">
        <v>0.46047544811777502</v>
      </c>
      <c r="T10" s="14">
        <v>0.43359471076575601</v>
      </c>
      <c r="U10" s="14">
        <v>0.49189587779071497</v>
      </c>
      <c r="V10" s="14">
        <v>0.45124341672114898</v>
      </c>
      <c r="W10" s="14">
        <v>0.378494938885024</v>
      </c>
      <c r="X10" s="14">
        <v>0.475956638668178</v>
      </c>
      <c r="Y10" s="14">
        <v>0.61128371386479197</v>
      </c>
      <c r="Z10" s="14">
        <v>0.55766193675668296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0.465963322557017</v>
      </c>
      <c r="AN10" s="14">
        <v>0.45884980559177502</v>
      </c>
    </row>
    <row r="11" spans="2:40" x14ac:dyDescent="0.35">
      <c r="B11" s="15" t="s">
        <v>157</v>
      </c>
      <c r="C11" s="14">
        <v>0.24533478254978899</v>
      </c>
      <c r="D11" s="14">
        <v>0.22974491640596401</v>
      </c>
      <c r="E11" s="14">
        <v>0.26238289418552702</v>
      </c>
      <c r="F11" s="14"/>
      <c r="G11" s="14" t="s">
        <v>76</v>
      </c>
      <c r="H11" s="14">
        <v>0.24533478254978899</v>
      </c>
      <c r="I11" s="14" t="s">
        <v>76</v>
      </c>
      <c r="J11" s="14"/>
      <c r="K11" s="14">
        <v>0.24533478254978899</v>
      </c>
      <c r="L11" s="14" t="s">
        <v>76</v>
      </c>
      <c r="M11" s="14" t="s">
        <v>76</v>
      </c>
      <c r="N11" s="14"/>
      <c r="O11" s="14">
        <v>0.27368387871323302</v>
      </c>
      <c r="P11" s="14">
        <v>3.0824010871769902E-2</v>
      </c>
      <c r="Q11" s="14"/>
      <c r="R11" s="14">
        <v>0.26134527751362502</v>
      </c>
      <c r="S11" s="14">
        <v>0.36297163289916101</v>
      </c>
      <c r="T11" s="14">
        <v>0.28259623967007202</v>
      </c>
      <c r="U11" s="14">
        <v>0.16251542687433301</v>
      </c>
      <c r="V11" s="14">
        <v>0.39101231278138199</v>
      </c>
      <c r="W11" s="14">
        <v>0.21842932405488899</v>
      </c>
      <c r="X11" s="14">
        <v>0.102273890802464</v>
      </c>
      <c r="Y11" s="14">
        <v>0.38871628613520798</v>
      </c>
      <c r="Z11" s="14">
        <v>0.13717425961451599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0.20997678827982499</v>
      </c>
      <c r="AN11" s="14">
        <v>0.28594364921979898</v>
      </c>
    </row>
    <row r="12" spans="2:40" x14ac:dyDescent="0.35">
      <c r="B12" s="15" t="s">
        <v>158</v>
      </c>
      <c r="C12" s="14">
        <v>5.6408841372455401E-2</v>
      </c>
      <c r="D12" s="14">
        <v>5.6051752181733E-2</v>
      </c>
      <c r="E12" s="14">
        <v>5.7164852052152201E-2</v>
      </c>
      <c r="F12" s="14"/>
      <c r="G12" s="14" t="s">
        <v>76</v>
      </c>
      <c r="H12" s="14">
        <v>5.6408841372455401E-2</v>
      </c>
      <c r="I12" s="14" t="s">
        <v>76</v>
      </c>
      <c r="J12" s="14"/>
      <c r="K12" s="14">
        <v>5.6408841372455401E-2</v>
      </c>
      <c r="L12" s="14" t="s">
        <v>76</v>
      </c>
      <c r="M12" s="14" t="s">
        <v>76</v>
      </c>
      <c r="N12" s="14"/>
      <c r="O12" s="14">
        <v>6.0563394906227301E-2</v>
      </c>
      <c r="P12" s="14">
        <v>4.0747815729429197E-2</v>
      </c>
      <c r="Q12" s="14"/>
      <c r="R12" s="14">
        <v>0</v>
      </c>
      <c r="S12" s="14">
        <v>2.4360914458249401E-2</v>
      </c>
      <c r="T12" s="14">
        <v>3.5104938004632998E-2</v>
      </c>
      <c r="U12" s="14">
        <v>0</v>
      </c>
      <c r="V12" s="14">
        <v>0.109877161374211</v>
      </c>
      <c r="W12" s="14">
        <v>5.7508665124893998E-2</v>
      </c>
      <c r="X12" s="14">
        <v>0.161703657152696</v>
      </c>
      <c r="Y12" s="14">
        <v>0</v>
      </c>
      <c r="Z12" s="14">
        <v>0.13719244091281399</v>
      </c>
      <c r="AA12" s="14"/>
      <c r="AB12" s="14" t="s">
        <v>76</v>
      </c>
      <c r="AC12" s="14" t="s">
        <v>76</v>
      </c>
      <c r="AD12" s="14" t="s">
        <v>76</v>
      </c>
      <c r="AE12" s="14" t="s">
        <v>76</v>
      </c>
      <c r="AF12" s="14"/>
      <c r="AG12" s="14" t="s">
        <v>76</v>
      </c>
      <c r="AH12" s="14" t="s">
        <v>76</v>
      </c>
      <c r="AI12" s="14"/>
      <c r="AJ12" s="14" t="s">
        <v>76</v>
      </c>
      <c r="AK12" s="14" t="s">
        <v>76</v>
      </c>
      <c r="AL12" s="14"/>
      <c r="AM12" s="14">
        <v>2.9786282104608298E-2</v>
      </c>
      <c r="AN12" s="14">
        <v>0.14537067888232399</v>
      </c>
    </row>
    <row r="13" spans="2:40" x14ac:dyDescent="0.35">
      <c r="B13" s="15" t="s">
        <v>70</v>
      </c>
      <c r="C13" s="20">
        <v>2.10261574201508E-2</v>
      </c>
      <c r="D13" s="20">
        <v>4.26295753012862E-2</v>
      </c>
      <c r="E13" s="20">
        <v>0</v>
      </c>
      <c r="F13" s="20"/>
      <c r="G13" s="20" t="s">
        <v>76</v>
      </c>
      <c r="H13" s="20">
        <v>2.10261574201508E-2</v>
      </c>
      <c r="I13" s="20" t="s">
        <v>76</v>
      </c>
      <c r="J13" s="20"/>
      <c r="K13" s="20">
        <v>2.10261574201508E-2</v>
      </c>
      <c r="L13" s="20" t="s">
        <v>76</v>
      </c>
      <c r="M13" s="20" t="s">
        <v>76</v>
      </c>
      <c r="N13" s="20"/>
      <c r="O13" s="20">
        <v>2.5064550091700701E-2</v>
      </c>
      <c r="P13" s="20">
        <v>0</v>
      </c>
      <c r="Q13" s="20"/>
      <c r="R13" s="20">
        <v>2.7432427283821802E-2</v>
      </c>
      <c r="S13" s="20">
        <v>5.3020062382781098E-2</v>
      </c>
      <c r="T13" s="20">
        <v>4.00642922182766E-2</v>
      </c>
      <c r="U13" s="20">
        <v>3.67895956220467E-2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/>
      <c r="AB13" s="20" t="s">
        <v>76</v>
      </c>
      <c r="AC13" s="20" t="s">
        <v>76</v>
      </c>
      <c r="AD13" s="20" t="s">
        <v>76</v>
      </c>
      <c r="AE13" s="20" t="s">
        <v>76</v>
      </c>
      <c r="AF13" s="20"/>
      <c r="AG13" s="20" t="s">
        <v>76</v>
      </c>
      <c r="AH13" s="20" t="s">
        <v>76</v>
      </c>
      <c r="AI13" s="20"/>
      <c r="AJ13" s="20" t="s">
        <v>76</v>
      </c>
      <c r="AK13" s="20" t="s">
        <v>76</v>
      </c>
      <c r="AL13" s="20"/>
      <c r="AM13" s="20">
        <v>2.4406984751371801E-2</v>
      </c>
      <c r="AN13" s="20">
        <v>0</v>
      </c>
    </row>
    <row r="14" spans="2:40" x14ac:dyDescent="0.35">
      <c r="B14" s="27" t="s">
        <v>249</v>
      </c>
    </row>
    <row r="15" spans="2:40" x14ac:dyDescent="0.35">
      <c r="B15" t="s">
        <v>72</v>
      </c>
    </row>
    <row r="16" spans="2:40" x14ac:dyDescent="0.35">
      <c r="B16" t="s">
        <v>73</v>
      </c>
    </row>
    <row r="18" spans="2:2" x14ac:dyDescent="0.35">
      <c r="B18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B2:AO19"/>
  <sheetViews>
    <sheetView showGridLines="0" workbookViewId="0">
      <pane xSplit="2" topLeftCell="C1" activePane="topRight" state="frozen"/>
      <selection pane="topRight" activeCell="B15" sqref="B15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1" ht="40" customHeight="1" x14ac:dyDescent="0.35">
      <c r="D2" s="41" t="s">
        <v>235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1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1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1" ht="30" customHeight="1" x14ac:dyDescent="0.35">
      <c r="B7" s="10" t="s">
        <v>19</v>
      </c>
      <c r="C7" s="10">
        <v>250</v>
      </c>
      <c r="D7" s="10">
        <v>126</v>
      </c>
      <c r="E7" s="10">
        <v>123</v>
      </c>
      <c r="F7" s="10"/>
      <c r="G7" s="10" t="s">
        <v>75</v>
      </c>
      <c r="H7" s="10">
        <v>250</v>
      </c>
      <c r="I7" s="10" t="s">
        <v>75</v>
      </c>
      <c r="J7" s="10"/>
      <c r="K7" s="10">
        <v>250</v>
      </c>
      <c r="L7" s="10" t="s">
        <v>75</v>
      </c>
      <c r="M7" s="10" t="s">
        <v>75</v>
      </c>
      <c r="N7" s="10"/>
      <c r="O7" s="10">
        <v>212</v>
      </c>
      <c r="P7" s="10">
        <v>32</v>
      </c>
      <c r="Q7" s="10"/>
      <c r="R7" s="10">
        <v>35</v>
      </c>
      <c r="S7" s="10">
        <v>39</v>
      </c>
      <c r="T7" s="10">
        <v>28</v>
      </c>
      <c r="U7" s="10">
        <v>26</v>
      </c>
      <c r="V7" s="10">
        <v>18</v>
      </c>
      <c r="W7" s="10">
        <v>36</v>
      </c>
      <c r="X7" s="10">
        <v>19</v>
      </c>
      <c r="Y7" s="10">
        <v>13</v>
      </c>
      <c r="Z7" s="10">
        <v>36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171</v>
      </c>
      <c r="AN7" s="10">
        <v>34</v>
      </c>
    </row>
    <row r="8" spans="2:41" ht="30" customHeight="1" x14ac:dyDescent="0.35">
      <c r="B8" s="11" t="s">
        <v>20</v>
      </c>
      <c r="C8" s="11">
        <v>224</v>
      </c>
      <c r="D8" s="11">
        <v>111</v>
      </c>
      <c r="E8" s="11">
        <v>113</v>
      </c>
      <c r="F8" s="11"/>
      <c r="G8" s="11" t="s">
        <v>75</v>
      </c>
      <c r="H8" s="11">
        <v>224</v>
      </c>
      <c r="I8" s="11" t="s">
        <v>75</v>
      </c>
      <c r="J8" s="11"/>
      <c r="K8" s="11">
        <v>224</v>
      </c>
      <c r="L8" s="11" t="s">
        <v>75</v>
      </c>
      <c r="M8" s="11" t="s">
        <v>75</v>
      </c>
      <c r="N8" s="11"/>
      <c r="O8" s="11">
        <v>188</v>
      </c>
      <c r="P8" s="11">
        <v>31</v>
      </c>
      <c r="Q8" s="11"/>
      <c r="R8" s="11">
        <v>35</v>
      </c>
      <c r="S8" s="11">
        <v>33</v>
      </c>
      <c r="T8" s="11">
        <v>27</v>
      </c>
      <c r="U8" s="11">
        <v>26</v>
      </c>
      <c r="V8" s="11">
        <v>16</v>
      </c>
      <c r="W8" s="11">
        <v>26</v>
      </c>
      <c r="X8" s="11">
        <v>25</v>
      </c>
      <c r="Y8" s="11">
        <v>11</v>
      </c>
      <c r="Z8" s="11">
        <v>26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154</v>
      </c>
      <c r="AN8" s="11">
        <v>30</v>
      </c>
    </row>
    <row r="9" spans="2:41" x14ac:dyDescent="0.35">
      <c r="B9" s="15" t="s">
        <v>160</v>
      </c>
      <c r="C9" s="14">
        <v>0.161326307111293</v>
      </c>
      <c r="D9" s="14">
        <v>0.17704416057021499</v>
      </c>
      <c r="E9" s="14">
        <v>0.147079381646123</v>
      </c>
      <c r="F9" s="14"/>
      <c r="G9" s="14" t="s">
        <v>76</v>
      </c>
      <c r="H9" s="14">
        <v>0.161326307111293</v>
      </c>
      <c r="I9" s="14" t="s">
        <v>76</v>
      </c>
      <c r="J9" s="14"/>
      <c r="K9" s="14">
        <v>0.161326307111293</v>
      </c>
      <c r="L9" s="14" t="s">
        <v>76</v>
      </c>
      <c r="M9" s="14" t="s">
        <v>76</v>
      </c>
      <c r="N9" s="14"/>
      <c r="O9" s="14">
        <v>0.12543570903984599</v>
      </c>
      <c r="P9" s="14">
        <v>0.37681618089303398</v>
      </c>
      <c r="Q9" s="14"/>
      <c r="R9" s="14">
        <v>0.19788939982942</v>
      </c>
      <c r="S9" s="14">
        <v>0.12941588353637901</v>
      </c>
      <c r="T9" s="14">
        <v>0.18232709224138799</v>
      </c>
      <c r="U9" s="14">
        <v>0.114395226484342</v>
      </c>
      <c r="V9" s="14">
        <v>0</v>
      </c>
      <c r="W9" s="14">
        <v>0.238005743147475</v>
      </c>
      <c r="X9" s="14">
        <v>0.26339224897663099</v>
      </c>
      <c r="Y9" s="14">
        <v>0</v>
      </c>
      <c r="Z9" s="14">
        <v>0.169071032460969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0.21846179272765301</v>
      </c>
      <c r="AN9" s="14">
        <v>0</v>
      </c>
    </row>
    <row r="10" spans="2:41" x14ac:dyDescent="0.35">
      <c r="B10" s="15" t="s">
        <v>161</v>
      </c>
      <c r="C10" s="14">
        <v>0.52676292339489905</v>
      </c>
      <c r="D10" s="14">
        <v>0.55049668674104502</v>
      </c>
      <c r="E10" s="14">
        <v>0.50009131974541299</v>
      </c>
      <c r="F10" s="14"/>
      <c r="G10" s="14" t="s">
        <v>76</v>
      </c>
      <c r="H10" s="14">
        <v>0.52676292339489905</v>
      </c>
      <c r="I10" s="14" t="s">
        <v>76</v>
      </c>
      <c r="J10" s="14"/>
      <c r="K10" s="14">
        <v>0.52676292339489905</v>
      </c>
      <c r="L10" s="14" t="s">
        <v>76</v>
      </c>
      <c r="M10" s="14" t="s">
        <v>76</v>
      </c>
      <c r="N10" s="14"/>
      <c r="O10" s="14">
        <v>0.531792978088518</v>
      </c>
      <c r="P10" s="14">
        <v>0.52967609417064698</v>
      </c>
      <c r="Q10" s="14"/>
      <c r="R10" s="14">
        <v>0.69238088963950395</v>
      </c>
      <c r="S10" s="14">
        <v>0.34565090360054401</v>
      </c>
      <c r="T10" s="14">
        <v>0.55442773938399903</v>
      </c>
      <c r="U10" s="14">
        <v>0.61408170743295898</v>
      </c>
      <c r="V10" s="14">
        <v>0.44539079687760003</v>
      </c>
      <c r="W10" s="14">
        <v>0.56862116553201103</v>
      </c>
      <c r="X10" s="14">
        <v>0.53000753420031399</v>
      </c>
      <c r="Y10" s="14">
        <v>0.61128371386479197</v>
      </c>
      <c r="Z10" s="14">
        <v>0.38789125406415997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0.59256151120476297</v>
      </c>
      <c r="AN10" s="14">
        <v>0.30391742796247601</v>
      </c>
    </row>
    <row r="11" spans="2:41" x14ac:dyDescent="0.35">
      <c r="B11" s="15" t="s">
        <v>162</v>
      </c>
      <c r="C11" s="14">
        <v>0.25253803885447501</v>
      </c>
      <c r="D11" s="14">
        <v>0.217334731206489</v>
      </c>
      <c r="E11" s="14">
        <v>0.28886472739563801</v>
      </c>
      <c r="F11" s="14"/>
      <c r="G11" s="14" t="s">
        <v>76</v>
      </c>
      <c r="H11" s="14">
        <v>0.25253803885447501</v>
      </c>
      <c r="I11" s="14" t="s">
        <v>76</v>
      </c>
      <c r="J11" s="14"/>
      <c r="K11" s="14">
        <v>0.25253803885447501</v>
      </c>
      <c r="L11" s="14" t="s">
        <v>76</v>
      </c>
      <c r="M11" s="14" t="s">
        <v>76</v>
      </c>
      <c r="N11" s="14"/>
      <c r="O11" s="14">
        <v>0.28770576267658798</v>
      </c>
      <c r="P11" s="14">
        <v>2.4967459052459E-2</v>
      </c>
      <c r="Q11" s="14"/>
      <c r="R11" s="14">
        <v>0.109729710531076</v>
      </c>
      <c r="S11" s="14">
        <v>0.39029770185191598</v>
      </c>
      <c r="T11" s="14">
        <v>0.223180876156336</v>
      </c>
      <c r="U11" s="14">
        <v>0.27152306608269899</v>
      </c>
      <c r="V11" s="14">
        <v>0.49820746820383699</v>
      </c>
      <c r="W11" s="14">
        <v>0.167716703795905</v>
      </c>
      <c r="X11" s="14">
        <v>0.10498029011681299</v>
      </c>
      <c r="Y11" s="14">
        <v>0.30952816575537001</v>
      </c>
      <c r="Z11" s="14">
        <v>0.33379370740596898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0.17618349823526799</v>
      </c>
      <c r="AN11" s="14">
        <v>0.39814311173464101</v>
      </c>
    </row>
    <row r="12" spans="2:41" x14ac:dyDescent="0.35">
      <c r="B12" s="15" t="s">
        <v>163</v>
      </c>
      <c r="C12" s="14">
        <v>4.6338185036287297E-2</v>
      </c>
      <c r="D12" s="14">
        <v>3.68996333672603E-2</v>
      </c>
      <c r="E12" s="14">
        <v>5.5924128905642197E-2</v>
      </c>
      <c r="F12" s="14"/>
      <c r="G12" s="14" t="s">
        <v>76</v>
      </c>
      <c r="H12" s="14">
        <v>4.6338185036287297E-2</v>
      </c>
      <c r="I12" s="14" t="s">
        <v>76</v>
      </c>
      <c r="J12" s="14"/>
      <c r="K12" s="14">
        <v>4.6338185036287297E-2</v>
      </c>
      <c r="L12" s="14" t="s">
        <v>76</v>
      </c>
      <c r="M12" s="14" t="s">
        <v>76</v>
      </c>
      <c r="N12" s="14"/>
      <c r="O12" s="14">
        <v>3.9527522268130902E-2</v>
      </c>
      <c r="P12" s="14">
        <v>6.8540265883860294E-2</v>
      </c>
      <c r="Q12" s="14"/>
      <c r="R12" s="14">
        <v>0</v>
      </c>
      <c r="S12" s="14">
        <v>0.10567473345293101</v>
      </c>
      <c r="T12" s="14">
        <v>0</v>
      </c>
      <c r="U12" s="14">
        <v>0</v>
      </c>
      <c r="V12" s="14">
        <v>0</v>
      </c>
      <c r="W12" s="14">
        <v>2.5656387524609501E-2</v>
      </c>
      <c r="X12" s="14">
        <v>0.10161992670624299</v>
      </c>
      <c r="Y12" s="14">
        <v>7.9188120379837607E-2</v>
      </c>
      <c r="Z12" s="14">
        <v>0.109244006068902</v>
      </c>
      <c r="AA12" s="14"/>
      <c r="AB12" s="14" t="s">
        <v>76</v>
      </c>
      <c r="AC12" s="14" t="s">
        <v>76</v>
      </c>
      <c r="AD12" s="14" t="s">
        <v>76</v>
      </c>
      <c r="AE12" s="14" t="s">
        <v>76</v>
      </c>
      <c r="AF12" s="14"/>
      <c r="AG12" s="14" t="s">
        <v>76</v>
      </c>
      <c r="AH12" s="14" t="s">
        <v>76</v>
      </c>
      <c r="AI12" s="14"/>
      <c r="AJ12" s="14" t="s">
        <v>76</v>
      </c>
      <c r="AK12" s="14" t="s">
        <v>76</v>
      </c>
      <c r="AL12" s="14"/>
      <c r="AM12" s="14">
        <v>0</v>
      </c>
      <c r="AN12" s="14">
        <v>0.29793946030288299</v>
      </c>
    </row>
    <row r="13" spans="2:41" x14ac:dyDescent="0.35">
      <c r="B13" s="15" t="s">
        <v>70</v>
      </c>
      <c r="C13" s="21">
        <v>1.30345456030448E-2</v>
      </c>
      <c r="D13" s="21">
        <v>1.82247881149902E-2</v>
      </c>
      <c r="E13" s="21">
        <v>8.0404423071843492E-3</v>
      </c>
      <c r="F13" s="21"/>
      <c r="G13" s="21" t="s">
        <v>76</v>
      </c>
      <c r="H13" s="21">
        <v>1.30345456030448E-2</v>
      </c>
      <c r="I13" s="21" t="s">
        <v>76</v>
      </c>
      <c r="J13" s="21"/>
      <c r="K13" s="21">
        <v>1.30345456030448E-2</v>
      </c>
      <c r="L13" s="21" t="s">
        <v>76</v>
      </c>
      <c r="M13" s="21" t="s">
        <v>76</v>
      </c>
      <c r="N13" s="21"/>
      <c r="O13" s="21">
        <v>1.5538027926917899E-2</v>
      </c>
      <c r="P13" s="21">
        <v>0</v>
      </c>
      <c r="Q13" s="21"/>
      <c r="R13" s="21">
        <v>0</v>
      </c>
      <c r="S13" s="21">
        <v>2.89607775582305E-2</v>
      </c>
      <c r="T13" s="21">
        <v>4.00642922182766E-2</v>
      </c>
      <c r="U13" s="21">
        <v>0</v>
      </c>
      <c r="V13" s="21">
        <v>5.6401734918563699E-2</v>
      </c>
      <c r="W13" s="21">
        <v>0</v>
      </c>
      <c r="X13" s="21">
        <v>0</v>
      </c>
      <c r="Y13" s="21">
        <v>0</v>
      </c>
      <c r="Z13" s="21">
        <v>0</v>
      </c>
      <c r="AA13" s="21"/>
      <c r="AB13" s="21" t="s">
        <v>76</v>
      </c>
      <c r="AC13" s="21" t="s">
        <v>76</v>
      </c>
      <c r="AD13" s="21" t="s">
        <v>76</v>
      </c>
      <c r="AE13" s="21" t="s">
        <v>76</v>
      </c>
      <c r="AF13" s="21"/>
      <c r="AG13" s="21" t="s">
        <v>76</v>
      </c>
      <c r="AH13" s="21" t="s">
        <v>76</v>
      </c>
      <c r="AI13" s="21"/>
      <c r="AJ13" s="21" t="s">
        <v>76</v>
      </c>
      <c r="AK13" s="21" t="s">
        <v>76</v>
      </c>
      <c r="AL13" s="21"/>
      <c r="AM13" s="21">
        <v>1.27931978323165E-2</v>
      </c>
      <c r="AN13" s="21">
        <v>0</v>
      </c>
    </row>
    <row r="14" spans="2:41" x14ac:dyDescent="0.35">
      <c r="B14" s="15" t="s">
        <v>164</v>
      </c>
      <c r="C14" s="21">
        <v>0.68808923050619297</v>
      </c>
      <c r="D14" s="21">
        <v>0.72754084731126101</v>
      </c>
      <c r="E14" s="21">
        <v>0.64717070139153599</v>
      </c>
      <c r="F14" s="21"/>
      <c r="G14" s="21" t="s">
        <v>76</v>
      </c>
      <c r="H14" s="21">
        <v>0.68808923050619297</v>
      </c>
      <c r="I14" s="21" t="s">
        <v>76</v>
      </c>
      <c r="J14" s="21"/>
      <c r="K14" s="21">
        <v>0.68808923050619297</v>
      </c>
      <c r="L14" s="21" t="s">
        <v>76</v>
      </c>
      <c r="M14" s="21" t="s">
        <v>76</v>
      </c>
      <c r="N14" s="21"/>
      <c r="O14" s="21">
        <v>0.65722868712836302</v>
      </c>
      <c r="P14" s="21">
        <v>0.90649227506368102</v>
      </c>
      <c r="Q14" s="21"/>
      <c r="R14" s="21">
        <v>0.89027028946892395</v>
      </c>
      <c r="S14" s="21">
        <v>0.47506678713692302</v>
      </c>
      <c r="T14" s="21">
        <v>0.73675483162538702</v>
      </c>
      <c r="U14" s="21">
        <v>0.72847693391730095</v>
      </c>
      <c r="V14" s="21">
        <v>0.44539079687760003</v>
      </c>
      <c r="W14" s="21">
        <v>0.80662690867948605</v>
      </c>
      <c r="X14" s="21">
        <v>0.79339978317694404</v>
      </c>
      <c r="Y14" s="21">
        <v>0.61128371386479197</v>
      </c>
      <c r="Z14" s="21">
        <v>0.55696228652512902</v>
      </c>
      <c r="AA14" s="21"/>
      <c r="AB14" s="21" t="s">
        <v>76</v>
      </c>
      <c r="AC14" s="21" t="s">
        <v>76</v>
      </c>
      <c r="AD14" s="21" t="s">
        <v>76</v>
      </c>
      <c r="AE14" s="21" t="s">
        <v>76</v>
      </c>
      <c r="AF14" s="21"/>
      <c r="AG14" s="21" t="s">
        <v>76</v>
      </c>
      <c r="AH14" s="21" t="s">
        <v>76</v>
      </c>
      <c r="AI14" s="21"/>
      <c r="AJ14" s="21" t="s">
        <v>76</v>
      </c>
      <c r="AK14" s="21" t="s">
        <v>76</v>
      </c>
      <c r="AL14" s="21"/>
      <c r="AM14" s="21">
        <v>0.81102330393241595</v>
      </c>
      <c r="AN14" s="21">
        <v>0.30391742796247601</v>
      </c>
    </row>
    <row r="15" spans="2:41" x14ac:dyDescent="0.35">
      <c r="B15" s="32" t="s">
        <v>249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</row>
    <row r="16" spans="2:41" x14ac:dyDescent="0.35">
      <c r="B16" t="s">
        <v>72</v>
      </c>
    </row>
    <row r="17" spans="2:2" x14ac:dyDescent="0.35">
      <c r="B17" t="s">
        <v>73</v>
      </c>
    </row>
    <row r="19" spans="2:2" x14ac:dyDescent="0.35">
      <c r="B19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B2:AN18"/>
  <sheetViews>
    <sheetView showGridLines="0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236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250</v>
      </c>
      <c r="D7" s="10">
        <v>126</v>
      </c>
      <c r="E7" s="10">
        <v>123</v>
      </c>
      <c r="F7" s="10"/>
      <c r="G7" s="10" t="s">
        <v>75</v>
      </c>
      <c r="H7" s="10">
        <v>250</v>
      </c>
      <c r="I7" s="10" t="s">
        <v>75</v>
      </c>
      <c r="J7" s="10"/>
      <c r="K7" s="10">
        <v>250</v>
      </c>
      <c r="L7" s="10" t="s">
        <v>75</v>
      </c>
      <c r="M7" s="10" t="s">
        <v>75</v>
      </c>
      <c r="N7" s="10"/>
      <c r="O7" s="10">
        <v>212</v>
      </c>
      <c r="P7" s="10">
        <v>32</v>
      </c>
      <c r="Q7" s="10"/>
      <c r="R7" s="10">
        <v>35</v>
      </c>
      <c r="S7" s="10">
        <v>39</v>
      </c>
      <c r="T7" s="10">
        <v>28</v>
      </c>
      <c r="U7" s="10">
        <v>26</v>
      </c>
      <c r="V7" s="10">
        <v>18</v>
      </c>
      <c r="W7" s="10">
        <v>36</v>
      </c>
      <c r="X7" s="10">
        <v>19</v>
      </c>
      <c r="Y7" s="10">
        <v>13</v>
      </c>
      <c r="Z7" s="10">
        <v>36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171</v>
      </c>
      <c r="AN7" s="10">
        <v>34</v>
      </c>
    </row>
    <row r="8" spans="2:40" ht="30" customHeight="1" x14ac:dyDescent="0.35">
      <c r="B8" s="11" t="s">
        <v>20</v>
      </c>
      <c r="C8" s="11">
        <v>224</v>
      </c>
      <c r="D8" s="11">
        <v>111</v>
      </c>
      <c r="E8" s="11">
        <v>113</v>
      </c>
      <c r="F8" s="11"/>
      <c r="G8" s="11" t="s">
        <v>75</v>
      </c>
      <c r="H8" s="11">
        <v>224</v>
      </c>
      <c r="I8" s="11" t="s">
        <v>75</v>
      </c>
      <c r="J8" s="11"/>
      <c r="K8" s="11">
        <v>224</v>
      </c>
      <c r="L8" s="11" t="s">
        <v>75</v>
      </c>
      <c r="M8" s="11" t="s">
        <v>75</v>
      </c>
      <c r="N8" s="11"/>
      <c r="O8" s="11">
        <v>188</v>
      </c>
      <c r="P8" s="11">
        <v>31</v>
      </c>
      <c r="Q8" s="11"/>
      <c r="R8" s="11">
        <v>35</v>
      </c>
      <c r="S8" s="11">
        <v>33</v>
      </c>
      <c r="T8" s="11">
        <v>27</v>
      </c>
      <c r="U8" s="11">
        <v>26</v>
      </c>
      <c r="V8" s="11">
        <v>16</v>
      </c>
      <c r="W8" s="11">
        <v>26</v>
      </c>
      <c r="X8" s="11">
        <v>25</v>
      </c>
      <c r="Y8" s="11">
        <v>11</v>
      </c>
      <c r="Z8" s="11">
        <v>26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154</v>
      </c>
      <c r="AN8" s="11">
        <v>30</v>
      </c>
    </row>
    <row r="9" spans="2:40" x14ac:dyDescent="0.35">
      <c r="B9" s="15" t="s">
        <v>166</v>
      </c>
      <c r="C9" s="14">
        <v>0.197609356082451</v>
      </c>
      <c r="D9" s="14">
        <v>0.25493719704511603</v>
      </c>
      <c r="E9" s="14">
        <v>0.142833959935698</v>
      </c>
      <c r="F9" s="14"/>
      <c r="G9" s="14" t="s">
        <v>76</v>
      </c>
      <c r="H9" s="14">
        <v>0.197609356082451</v>
      </c>
      <c r="I9" s="14" t="s">
        <v>76</v>
      </c>
      <c r="J9" s="14"/>
      <c r="K9" s="14">
        <v>0.197609356082451</v>
      </c>
      <c r="L9" s="14" t="s">
        <v>76</v>
      </c>
      <c r="M9" s="14" t="s">
        <v>76</v>
      </c>
      <c r="N9" s="14"/>
      <c r="O9" s="14">
        <v>0.16776618837655799</v>
      </c>
      <c r="P9" s="14">
        <v>0.38243628204269697</v>
      </c>
      <c r="Q9" s="14"/>
      <c r="R9" s="14">
        <v>0.27730966976439397</v>
      </c>
      <c r="S9" s="14">
        <v>0.128099298722222</v>
      </c>
      <c r="T9" s="14">
        <v>0.24192339413671701</v>
      </c>
      <c r="U9" s="14">
        <v>0.15319805614079901</v>
      </c>
      <c r="V9" s="14">
        <v>5.34754264556477E-2</v>
      </c>
      <c r="W9" s="14">
        <v>0.26101542007494799</v>
      </c>
      <c r="X9" s="14">
        <v>0.26006581116316702</v>
      </c>
      <c r="Y9" s="14">
        <v>0</v>
      </c>
      <c r="Z9" s="14">
        <v>0.225318286186346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0.26367518136189599</v>
      </c>
      <c r="AN9" s="14">
        <v>3.42841598059783E-2</v>
      </c>
    </row>
    <row r="10" spans="2:40" x14ac:dyDescent="0.35">
      <c r="B10" s="15" t="s">
        <v>167</v>
      </c>
      <c r="C10" s="14">
        <v>0.428437569413949</v>
      </c>
      <c r="D10" s="14">
        <v>0.39011210769305799</v>
      </c>
      <c r="E10" s="14">
        <v>0.46189398557878503</v>
      </c>
      <c r="F10" s="14"/>
      <c r="G10" s="14" t="s">
        <v>76</v>
      </c>
      <c r="H10" s="14">
        <v>0.428437569413949</v>
      </c>
      <c r="I10" s="14" t="s">
        <v>76</v>
      </c>
      <c r="J10" s="14"/>
      <c r="K10" s="14">
        <v>0.428437569413949</v>
      </c>
      <c r="L10" s="14" t="s">
        <v>76</v>
      </c>
      <c r="M10" s="14" t="s">
        <v>76</v>
      </c>
      <c r="N10" s="14"/>
      <c r="O10" s="14">
        <v>0.43838272845354298</v>
      </c>
      <c r="P10" s="14">
        <v>0.35366461208198002</v>
      </c>
      <c r="Q10" s="14"/>
      <c r="R10" s="14">
        <v>0.45944903347042898</v>
      </c>
      <c r="S10" s="14">
        <v>0.30151243140392298</v>
      </c>
      <c r="T10" s="14">
        <v>0.43339208416261299</v>
      </c>
      <c r="U10" s="14">
        <v>0.49873876101787601</v>
      </c>
      <c r="V10" s="14">
        <v>0.44831710750690301</v>
      </c>
      <c r="W10" s="14">
        <v>0.45788444520816102</v>
      </c>
      <c r="X10" s="14">
        <v>0.47325024156732298</v>
      </c>
      <c r="Y10" s="14">
        <v>0.61128371386479197</v>
      </c>
      <c r="Z10" s="14">
        <v>0.30938937569123798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0.48265867152958702</v>
      </c>
      <c r="AN10" s="14">
        <v>0.216778216551791</v>
      </c>
    </row>
    <row r="11" spans="2:40" x14ac:dyDescent="0.35">
      <c r="B11" s="15" t="s">
        <v>168</v>
      </c>
      <c r="C11" s="14">
        <v>0.27982444955140601</v>
      </c>
      <c r="D11" s="14">
        <v>0.26682691081405602</v>
      </c>
      <c r="E11" s="14">
        <v>0.29457955944735997</v>
      </c>
      <c r="F11" s="14"/>
      <c r="G11" s="14" t="s">
        <v>76</v>
      </c>
      <c r="H11" s="14">
        <v>0.27982444955140601</v>
      </c>
      <c r="I11" s="14" t="s">
        <v>76</v>
      </c>
      <c r="J11" s="14"/>
      <c r="K11" s="14">
        <v>0.27982444955140601</v>
      </c>
      <c r="L11" s="14" t="s">
        <v>76</v>
      </c>
      <c r="M11" s="14" t="s">
        <v>76</v>
      </c>
      <c r="N11" s="14"/>
      <c r="O11" s="14">
        <v>0.292879148953826</v>
      </c>
      <c r="P11" s="14">
        <v>0.195358839991463</v>
      </c>
      <c r="Q11" s="14"/>
      <c r="R11" s="14">
        <v>0.26324129676517699</v>
      </c>
      <c r="S11" s="14">
        <v>0.35218711133828601</v>
      </c>
      <c r="T11" s="14">
        <v>0.28462022948239302</v>
      </c>
      <c r="U11" s="14">
        <v>0.23521993380192799</v>
      </c>
      <c r="V11" s="14">
        <v>0.44180572966002701</v>
      </c>
      <c r="W11" s="14">
        <v>0.20306204310975401</v>
      </c>
      <c r="X11" s="14">
        <v>0.16506402056326699</v>
      </c>
      <c r="Y11" s="14">
        <v>0.30952816575537001</v>
      </c>
      <c r="Z11" s="14">
        <v>0.32700022928803602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0.22312711616773301</v>
      </c>
      <c r="AN11" s="14">
        <v>0.30305186116341498</v>
      </c>
    </row>
    <row r="12" spans="2:40" x14ac:dyDescent="0.35">
      <c r="B12" s="15" t="s">
        <v>169</v>
      </c>
      <c r="C12" s="14">
        <v>7.6519535270908101E-2</v>
      </c>
      <c r="D12" s="14">
        <v>5.2422158156506603E-2</v>
      </c>
      <c r="E12" s="14">
        <v>0.100692495038158</v>
      </c>
      <c r="F12" s="14"/>
      <c r="G12" s="14" t="s">
        <v>76</v>
      </c>
      <c r="H12" s="14">
        <v>7.6519535270908101E-2</v>
      </c>
      <c r="I12" s="14" t="s">
        <v>76</v>
      </c>
      <c r="J12" s="14"/>
      <c r="K12" s="14">
        <v>7.6519535270908101E-2</v>
      </c>
      <c r="L12" s="14" t="s">
        <v>76</v>
      </c>
      <c r="M12" s="14" t="s">
        <v>76</v>
      </c>
      <c r="N12" s="14"/>
      <c r="O12" s="14">
        <v>7.9980751587388599E-2</v>
      </c>
      <c r="P12" s="14">
        <v>6.8540265883860294E-2</v>
      </c>
      <c r="Q12" s="14"/>
      <c r="R12" s="14">
        <v>0</v>
      </c>
      <c r="S12" s="14">
        <v>0.189240380977339</v>
      </c>
      <c r="T12" s="14">
        <v>0</v>
      </c>
      <c r="U12" s="14">
        <v>3.8802829656456601E-2</v>
      </c>
      <c r="V12" s="14">
        <v>5.6401736377422497E-2</v>
      </c>
      <c r="W12" s="14">
        <v>7.8038091607137497E-2</v>
      </c>
      <c r="X12" s="14">
        <v>0.10161992670624299</v>
      </c>
      <c r="Y12" s="14">
        <v>7.9188120379837607E-2</v>
      </c>
      <c r="Z12" s="14">
        <v>0.13829210883438001</v>
      </c>
      <c r="AA12" s="14"/>
      <c r="AB12" s="14" t="s">
        <v>76</v>
      </c>
      <c r="AC12" s="14" t="s">
        <v>76</v>
      </c>
      <c r="AD12" s="14" t="s">
        <v>76</v>
      </c>
      <c r="AE12" s="14" t="s">
        <v>76</v>
      </c>
      <c r="AF12" s="14"/>
      <c r="AG12" s="14" t="s">
        <v>76</v>
      </c>
      <c r="AH12" s="14" t="s">
        <v>76</v>
      </c>
      <c r="AI12" s="14"/>
      <c r="AJ12" s="14" t="s">
        <v>76</v>
      </c>
      <c r="AK12" s="14" t="s">
        <v>76</v>
      </c>
      <c r="AL12" s="14"/>
      <c r="AM12" s="14">
        <v>1.74004684403101E-2</v>
      </c>
      <c r="AN12" s="14">
        <v>0.41297287426860502</v>
      </c>
    </row>
    <row r="13" spans="2:40" x14ac:dyDescent="0.35">
      <c r="B13" s="15" t="s">
        <v>70</v>
      </c>
      <c r="C13" s="20">
        <v>1.76090896812863E-2</v>
      </c>
      <c r="D13" s="20">
        <v>3.5701626291263201E-2</v>
      </c>
      <c r="E13" s="20">
        <v>0</v>
      </c>
      <c r="F13" s="20"/>
      <c r="G13" s="20" t="s">
        <v>76</v>
      </c>
      <c r="H13" s="20">
        <v>1.76090896812863E-2</v>
      </c>
      <c r="I13" s="20" t="s">
        <v>76</v>
      </c>
      <c r="J13" s="20"/>
      <c r="K13" s="20">
        <v>1.76090896812863E-2</v>
      </c>
      <c r="L13" s="20" t="s">
        <v>76</v>
      </c>
      <c r="M13" s="20" t="s">
        <v>76</v>
      </c>
      <c r="N13" s="20"/>
      <c r="O13" s="20">
        <v>2.09911826286843E-2</v>
      </c>
      <c r="P13" s="20">
        <v>0</v>
      </c>
      <c r="Q13" s="20"/>
      <c r="R13" s="20">
        <v>0</v>
      </c>
      <c r="S13" s="20">
        <v>2.89607775582305E-2</v>
      </c>
      <c r="T13" s="20">
        <v>4.00642922182766E-2</v>
      </c>
      <c r="U13" s="20">
        <v>7.4040419382940703E-2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/>
      <c r="AB13" s="20" t="s">
        <v>76</v>
      </c>
      <c r="AC13" s="20" t="s">
        <v>76</v>
      </c>
      <c r="AD13" s="20" t="s">
        <v>76</v>
      </c>
      <c r="AE13" s="20" t="s">
        <v>76</v>
      </c>
      <c r="AF13" s="20"/>
      <c r="AG13" s="20" t="s">
        <v>76</v>
      </c>
      <c r="AH13" s="20" t="s">
        <v>76</v>
      </c>
      <c r="AI13" s="20"/>
      <c r="AJ13" s="20" t="s">
        <v>76</v>
      </c>
      <c r="AK13" s="20" t="s">
        <v>76</v>
      </c>
      <c r="AL13" s="20"/>
      <c r="AM13" s="20">
        <v>1.3138562500473299E-2</v>
      </c>
      <c r="AN13" s="20">
        <v>3.2912888210211197E-2</v>
      </c>
    </row>
    <row r="14" spans="2:40" x14ac:dyDescent="0.35">
      <c r="B14" s="32" t="s">
        <v>249</v>
      </c>
    </row>
    <row r="15" spans="2:40" x14ac:dyDescent="0.35">
      <c r="B15" t="s">
        <v>72</v>
      </c>
    </row>
    <row r="16" spans="2:40" x14ac:dyDescent="0.35">
      <c r="B16" t="s">
        <v>73</v>
      </c>
    </row>
    <row r="18" spans="2:2" x14ac:dyDescent="0.35">
      <c r="B18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B2:AN16"/>
  <sheetViews>
    <sheetView showGridLines="0" workbookViewId="0">
      <pane xSplit="2" topLeftCell="C1" activePane="topRight" state="frozen"/>
      <selection pane="topRight" activeCell="B12" sqref="B12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237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1216</v>
      </c>
      <c r="D7" s="10">
        <v>613</v>
      </c>
      <c r="E7" s="10">
        <v>598</v>
      </c>
      <c r="F7" s="10"/>
      <c r="G7" s="10" t="s">
        <v>75</v>
      </c>
      <c r="H7" s="10" t="s">
        <v>75</v>
      </c>
      <c r="I7" s="10">
        <v>1216</v>
      </c>
      <c r="J7" s="10"/>
      <c r="K7" s="10" t="s">
        <v>75</v>
      </c>
      <c r="L7" s="10">
        <v>924</v>
      </c>
      <c r="M7" s="10">
        <v>292</v>
      </c>
      <c r="N7" s="10"/>
      <c r="O7" s="10">
        <v>1020</v>
      </c>
      <c r="P7" s="10">
        <v>166</v>
      </c>
      <c r="Q7" s="10"/>
      <c r="R7" s="10">
        <v>177</v>
      </c>
      <c r="S7" s="10">
        <v>216</v>
      </c>
      <c r="T7" s="10">
        <v>97</v>
      </c>
      <c r="U7" s="10">
        <v>116</v>
      </c>
      <c r="V7" s="10">
        <v>104</v>
      </c>
      <c r="W7" s="10">
        <v>152</v>
      </c>
      <c r="X7" s="10">
        <v>76</v>
      </c>
      <c r="Y7" s="10">
        <v>70</v>
      </c>
      <c r="Z7" s="10">
        <v>208</v>
      </c>
      <c r="AA7" s="10"/>
      <c r="AB7" s="10">
        <v>152</v>
      </c>
      <c r="AC7" s="10">
        <v>147</v>
      </c>
      <c r="AD7" s="10">
        <v>152</v>
      </c>
      <c r="AE7" s="10">
        <v>106</v>
      </c>
      <c r="AF7" s="10"/>
      <c r="AG7" s="10">
        <v>95</v>
      </c>
      <c r="AH7" s="10">
        <v>46</v>
      </c>
      <c r="AI7" s="10"/>
      <c r="AJ7" s="10">
        <v>141</v>
      </c>
      <c r="AK7" s="10">
        <v>131</v>
      </c>
      <c r="AL7" s="10"/>
      <c r="AM7" s="10">
        <v>626</v>
      </c>
      <c r="AN7" s="10">
        <v>310</v>
      </c>
    </row>
    <row r="8" spans="2:40" ht="30" customHeight="1" x14ac:dyDescent="0.35">
      <c r="B8" s="11" t="s">
        <v>20</v>
      </c>
      <c r="C8" s="11">
        <v>1136</v>
      </c>
      <c r="D8" s="11">
        <v>540</v>
      </c>
      <c r="E8" s="11">
        <v>591</v>
      </c>
      <c r="F8" s="11"/>
      <c r="G8" s="11" t="s">
        <v>75</v>
      </c>
      <c r="H8" s="11" t="s">
        <v>75</v>
      </c>
      <c r="I8" s="11">
        <v>1136</v>
      </c>
      <c r="J8" s="11"/>
      <c r="K8" s="11" t="s">
        <v>75</v>
      </c>
      <c r="L8" s="11">
        <v>745</v>
      </c>
      <c r="M8" s="11">
        <v>391</v>
      </c>
      <c r="N8" s="11"/>
      <c r="O8" s="11">
        <v>946</v>
      </c>
      <c r="P8" s="11">
        <v>161</v>
      </c>
      <c r="Q8" s="11"/>
      <c r="R8" s="11">
        <v>183</v>
      </c>
      <c r="S8" s="11">
        <v>192</v>
      </c>
      <c r="T8" s="11">
        <v>104</v>
      </c>
      <c r="U8" s="11">
        <v>121</v>
      </c>
      <c r="V8" s="11">
        <v>99</v>
      </c>
      <c r="W8" s="11">
        <v>112</v>
      </c>
      <c r="X8" s="11">
        <v>107</v>
      </c>
      <c r="Y8" s="11">
        <v>62</v>
      </c>
      <c r="Z8" s="11">
        <v>157</v>
      </c>
      <c r="AA8" s="11"/>
      <c r="AB8" s="11">
        <v>117</v>
      </c>
      <c r="AC8" s="11">
        <v>117</v>
      </c>
      <c r="AD8" s="11">
        <v>211</v>
      </c>
      <c r="AE8" s="11">
        <v>141</v>
      </c>
      <c r="AF8" s="11"/>
      <c r="AG8" s="11">
        <v>117</v>
      </c>
      <c r="AH8" s="11">
        <v>63</v>
      </c>
      <c r="AI8" s="11"/>
      <c r="AJ8" s="11">
        <v>180</v>
      </c>
      <c r="AK8" s="11">
        <v>185</v>
      </c>
      <c r="AL8" s="11"/>
      <c r="AM8" s="11">
        <v>567</v>
      </c>
      <c r="AN8" s="11">
        <v>311</v>
      </c>
    </row>
    <row r="9" spans="2:40" x14ac:dyDescent="0.35">
      <c r="B9" s="15" t="s">
        <v>44</v>
      </c>
      <c r="C9" s="14">
        <v>0.931551182658234</v>
      </c>
      <c r="D9" s="14">
        <v>0.92073233474943705</v>
      </c>
      <c r="E9" s="14">
        <v>0.94234537584052303</v>
      </c>
      <c r="F9" s="14"/>
      <c r="G9" s="14" t="s">
        <v>76</v>
      </c>
      <c r="H9" s="14" t="s">
        <v>76</v>
      </c>
      <c r="I9" s="14">
        <v>0.931551182658234</v>
      </c>
      <c r="J9" s="14"/>
      <c r="K9" s="14" t="s">
        <v>76</v>
      </c>
      <c r="L9" s="14">
        <v>0.92689071519558097</v>
      </c>
      <c r="M9" s="14">
        <v>0.94041415848658905</v>
      </c>
      <c r="N9" s="14"/>
      <c r="O9" s="14">
        <v>0.93733693490440295</v>
      </c>
      <c r="P9" s="14">
        <v>0.92561304414561296</v>
      </c>
      <c r="Q9" s="14"/>
      <c r="R9" s="14">
        <v>0.94369266797398399</v>
      </c>
      <c r="S9" s="14">
        <v>0.93027654388539904</v>
      </c>
      <c r="T9" s="14">
        <v>0.95579087229398296</v>
      </c>
      <c r="U9" s="14">
        <v>0.92604725241613395</v>
      </c>
      <c r="V9" s="14">
        <v>0.92379574800126196</v>
      </c>
      <c r="W9" s="14">
        <v>0.898232089460553</v>
      </c>
      <c r="X9" s="14">
        <v>0.96764623498305302</v>
      </c>
      <c r="Y9" s="14">
        <v>0.96120445226158402</v>
      </c>
      <c r="Z9" s="14">
        <v>0.89952208349685003</v>
      </c>
      <c r="AA9" s="14"/>
      <c r="AB9" s="14">
        <v>0.92392220332758201</v>
      </c>
      <c r="AC9" s="14">
        <v>0.92461949006652899</v>
      </c>
      <c r="AD9" s="14">
        <v>0.96060296470433704</v>
      </c>
      <c r="AE9" s="14">
        <v>0.96143465421470597</v>
      </c>
      <c r="AF9" s="14"/>
      <c r="AG9" s="14">
        <v>0.92511085627219602</v>
      </c>
      <c r="AH9" s="14">
        <v>0.95208567361899499</v>
      </c>
      <c r="AI9" s="14"/>
      <c r="AJ9" s="14">
        <v>0.93453855321622403</v>
      </c>
      <c r="AK9" s="14">
        <v>0.967953671225393</v>
      </c>
      <c r="AL9" s="14"/>
      <c r="AM9" s="14">
        <v>0.92957217784217505</v>
      </c>
      <c r="AN9" s="14">
        <v>0.94883812010965796</v>
      </c>
    </row>
    <row r="10" spans="2:40" x14ac:dyDescent="0.35">
      <c r="B10" s="15" t="s">
        <v>45</v>
      </c>
      <c r="C10" s="14">
        <v>5.958341828719E-2</v>
      </c>
      <c r="D10" s="14">
        <v>7.1025993528718606E-2</v>
      </c>
      <c r="E10" s="14">
        <v>4.8144815045026101E-2</v>
      </c>
      <c r="F10" s="14"/>
      <c r="G10" s="14" t="s">
        <v>76</v>
      </c>
      <c r="H10" s="14" t="s">
        <v>76</v>
      </c>
      <c r="I10" s="14">
        <v>5.958341828719E-2</v>
      </c>
      <c r="J10" s="14"/>
      <c r="K10" s="14" t="s">
        <v>76</v>
      </c>
      <c r="L10" s="14">
        <v>6.3980739582141996E-2</v>
      </c>
      <c r="M10" s="14">
        <v>5.1220876834215202E-2</v>
      </c>
      <c r="N10" s="14"/>
      <c r="O10" s="14">
        <v>5.4409926478070303E-2</v>
      </c>
      <c r="P10" s="14">
        <v>6.03521688773061E-2</v>
      </c>
      <c r="Q10" s="14"/>
      <c r="R10" s="14">
        <v>3.9672191173150399E-2</v>
      </c>
      <c r="S10" s="14">
        <v>6.5568079748871105E-2</v>
      </c>
      <c r="T10" s="14">
        <v>4.42091277060166E-2</v>
      </c>
      <c r="U10" s="14">
        <v>6.68260298096678E-2</v>
      </c>
      <c r="V10" s="14">
        <v>6.84049350393168E-2</v>
      </c>
      <c r="W10" s="14">
        <v>7.9574221419730404E-2</v>
      </c>
      <c r="X10" s="14">
        <v>3.2353765016947401E-2</v>
      </c>
      <c r="Y10" s="14">
        <v>3.8795547738416203E-2</v>
      </c>
      <c r="Z10" s="14">
        <v>8.7015722326856795E-2</v>
      </c>
      <c r="AA10" s="14"/>
      <c r="AB10" s="14">
        <v>7.6077796672417999E-2</v>
      </c>
      <c r="AC10" s="14">
        <v>7.0064551739086295E-2</v>
      </c>
      <c r="AD10" s="14">
        <v>3.3492257418406099E-2</v>
      </c>
      <c r="AE10" s="14">
        <v>3.8565345785294101E-2</v>
      </c>
      <c r="AF10" s="14"/>
      <c r="AG10" s="14">
        <v>6.9560775799552596E-2</v>
      </c>
      <c r="AH10" s="14">
        <v>4.7914326381004901E-2</v>
      </c>
      <c r="AI10" s="14"/>
      <c r="AJ10" s="14">
        <v>6.1995343106955501E-2</v>
      </c>
      <c r="AK10" s="14">
        <v>2.8671770459615002E-2</v>
      </c>
      <c r="AL10" s="14"/>
      <c r="AM10" s="14">
        <v>6.6253009801936796E-2</v>
      </c>
      <c r="AN10" s="14">
        <v>4.00103091117823E-2</v>
      </c>
    </row>
    <row r="11" spans="2:40" x14ac:dyDescent="0.35">
      <c r="B11" s="15" t="s">
        <v>70</v>
      </c>
      <c r="C11" s="20">
        <v>8.8653990545765095E-3</v>
      </c>
      <c r="D11" s="20">
        <v>8.2416717218443299E-3</v>
      </c>
      <c r="E11" s="20">
        <v>9.5098091144511007E-3</v>
      </c>
      <c r="F11" s="20"/>
      <c r="G11" s="20" t="s">
        <v>76</v>
      </c>
      <c r="H11" s="20" t="s">
        <v>76</v>
      </c>
      <c r="I11" s="20">
        <v>8.8653990545765095E-3</v>
      </c>
      <c r="J11" s="20"/>
      <c r="K11" s="20" t="s">
        <v>76</v>
      </c>
      <c r="L11" s="20">
        <v>9.1285452222769192E-3</v>
      </c>
      <c r="M11" s="20">
        <v>8.3649646791961307E-3</v>
      </c>
      <c r="N11" s="20"/>
      <c r="O11" s="20">
        <v>8.2531386175263306E-3</v>
      </c>
      <c r="P11" s="20">
        <v>1.40347869770813E-2</v>
      </c>
      <c r="Q11" s="20"/>
      <c r="R11" s="20">
        <v>1.6635140852866E-2</v>
      </c>
      <c r="S11" s="20">
        <v>4.1553763657293701E-3</v>
      </c>
      <c r="T11" s="20">
        <v>0</v>
      </c>
      <c r="U11" s="20">
        <v>7.1267177741984001E-3</v>
      </c>
      <c r="V11" s="20">
        <v>7.7993169594209001E-3</v>
      </c>
      <c r="W11" s="20">
        <v>2.2193689119716802E-2</v>
      </c>
      <c r="X11" s="20">
        <v>0</v>
      </c>
      <c r="Y11" s="20">
        <v>0</v>
      </c>
      <c r="Z11" s="20">
        <v>1.3462194176293499E-2</v>
      </c>
      <c r="AA11" s="20"/>
      <c r="AB11" s="20">
        <v>0</v>
      </c>
      <c r="AC11" s="20">
        <v>5.3159581943851304E-3</v>
      </c>
      <c r="AD11" s="20">
        <v>5.9047778772568704E-3</v>
      </c>
      <c r="AE11" s="20">
        <v>0</v>
      </c>
      <c r="AF11" s="20"/>
      <c r="AG11" s="20">
        <v>5.3283679282518396E-3</v>
      </c>
      <c r="AH11" s="20">
        <v>0</v>
      </c>
      <c r="AI11" s="20"/>
      <c r="AJ11" s="20">
        <v>3.4661036768203102E-3</v>
      </c>
      <c r="AK11" s="20">
        <v>3.37455831499202E-3</v>
      </c>
      <c r="AL11" s="20"/>
      <c r="AM11" s="20">
        <v>4.1748123558877203E-3</v>
      </c>
      <c r="AN11" s="20">
        <v>1.11515707785602E-2</v>
      </c>
    </row>
    <row r="12" spans="2:40" x14ac:dyDescent="0.35">
      <c r="B12" s="27" t="s">
        <v>390</v>
      </c>
    </row>
    <row r="13" spans="2:40" x14ac:dyDescent="0.35">
      <c r="B13" t="s">
        <v>72</v>
      </c>
    </row>
    <row r="14" spans="2:40" x14ac:dyDescent="0.35">
      <c r="B14" t="s">
        <v>73</v>
      </c>
    </row>
    <row r="16" spans="2:40" x14ac:dyDescent="0.35">
      <c r="B16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B2:AN18"/>
  <sheetViews>
    <sheetView showGridLines="0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238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1127</v>
      </c>
      <c r="D7" s="10">
        <v>565</v>
      </c>
      <c r="E7" s="10">
        <v>558</v>
      </c>
      <c r="F7" s="10"/>
      <c r="G7" s="10" t="s">
        <v>75</v>
      </c>
      <c r="H7" s="10" t="s">
        <v>75</v>
      </c>
      <c r="I7" s="10">
        <v>1127</v>
      </c>
      <c r="J7" s="10"/>
      <c r="K7" s="10" t="s">
        <v>75</v>
      </c>
      <c r="L7" s="10">
        <v>855</v>
      </c>
      <c r="M7" s="10">
        <v>272</v>
      </c>
      <c r="N7" s="10"/>
      <c r="O7" s="10">
        <v>950</v>
      </c>
      <c r="P7" s="10">
        <v>154</v>
      </c>
      <c r="Q7" s="10"/>
      <c r="R7" s="10">
        <v>167</v>
      </c>
      <c r="S7" s="10">
        <v>201</v>
      </c>
      <c r="T7" s="10">
        <v>93</v>
      </c>
      <c r="U7" s="10">
        <v>106</v>
      </c>
      <c r="V7" s="10">
        <v>95</v>
      </c>
      <c r="W7" s="10">
        <v>136</v>
      </c>
      <c r="X7" s="10">
        <v>73</v>
      </c>
      <c r="Y7" s="10">
        <v>67</v>
      </c>
      <c r="Z7" s="10">
        <v>189</v>
      </c>
      <c r="AA7" s="10"/>
      <c r="AB7" s="10">
        <v>141</v>
      </c>
      <c r="AC7" s="10">
        <v>136</v>
      </c>
      <c r="AD7" s="10">
        <v>144</v>
      </c>
      <c r="AE7" s="10">
        <v>102</v>
      </c>
      <c r="AF7" s="10"/>
      <c r="AG7" s="10">
        <v>88</v>
      </c>
      <c r="AH7" s="10">
        <v>43</v>
      </c>
      <c r="AI7" s="10"/>
      <c r="AJ7" s="10">
        <v>131</v>
      </c>
      <c r="AK7" s="10">
        <v>126</v>
      </c>
      <c r="AL7" s="10"/>
      <c r="AM7" s="10">
        <v>580</v>
      </c>
      <c r="AN7" s="10">
        <v>294</v>
      </c>
    </row>
    <row r="8" spans="2:40" ht="30" customHeight="1" x14ac:dyDescent="0.35">
      <c r="B8" s="11" t="s">
        <v>20</v>
      </c>
      <c r="C8" s="11">
        <v>1058</v>
      </c>
      <c r="D8" s="11">
        <v>498</v>
      </c>
      <c r="E8" s="11">
        <v>557</v>
      </c>
      <c r="F8" s="11"/>
      <c r="G8" s="11" t="s">
        <v>75</v>
      </c>
      <c r="H8" s="11" t="s">
        <v>75</v>
      </c>
      <c r="I8" s="11">
        <v>1058</v>
      </c>
      <c r="J8" s="11"/>
      <c r="K8" s="11" t="s">
        <v>75</v>
      </c>
      <c r="L8" s="11">
        <v>690</v>
      </c>
      <c r="M8" s="11">
        <v>368</v>
      </c>
      <c r="N8" s="11"/>
      <c r="O8" s="11">
        <v>887</v>
      </c>
      <c r="P8" s="11">
        <v>149</v>
      </c>
      <c r="Q8" s="11"/>
      <c r="R8" s="11">
        <v>173</v>
      </c>
      <c r="S8" s="11">
        <v>179</v>
      </c>
      <c r="T8" s="11">
        <v>99</v>
      </c>
      <c r="U8" s="11">
        <v>112</v>
      </c>
      <c r="V8" s="11">
        <v>91</v>
      </c>
      <c r="W8" s="11">
        <v>101</v>
      </c>
      <c r="X8" s="11">
        <v>103</v>
      </c>
      <c r="Y8" s="11">
        <v>60</v>
      </c>
      <c r="Z8" s="11">
        <v>141</v>
      </c>
      <c r="AA8" s="11"/>
      <c r="AB8" s="11">
        <v>108</v>
      </c>
      <c r="AC8" s="11">
        <v>108</v>
      </c>
      <c r="AD8" s="11">
        <v>203</v>
      </c>
      <c r="AE8" s="11">
        <v>135</v>
      </c>
      <c r="AF8" s="11"/>
      <c r="AG8" s="11">
        <v>108</v>
      </c>
      <c r="AH8" s="11">
        <v>60</v>
      </c>
      <c r="AI8" s="11"/>
      <c r="AJ8" s="11">
        <v>168</v>
      </c>
      <c r="AK8" s="11">
        <v>179</v>
      </c>
      <c r="AL8" s="11"/>
      <c r="AM8" s="11">
        <v>527</v>
      </c>
      <c r="AN8" s="11">
        <v>295</v>
      </c>
    </row>
    <row r="9" spans="2:40" x14ac:dyDescent="0.35">
      <c r="B9" s="15" t="s">
        <v>155</v>
      </c>
      <c r="C9" s="14">
        <v>0.46698143973043199</v>
      </c>
      <c r="D9" s="14">
        <v>0.47776600459179702</v>
      </c>
      <c r="E9" s="14">
        <v>0.45928049349040401</v>
      </c>
      <c r="F9" s="14"/>
      <c r="G9" s="14" t="s">
        <v>76</v>
      </c>
      <c r="H9" s="14" t="s">
        <v>76</v>
      </c>
      <c r="I9" s="14">
        <v>0.46698143973043199</v>
      </c>
      <c r="J9" s="14"/>
      <c r="K9" s="14" t="s">
        <v>76</v>
      </c>
      <c r="L9" s="14">
        <v>0.462840502546358</v>
      </c>
      <c r="M9" s="14">
        <v>0.47474316202012701</v>
      </c>
      <c r="N9" s="14"/>
      <c r="O9" s="14">
        <v>0.45487142162506</v>
      </c>
      <c r="P9" s="14">
        <v>0.52835759799189996</v>
      </c>
      <c r="Q9" s="14"/>
      <c r="R9" s="14">
        <v>0.45683153574063201</v>
      </c>
      <c r="S9" s="14">
        <v>0.49353205579408299</v>
      </c>
      <c r="T9" s="14">
        <v>0.50521872313412097</v>
      </c>
      <c r="U9" s="14">
        <v>0.35750017573741699</v>
      </c>
      <c r="V9" s="14">
        <v>0.43586211321952301</v>
      </c>
      <c r="W9" s="14">
        <v>0.50734381634725201</v>
      </c>
      <c r="X9" s="14">
        <v>0.49304995340456897</v>
      </c>
      <c r="Y9" s="14">
        <v>0.40494870912497899</v>
      </c>
      <c r="Z9" s="14">
        <v>0.50406483971549698</v>
      </c>
      <c r="AA9" s="14"/>
      <c r="AB9" s="14">
        <v>0.424325848483946</v>
      </c>
      <c r="AC9" s="14">
        <v>0.50551536681568998</v>
      </c>
      <c r="AD9" s="14">
        <v>0.44011460112045497</v>
      </c>
      <c r="AE9" s="14">
        <v>0.51485106637633804</v>
      </c>
      <c r="AF9" s="14"/>
      <c r="AG9" s="14">
        <v>0.55574399981476896</v>
      </c>
      <c r="AH9" s="14">
        <v>0.45063705683551603</v>
      </c>
      <c r="AI9" s="14"/>
      <c r="AJ9" s="14">
        <v>0.518319387197821</v>
      </c>
      <c r="AK9" s="14">
        <v>0.42085153770457501</v>
      </c>
      <c r="AL9" s="14"/>
      <c r="AM9" s="14">
        <v>0.52620931002613403</v>
      </c>
      <c r="AN9" s="14">
        <v>0.41779733175290701</v>
      </c>
    </row>
    <row r="10" spans="2:40" x14ac:dyDescent="0.35">
      <c r="B10" s="15" t="s">
        <v>156</v>
      </c>
      <c r="C10" s="14">
        <v>0.46107332927579497</v>
      </c>
      <c r="D10" s="14">
        <v>0.46125441942242001</v>
      </c>
      <c r="E10" s="14">
        <v>0.458448722857624</v>
      </c>
      <c r="F10" s="14"/>
      <c r="G10" s="14" t="s">
        <v>76</v>
      </c>
      <c r="H10" s="14" t="s">
        <v>76</v>
      </c>
      <c r="I10" s="14">
        <v>0.46107332927579497</v>
      </c>
      <c r="J10" s="14"/>
      <c r="K10" s="14" t="s">
        <v>76</v>
      </c>
      <c r="L10" s="14">
        <v>0.46993859734559301</v>
      </c>
      <c r="M10" s="14">
        <v>0.44445637863811599</v>
      </c>
      <c r="N10" s="14"/>
      <c r="O10" s="14">
        <v>0.472438110892897</v>
      </c>
      <c r="P10" s="14">
        <v>0.39813256812384701</v>
      </c>
      <c r="Q10" s="14"/>
      <c r="R10" s="14">
        <v>0.454570857136472</v>
      </c>
      <c r="S10" s="14">
        <v>0.42662331327186498</v>
      </c>
      <c r="T10" s="14">
        <v>0.45773574642245501</v>
      </c>
      <c r="U10" s="14">
        <v>0.54614658703950902</v>
      </c>
      <c r="V10" s="14">
        <v>0.49814727487201099</v>
      </c>
      <c r="W10" s="14">
        <v>0.43933366388331302</v>
      </c>
      <c r="X10" s="14">
        <v>0.44777008715788003</v>
      </c>
      <c r="Y10" s="14">
        <v>0.52674640803797002</v>
      </c>
      <c r="Z10" s="14">
        <v>0.42109609311680002</v>
      </c>
      <c r="AA10" s="14"/>
      <c r="AB10" s="14">
        <v>0.50881103508610304</v>
      </c>
      <c r="AC10" s="14">
        <v>0.44279877950596302</v>
      </c>
      <c r="AD10" s="14">
        <v>0.47901633350755402</v>
      </c>
      <c r="AE10" s="14">
        <v>0.420367146738094</v>
      </c>
      <c r="AF10" s="14"/>
      <c r="AG10" s="14">
        <v>0.37346426216043399</v>
      </c>
      <c r="AH10" s="14">
        <v>0.51471400449376903</v>
      </c>
      <c r="AI10" s="14"/>
      <c r="AJ10" s="14">
        <v>0.42375796055210202</v>
      </c>
      <c r="AK10" s="14">
        <v>0.479444953841421</v>
      </c>
      <c r="AL10" s="14"/>
      <c r="AM10" s="14">
        <v>0.42999895095125701</v>
      </c>
      <c r="AN10" s="14">
        <v>0.480125174170973</v>
      </c>
    </row>
    <row r="11" spans="2:40" x14ac:dyDescent="0.35">
      <c r="B11" s="15" t="s">
        <v>157</v>
      </c>
      <c r="C11" s="14">
        <v>5.55970848985455E-2</v>
      </c>
      <c r="D11" s="14">
        <v>5.0985977181564598E-2</v>
      </c>
      <c r="E11" s="14">
        <v>6.0123414558580203E-2</v>
      </c>
      <c r="F11" s="14"/>
      <c r="G11" s="14" t="s">
        <v>76</v>
      </c>
      <c r="H11" s="14" t="s">
        <v>76</v>
      </c>
      <c r="I11" s="14">
        <v>5.55970848985455E-2</v>
      </c>
      <c r="J11" s="14"/>
      <c r="K11" s="14" t="s">
        <v>76</v>
      </c>
      <c r="L11" s="14">
        <v>5.13993940112175E-2</v>
      </c>
      <c r="M11" s="14">
        <v>6.3465185639299898E-2</v>
      </c>
      <c r="N11" s="14"/>
      <c r="O11" s="14">
        <v>5.45797447099831E-2</v>
      </c>
      <c r="P11" s="14">
        <v>6.5207089523342698E-2</v>
      </c>
      <c r="Q11" s="14"/>
      <c r="R11" s="14">
        <v>8.3022101432530096E-2</v>
      </c>
      <c r="S11" s="14">
        <v>5.3175856247961298E-2</v>
      </c>
      <c r="T11" s="14">
        <v>2.7501744558145299E-2</v>
      </c>
      <c r="U11" s="14">
        <v>8.8236253981353499E-2</v>
      </c>
      <c r="V11" s="14">
        <v>6.5990611908465197E-2</v>
      </c>
      <c r="W11" s="14">
        <v>1.96977545241728E-2</v>
      </c>
      <c r="X11" s="14">
        <v>4.8301705400330998E-2</v>
      </c>
      <c r="Y11" s="14">
        <v>3.7841424660467998E-2</v>
      </c>
      <c r="Z11" s="14">
        <v>5.0852539116298702E-2</v>
      </c>
      <c r="AA11" s="14"/>
      <c r="AB11" s="14">
        <v>6.0858771235477803E-2</v>
      </c>
      <c r="AC11" s="14">
        <v>4.6234801996190698E-2</v>
      </c>
      <c r="AD11" s="14">
        <v>6.1621375629034802E-2</v>
      </c>
      <c r="AE11" s="14">
        <v>4.6471402386572998E-2</v>
      </c>
      <c r="AF11" s="14"/>
      <c r="AG11" s="14">
        <v>6.4782077297773494E-2</v>
      </c>
      <c r="AH11" s="14">
        <v>3.4648938670714703E-2</v>
      </c>
      <c r="AI11" s="14"/>
      <c r="AJ11" s="14">
        <v>5.4052804729423101E-2</v>
      </c>
      <c r="AK11" s="14">
        <v>6.7679407138871203E-2</v>
      </c>
      <c r="AL11" s="14"/>
      <c r="AM11" s="14">
        <v>3.5690646729602003E-2</v>
      </c>
      <c r="AN11" s="14">
        <v>8.2300006719874697E-2</v>
      </c>
    </row>
    <row r="12" spans="2:40" x14ac:dyDescent="0.35">
      <c r="B12" s="15" t="s">
        <v>158</v>
      </c>
      <c r="C12" s="14">
        <v>9.5405995733449794E-3</v>
      </c>
      <c r="D12" s="14">
        <v>9.9935988042183493E-3</v>
      </c>
      <c r="E12" s="14">
        <v>9.20507924019664E-3</v>
      </c>
      <c r="F12" s="14"/>
      <c r="G12" s="14" t="s">
        <v>76</v>
      </c>
      <c r="H12" s="14" t="s">
        <v>76</v>
      </c>
      <c r="I12" s="14">
        <v>9.5405995733449794E-3</v>
      </c>
      <c r="J12" s="14"/>
      <c r="K12" s="14" t="s">
        <v>76</v>
      </c>
      <c r="L12" s="14">
        <v>1.01666233410192E-2</v>
      </c>
      <c r="M12" s="14">
        <v>8.3671882378326106E-3</v>
      </c>
      <c r="N12" s="14"/>
      <c r="O12" s="14">
        <v>9.9874963608264106E-3</v>
      </c>
      <c r="P12" s="14">
        <v>8.3027443609112305E-3</v>
      </c>
      <c r="Q12" s="14"/>
      <c r="R12" s="14">
        <v>5.5755056903658102E-3</v>
      </c>
      <c r="S12" s="14">
        <v>1.8313142497987302E-2</v>
      </c>
      <c r="T12" s="14">
        <v>0</v>
      </c>
      <c r="U12" s="14">
        <v>8.1169832417206794E-3</v>
      </c>
      <c r="V12" s="14">
        <v>0</v>
      </c>
      <c r="W12" s="14">
        <v>1.8971115247020401E-2</v>
      </c>
      <c r="X12" s="14">
        <v>1.0878254037219299E-2</v>
      </c>
      <c r="Y12" s="14">
        <v>0</v>
      </c>
      <c r="Z12" s="14">
        <v>1.36080738437285E-2</v>
      </c>
      <c r="AA12" s="14"/>
      <c r="AB12" s="14">
        <v>6.0043451944725998E-3</v>
      </c>
      <c r="AC12" s="14">
        <v>5.4510516821562501E-3</v>
      </c>
      <c r="AD12" s="14">
        <v>1.19677671932203E-2</v>
      </c>
      <c r="AE12" s="14">
        <v>4.8164327027540796E-3</v>
      </c>
      <c r="AF12" s="14"/>
      <c r="AG12" s="14">
        <v>6.0096607270231604E-3</v>
      </c>
      <c r="AH12" s="14">
        <v>0</v>
      </c>
      <c r="AI12" s="14"/>
      <c r="AJ12" s="14">
        <v>3.8698475206536899E-3</v>
      </c>
      <c r="AK12" s="14">
        <v>1.35751882454095E-2</v>
      </c>
      <c r="AL12" s="14"/>
      <c r="AM12" s="14">
        <v>6.7122555127499704E-3</v>
      </c>
      <c r="AN12" s="14">
        <v>1.72435729106694E-2</v>
      </c>
    </row>
    <row r="13" spans="2:40" x14ac:dyDescent="0.35">
      <c r="B13" s="15" t="s">
        <v>70</v>
      </c>
      <c r="C13" s="20">
        <v>6.8075465218829503E-3</v>
      </c>
      <c r="D13" s="20">
        <v>0</v>
      </c>
      <c r="E13" s="20">
        <v>1.2942289853195401E-2</v>
      </c>
      <c r="F13" s="20"/>
      <c r="G13" s="20" t="s">
        <v>76</v>
      </c>
      <c r="H13" s="20" t="s">
        <v>76</v>
      </c>
      <c r="I13" s="20">
        <v>6.8075465218829503E-3</v>
      </c>
      <c r="J13" s="20"/>
      <c r="K13" s="20" t="s">
        <v>76</v>
      </c>
      <c r="L13" s="20">
        <v>5.6548827558123701E-3</v>
      </c>
      <c r="M13" s="20">
        <v>8.9680854646238609E-3</v>
      </c>
      <c r="N13" s="20"/>
      <c r="O13" s="20">
        <v>8.1232264112332496E-3</v>
      </c>
      <c r="P13" s="20">
        <v>0</v>
      </c>
      <c r="Q13" s="20"/>
      <c r="R13" s="20">
        <v>0</v>
      </c>
      <c r="S13" s="20">
        <v>8.3556321881025006E-3</v>
      </c>
      <c r="T13" s="20">
        <v>9.5437858852788892E-3</v>
      </c>
      <c r="U13" s="20">
        <v>0</v>
      </c>
      <c r="V13" s="20">
        <v>0</v>
      </c>
      <c r="W13" s="20">
        <v>1.4653649998241799E-2</v>
      </c>
      <c r="X13" s="20">
        <v>0</v>
      </c>
      <c r="Y13" s="20">
        <v>3.0463458176582602E-2</v>
      </c>
      <c r="Z13" s="20">
        <v>1.0378454207675801E-2</v>
      </c>
      <c r="AA13" s="20"/>
      <c r="AB13" s="20">
        <v>0</v>
      </c>
      <c r="AC13" s="20">
        <v>0</v>
      </c>
      <c r="AD13" s="20">
        <v>7.2799225497360001E-3</v>
      </c>
      <c r="AE13" s="20">
        <v>1.3493951796241599E-2</v>
      </c>
      <c r="AF13" s="20"/>
      <c r="AG13" s="20">
        <v>0</v>
      </c>
      <c r="AH13" s="20">
        <v>0</v>
      </c>
      <c r="AI13" s="20"/>
      <c r="AJ13" s="20">
        <v>0</v>
      </c>
      <c r="AK13" s="20">
        <v>1.8448913069722701E-2</v>
      </c>
      <c r="AL13" s="20"/>
      <c r="AM13" s="20">
        <v>1.3888367802563999E-3</v>
      </c>
      <c r="AN13" s="20">
        <v>2.53391444557537E-3</v>
      </c>
    </row>
    <row r="14" spans="2:40" x14ac:dyDescent="0.35">
      <c r="B14" s="27" t="s">
        <v>255</v>
      </c>
    </row>
    <row r="15" spans="2:40" x14ac:dyDescent="0.35">
      <c r="B15" t="s">
        <v>72</v>
      </c>
    </row>
    <row r="16" spans="2:40" x14ac:dyDescent="0.35">
      <c r="B16" t="s">
        <v>73</v>
      </c>
    </row>
    <row r="18" spans="2:2" x14ac:dyDescent="0.35">
      <c r="B18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B2:AN19"/>
  <sheetViews>
    <sheetView showGridLines="0" workbookViewId="0">
      <pane xSplit="2" topLeftCell="C1" activePane="topRight" state="frozen"/>
      <selection pane="topRight" activeCell="B15" sqref="B15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240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1127</v>
      </c>
      <c r="D7" s="10">
        <v>565</v>
      </c>
      <c r="E7" s="10">
        <v>558</v>
      </c>
      <c r="F7" s="10"/>
      <c r="G7" s="10" t="s">
        <v>75</v>
      </c>
      <c r="H7" s="10" t="s">
        <v>75</v>
      </c>
      <c r="I7" s="10">
        <v>1127</v>
      </c>
      <c r="J7" s="10"/>
      <c r="K7" s="10" t="s">
        <v>75</v>
      </c>
      <c r="L7" s="10">
        <v>855</v>
      </c>
      <c r="M7" s="10">
        <v>272</v>
      </c>
      <c r="N7" s="10"/>
      <c r="O7" s="10">
        <v>950</v>
      </c>
      <c r="P7" s="10">
        <v>154</v>
      </c>
      <c r="Q7" s="10"/>
      <c r="R7" s="10">
        <v>167</v>
      </c>
      <c r="S7" s="10">
        <v>201</v>
      </c>
      <c r="T7" s="10">
        <v>93</v>
      </c>
      <c r="U7" s="10">
        <v>106</v>
      </c>
      <c r="V7" s="10">
        <v>95</v>
      </c>
      <c r="W7" s="10">
        <v>136</v>
      </c>
      <c r="X7" s="10">
        <v>73</v>
      </c>
      <c r="Y7" s="10">
        <v>67</v>
      </c>
      <c r="Z7" s="10">
        <v>189</v>
      </c>
      <c r="AA7" s="10"/>
      <c r="AB7" s="10">
        <v>141</v>
      </c>
      <c r="AC7" s="10">
        <v>136</v>
      </c>
      <c r="AD7" s="10">
        <v>144</v>
      </c>
      <c r="AE7" s="10">
        <v>102</v>
      </c>
      <c r="AF7" s="10"/>
      <c r="AG7" s="10">
        <v>88</v>
      </c>
      <c r="AH7" s="10">
        <v>43</v>
      </c>
      <c r="AI7" s="10"/>
      <c r="AJ7" s="10">
        <v>131</v>
      </c>
      <c r="AK7" s="10">
        <v>126</v>
      </c>
      <c r="AL7" s="10"/>
      <c r="AM7" s="10">
        <v>580</v>
      </c>
      <c r="AN7" s="10">
        <v>294</v>
      </c>
    </row>
    <row r="8" spans="2:40" ht="30" customHeight="1" x14ac:dyDescent="0.35">
      <c r="B8" s="11" t="s">
        <v>20</v>
      </c>
      <c r="C8" s="11">
        <v>1058</v>
      </c>
      <c r="D8" s="11">
        <v>498</v>
      </c>
      <c r="E8" s="11">
        <v>557</v>
      </c>
      <c r="F8" s="11"/>
      <c r="G8" s="11" t="s">
        <v>75</v>
      </c>
      <c r="H8" s="11" t="s">
        <v>75</v>
      </c>
      <c r="I8" s="11">
        <v>1058</v>
      </c>
      <c r="J8" s="11"/>
      <c r="K8" s="11" t="s">
        <v>75</v>
      </c>
      <c r="L8" s="11">
        <v>690</v>
      </c>
      <c r="M8" s="11">
        <v>368</v>
      </c>
      <c r="N8" s="11"/>
      <c r="O8" s="11">
        <v>887</v>
      </c>
      <c r="P8" s="11">
        <v>149</v>
      </c>
      <c r="Q8" s="11"/>
      <c r="R8" s="11">
        <v>173</v>
      </c>
      <c r="S8" s="11">
        <v>179</v>
      </c>
      <c r="T8" s="11">
        <v>99</v>
      </c>
      <c r="U8" s="11">
        <v>112</v>
      </c>
      <c r="V8" s="11">
        <v>91</v>
      </c>
      <c r="W8" s="11">
        <v>101</v>
      </c>
      <c r="X8" s="11">
        <v>103</v>
      </c>
      <c r="Y8" s="11">
        <v>60</v>
      </c>
      <c r="Z8" s="11">
        <v>141</v>
      </c>
      <c r="AA8" s="11"/>
      <c r="AB8" s="11">
        <v>108</v>
      </c>
      <c r="AC8" s="11">
        <v>108</v>
      </c>
      <c r="AD8" s="11">
        <v>203</v>
      </c>
      <c r="AE8" s="11">
        <v>135</v>
      </c>
      <c r="AF8" s="11"/>
      <c r="AG8" s="11">
        <v>108</v>
      </c>
      <c r="AH8" s="11">
        <v>60</v>
      </c>
      <c r="AI8" s="11"/>
      <c r="AJ8" s="11">
        <v>168</v>
      </c>
      <c r="AK8" s="11">
        <v>179</v>
      </c>
      <c r="AL8" s="11"/>
      <c r="AM8" s="11">
        <v>527</v>
      </c>
      <c r="AN8" s="11">
        <v>295</v>
      </c>
    </row>
    <row r="9" spans="2:40" x14ac:dyDescent="0.35">
      <c r="B9" s="15" t="s">
        <v>160</v>
      </c>
      <c r="C9" s="14">
        <v>0.32366494988287697</v>
      </c>
      <c r="D9" s="14">
        <v>0.36445997226947602</v>
      </c>
      <c r="E9" s="14">
        <v>0.28498434356358199</v>
      </c>
      <c r="F9" s="14"/>
      <c r="G9" s="14" t="s">
        <v>76</v>
      </c>
      <c r="H9" s="14" t="s">
        <v>76</v>
      </c>
      <c r="I9" s="14">
        <v>0.32366494988287697</v>
      </c>
      <c r="J9" s="14"/>
      <c r="K9" s="14" t="s">
        <v>76</v>
      </c>
      <c r="L9" s="14">
        <v>0.31261032451776699</v>
      </c>
      <c r="M9" s="14">
        <v>0.344385605204726</v>
      </c>
      <c r="N9" s="14"/>
      <c r="O9" s="14">
        <v>0.28776592244531202</v>
      </c>
      <c r="P9" s="14">
        <v>0.53622723438287101</v>
      </c>
      <c r="Q9" s="14"/>
      <c r="R9" s="14">
        <v>0.53284106175891999</v>
      </c>
      <c r="S9" s="14">
        <v>0.25888580999607502</v>
      </c>
      <c r="T9" s="14">
        <v>0.29492478052368898</v>
      </c>
      <c r="U9" s="14">
        <v>0.28334938806295501</v>
      </c>
      <c r="V9" s="14">
        <v>0.27895240907933699</v>
      </c>
      <c r="W9" s="14">
        <v>0.23604805646254601</v>
      </c>
      <c r="X9" s="14">
        <v>0.28430802211247902</v>
      </c>
      <c r="Y9" s="14">
        <v>0.30383986101481097</v>
      </c>
      <c r="Z9" s="14">
        <v>0.33072302499649198</v>
      </c>
      <c r="AA9" s="14"/>
      <c r="AB9" s="14">
        <v>0.201264598569521</v>
      </c>
      <c r="AC9" s="14">
        <v>0.58005320720298903</v>
      </c>
      <c r="AD9" s="14">
        <v>0.21641596751638101</v>
      </c>
      <c r="AE9" s="14">
        <v>0.55265544961511803</v>
      </c>
      <c r="AF9" s="14"/>
      <c r="AG9" s="14">
        <v>0.55545822905390896</v>
      </c>
      <c r="AH9" s="14">
        <v>0.21467371456915901</v>
      </c>
      <c r="AI9" s="14"/>
      <c r="AJ9" s="14">
        <v>0.43411773451622698</v>
      </c>
      <c r="AK9" s="14">
        <v>0.27207724125291999</v>
      </c>
      <c r="AL9" s="14"/>
      <c r="AM9" s="14">
        <v>0.54120974816485101</v>
      </c>
      <c r="AN9" s="14">
        <v>7.2522437579643204E-2</v>
      </c>
    </row>
    <row r="10" spans="2:40" x14ac:dyDescent="0.35">
      <c r="B10" s="15" t="s">
        <v>161</v>
      </c>
      <c r="C10" s="14">
        <v>0.50452900025368497</v>
      </c>
      <c r="D10" s="14">
        <v>0.48707546010901998</v>
      </c>
      <c r="E10" s="14">
        <v>0.52109485985488002</v>
      </c>
      <c r="F10" s="14"/>
      <c r="G10" s="14" t="s">
        <v>76</v>
      </c>
      <c r="H10" s="14" t="s">
        <v>76</v>
      </c>
      <c r="I10" s="14">
        <v>0.50452900025368497</v>
      </c>
      <c r="J10" s="14"/>
      <c r="K10" s="14" t="s">
        <v>76</v>
      </c>
      <c r="L10" s="14">
        <v>0.52037641791114497</v>
      </c>
      <c r="M10" s="14">
        <v>0.47482479335600503</v>
      </c>
      <c r="N10" s="14"/>
      <c r="O10" s="14">
        <v>0.526018189111223</v>
      </c>
      <c r="P10" s="14">
        <v>0.40068498756718901</v>
      </c>
      <c r="Q10" s="14"/>
      <c r="R10" s="14">
        <v>0.35020239371570999</v>
      </c>
      <c r="S10" s="14">
        <v>0.51606982484375896</v>
      </c>
      <c r="T10" s="14">
        <v>0.54116337625703004</v>
      </c>
      <c r="U10" s="14">
        <v>0.52687715890323705</v>
      </c>
      <c r="V10" s="14">
        <v>0.52949206865239096</v>
      </c>
      <c r="W10" s="14">
        <v>0.58290952547380304</v>
      </c>
      <c r="X10" s="14">
        <v>0.57373823181831995</v>
      </c>
      <c r="Y10" s="14">
        <v>0.50798351599046498</v>
      </c>
      <c r="Z10" s="14">
        <v>0.51090928903662003</v>
      </c>
      <c r="AA10" s="14"/>
      <c r="AB10" s="14">
        <v>0.60723838210155601</v>
      </c>
      <c r="AC10" s="14">
        <v>0.397450595190387</v>
      </c>
      <c r="AD10" s="14">
        <v>0.56356601438589304</v>
      </c>
      <c r="AE10" s="14">
        <v>0.37519260249730002</v>
      </c>
      <c r="AF10" s="14"/>
      <c r="AG10" s="14">
        <v>0.38437192900334</v>
      </c>
      <c r="AH10" s="14">
        <v>0.45247344082475699</v>
      </c>
      <c r="AI10" s="14"/>
      <c r="AJ10" s="14">
        <v>0.40862030524094101</v>
      </c>
      <c r="AK10" s="14">
        <v>0.54261135941370398</v>
      </c>
      <c r="AL10" s="14"/>
      <c r="AM10" s="14">
        <v>0.41475414801958099</v>
      </c>
      <c r="AN10" s="14">
        <v>0.49927175390207901</v>
      </c>
    </row>
    <row r="11" spans="2:40" x14ac:dyDescent="0.35">
      <c r="B11" s="15" t="s">
        <v>162</v>
      </c>
      <c r="C11" s="14">
        <v>0.13319004556172501</v>
      </c>
      <c r="D11" s="14">
        <v>0.120189165760354</v>
      </c>
      <c r="E11" s="14">
        <v>0.145780455142549</v>
      </c>
      <c r="F11" s="14"/>
      <c r="G11" s="14" t="s">
        <v>76</v>
      </c>
      <c r="H11" s="14" t="s">
        <v>76</v>
      </c>
      <c r="I11" s="14">
        <v>0.13319004556172501</v>
      </c>
      <c r="J11" s="14"/>
      <c r="K11" s="14" t="s">
        <v>76</v>
      </c>
      <c r="L11" s="14">
        <v>0.13627361248792</v>
      </c>
      <c r="M11" s="14">
        <v>0.127410245222113</v>
      </c>
      <c r="N11" s="14"/>
      <c r="O11" s="14">
        <v>0.141158748273674</v>
      </c>
      <c r="P11" s="14">
        <v>6.3087778049939994E-2</v>
      </c>
      <c r="Q11" s="14"/>
      <c r="R11" s="14">
        <v>8.7229881309842897E-2</v>
      </c>
      <c r="S11" s="14">
        <v>0.188199017911484</v>
      </c>
      <c r="T11" s="14">
        <v>0.107749489102081</v>
      </c>
      <c r="U11" s="14">
        <v>0.12962614258565799</v>
      </c>
      <c r="V11" s="14">
        <v>0.18265083126833501</v>
      </c>
      <c r="W11" s="14">
        <v>0.16098381285940899</v>
      </c>
      <c r="X11" s="14">
        <v>0.118029700330968</v>
      </c>
      <c r="Y11" s="14">
        <v>0.101589274132701</v>
      </c>
      <c r="Z11" s="14">
        <v>0.11314003291454</v>
      </c>
      <c r="AA11" s="14"/>
      <c r="AB11" s="14">
        <v>0.14724931359739701</v>
      </c>
      <c r="AC11" s="14">
        <v>2.2496197606624101E-2</v>
      </c>
      <c r="AD11" s="14">
        <v>0.16645646484629401</v>
      </c>
      <c r="AE11" s="14">
        <v>3.4299945805505397E-2</v>
      </c>
      <c r="AF11" s="14"/>
      <c r="AG11" s="14">
        <v>6.0169841942751198E-2</v>
      </c>
      <c r="AH11" s="14">
        <v>0.242233736202976</v>
      </c>
      <c r="AI11" s="14"/>
      <c r="AJ11" s="14">
        <v>0.124995918328275</v>
      </c>
      <c r="AK11" s="14">
        <v>0.117901204070344</v>
      </c>
      <c r="AL11" s="14"/>
      <c r="AM11" s="14">
        <v>3.7259517093325402E-2</v>
      </c>
      <c r="AN11" s="14">
        <v>0.32135700500611902</v>
      </c>
    </row>
    <row r="12" spans="2:40" x14ac:dyDescent="0.35">
      <c r="B12" s="15" t="s">
        <v>163</v>
      </c>
      <c r="C12" s="14">
        <v>3.1998055337813899E-2</v>
      </c>
      <c r="D12" s="14">
        <v>2.4476824632994099E-2</v>
      </c>
      <c r="E12" s="14">
        <v>3.8954028362617799E-2</v>
      </c>
      <c r="F12" s="14"/>
      <c r="G12" s="14" t="s">
        <v>76</v>
      </c>
      <c r="H12" s="14" t="s">
        <v>76</v>
      </c>
      <c r="I12" s="14">
        <v>3.1998055337813899E-2</v>
      </c>
      <c r="J12" s="14"/>
      <c r="K12" s="14" t="s">
        <v>76</v>
      </c>
      <c r="L12" s="14">
        <v>2.5972829560808E-2</v>
      </c>
      <c r="M12" s="14">
        <v>4.3291665246629703E-2</v>
      </c>
      <c r="N12" s="14"/>
      <c r="O12" s="14">
        <v>3.7160154429198698E-2</v>
      </c>
      <c r="P12" s="14">
        <v>0</v>
      </c>
      <c r="Q12" s="14"/>
      <c r="R12" s="14">
        <v>2.3846051738814999E-2</v>
      </c>
      <c r="S12" s="14">
        <v>3.2134092857747501E-2</v>
      </c>
      <c r="T12" s="14">
        <v>3.7097701445331199E-2</v>
      </c>
      <c r="U12" s="14">
        <v>6.01473104481497E-2</v>
      </c>
      <c r="V12" s="14">
        <v>8.9046909999366992E-3</v>
      </c>
      <c r="W12" s="14">
        <v>1.3103568922908501E-2</v>
      </c>
      <c r="X12" s="14">
        <v>2.3924045738232199E-2</v>
      </c>
      <c r="Y12" s="14">
        <v>5.6123890685440297E-2</v>
      </c>
      <c r="Z12" s="14">
        <v>4.0038425971215999E-2</v>
      </c>
      <c r="AA12" s="14"/>
      <c r="AB12" s="14">
        <v>4.4247705731525797E-2</v>
      </c>
      <c r="AC12" s="14">
        <v>0</v>
      </c>
      <c r="AD12" s="14">
        <v>5.3561553251430701E-2</v>
      </c>
      <c r="AE12" s="14">
        <v>2.43580502858349E-2</v>
      </c>
      <c r="AF12" s="14"/>
      <c r="AG12" s="14">
        <v>0</v>
      </c>
      <c r="AH12" s="14">
        <v>9.0619108403107801E-2</v>
      </c>
      <c r="AI12" s="14"/>
      <c r="AJ12" s="14">
        <v>3.2266041914557002E-2</v>
      </c>
      <c r="AK12" s="14">
        <v>4.6658058753671197E-2</v>
      </c>
      <c r="AL12" s="14"/>
      <c r="AM12" s="14">
        <v>3.1899217701786501E-3</v>
      </c>
      <c r="AN12" s="14">
        <v>0.104000130159884</v>
      </c>
    </row>
    <row r="13" spans="2:40" x14ac:dyDescent="0.35">
      <c r="B13" s="15" t="s">
        <v>70</v>
      </c>
      <c r="C13" s="21">
        <v>6.6179489638986903E-3</v>
      </c>
      <c r="D13" s="21">
        <v>3.7985772281566E-3</v>
      </c>
      <c r="E13" s="21">
        <v>9.1863130763714905E-3</v>
      </c>
      <c r="F13" s="21"/>
      <c r="G13" s="21" t="s">
        <v>76</v>
      </c>
      <c r="H13" s="21" t="s">
        <v>76</v>
      </c>
      <c r="I13" s="21">
        <v>6.6179489638986903E-3</v>
      </c>
      <c r="J13" s="21"/>
      <c r="K13" s="21" t="s">
        <v>76</v>
      </c>
      <c r="L13" s="21">
        <v>4.7668155223604698E-3</v>
      </c>
      <c r="M13" s="21">
        <v>1.0087690970526799E-2</v>
      </c>
      <c r="N13" s="21"/>
      <c r="O13" s="21">
        <v>7.8969857405933493E-3</v>
      </c>
      <c r="P13" s="21">
        <v>0</v>
      </c>
      <c r="Q13" s="21"/>
      <c r="R13" s="21">
        <v>5.8806114767113796E-3</v>
      </c>
      <c r="S13" s="21">
        <v>4.7112543909349101E-3</v>
      </c>
      <c r="T13" s="21">
        <v>1.9064652671868899E-2</v>
      </c>
      <c r="U13" s="21">
        <v>0</v>
      </c>
      <c r="V13" s="21">
        <v>0</v>
      </c>
      <c r="W13" s="21">
        <v>6.9550362813340996E-3</v>
      </c>
      <c r="X13" s="21">
        <v>0</v>
      </c>
      <c r="Y13" s="21">
        <v>3.0463458176582602E-2</v>
      </c>
      <c r="Z13" s="21">
        <v>5.18922708113211E-3</v>
      </c>
      <c r="AA13" s="21"/>
      <c r="AB13" s="21">
        <v>0</v>
      </c>
      <c r="AC13" s="21">
        <v>0</v>
      </c>
      <c r="AD13" s="21">
        <v>0</v>
      </c>
      <c r="AE13" s="21">
        <v>1.3493951796241599E-2</v>
      </c>
      <c r="AF13" s="21"/>
      <c r="AG13" s="21">
        <v>0</v>
      </c>
      <c r="AH13" s="21">
        <v>0</v>
      </c>
      <c r="AI13" s="21"/>
      <c r="AJ13" s="21">
        <v>0</v>
      </c>
      <c r="AK13" s="21">
        <v>2.0752136509359399E-2</v>
      </c>
      <c r="AL13" s="21"/>
      <c r="AM13" s="21">
        <v>3.5866649520636599E-3</v>
      </c>
      <c r="AN13" s="21">
        <v>2.8486733522743901E-3</v>
      </c>
    </row>
    <row r="14" spans="2:40" x14ac:dyDescent="0.35">
      <c r="B14" s="25" t="s">
        <v>164</v>
      </c>
      <c r="C14" s="30">
        <v>0.82819395013656305</v>
      </c>
      <c r="D14" s="30">
        <v>0.85153543237849605</v>
      </c>
      <c r="E14" s="30">
        <v>0.80607920341846195</v>
      </c>
      <c r="F14" s="30"/>
      <c r="G14" s="30" t="s">
        <v>76</v>
      </c>
      <c r="H14" s="30" t="s">
        <v>76</v>
      </c>
      <c r="I14" s="30">
        <v>0.82819395013656305</v>
      </c>
      <c r="J14" s="30"/>
      <c r="K14" s="30" t="s">
        <v>76</v>
      </c>
      <c r="L14" s="30">
        <v>0.83298674242891202</v>
      </c>
      <c r="M14" s="30">
        <v>0.81921039856073097</v>
      </c>
      <c r="N14" s="30"/>
      <c r="O14" s="30">
        <v>0.81378411155653396</v>
      </c>
      <c r="P14" s="30">
        <v>0.93691222195005996</v>
      </c>
      <c r="Q14" s="30"/>
      <c r="R14" s="30">
        <v>0.88304345547463103</v>
      </c>
      <c r="S14" s="30">
        <v>0.77495563483983299</v>
      </c>
      <c r="T14" s="30">
        <v>0.83608815678071902</v>
      </c>
      <c r="U14" s="30">
        <v>0.81022654696619201</v>
      </c>
      <c r="V14" s="30">
        <v>0.80844447773172801</v>
      </c>
      <c r="W14" s="30">
        <v>0.81895758193634804</v>
      </c>
      <c r="X14" s="30">
        <v>0.85804625393080003</v>
      </c>
      <c r="Y14" s="30">
        <v>0.81182337700527596</v>
      </c>
      <c r="Z14" s="30">
        <v>0.84163231403311201</v>
      </c>
      <c r="AA14" s="30"/>
      <c r="AB14" s="30">
        <v>0.80850298067107695</v>
      </c>
      <c r="AC14" s="30">
        <v>0.97750380239337598</v>
      </c>
      <c r="AD14" s="30">
        <v>0.77998198190227497</v>
      </c>
      <c r="AE14" s="30">
        <v>0.92784805211241805</v>
      </c>
      <c r="AF14" s="30"/>
      <c r="AG14" s="30">
        <v>0.93983015805724901</v>
      </c>
      <c r="AH14" s="30">
        <v>0.667147155393916</v>
      </c>
      <c r="AI14" s="30"/>
      <c r="AJ14" s="30">
        <v>0.84273803975716799</v>
      </c>
      <c r="AK14" s="30">
        <v>0.81468860066662496</v>
      </c>
      <c r="AL14" s="30"/>
      <c r="AM14" s="30">
        <v>0.955963896184432</v>
      </c>
      <c r="AN14" s="30">
        <v>0.57179419148172195</v>
      </c>
    </row>
    <row r="15" spans="2:40" x14ac:dyDescent="0.35">
      <c r="B15" s="31" t="s">
        <v>255</v>
      </c>
    </row>
    <row r="16" spans="2:40" x14ac:dyDescent="0.35">
      <c r="B16" t="s">
        <v>72</v>
      </c>
    </row>
    <row r="17" spans="2:2" x14ac:dyDescent="0.35">
      <c r="B17" t="s">
        <v>73</v>
      </c>
    </row>
    <row r="19" spans="2:2" x14ac:dyDescent="0.35">
      <c r="B19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B2:AN18"/>
  <sheetViews>
    <sheetView showGridLines="0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241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1127</v>
      </c>
      <c r="D7" s="10">
        <v>565</v>
      </c>
      <c r="E7" s="10">
        <v>558</v>
      </c>
      <c r="F7" s="10"/>
      <c r="G7" s="10" t="s">
        <v>75</v>
      </c>
      <c r="H7" s="10" t="s">
        <v>75</v>
      </c>
      <c r="I7" s="10">
        <v>1127</v>
      </c>
      <c r="J7" s="10"/>
      <c r="K7" s="10" t="s">
        <v>75</v>
      </c>
      <c r="L7" s="10">
        <v>855</v>
      </c>
      <c r="M7" s="10">
        <v>272</v>
      </c>
      <c r="N7" s="10"/>
      <c r="O7" s="10">
        <v>950</v>
      </c>
      <c r="P7" s="10">
        <v>154</v>
      </c>
      <c r="Q7" s="10"/>
      <c r="R7" s="10">
        <v>167</v>
      </c>
      <c r="S7" s="10">
        <v>201</v>
      </c>
      <c r="T7" s="10">
        <v>93</v>
      </c>
      <c r="U7" s="10">
        <v>106</v>
      </c>
      <c r="V7" s="10">
        <v>95</v>
      </c>
      <c r="W7" s="10">
        <v>136</v>
      </c>
      <c r="X7" s="10">
        <v>73</v>
      </c>
      <c r="Y7" s="10">
        <v>67</v>
      </c>
      <c r="Z7" s="10">
        <v>189</v>
      </c>
      <c r="AA7" s="10"/>
      <c r="AB7" s="10">
        <v>141</v>
      </c>
      <c r="AC7" s="10">
        <v>136</v>
      </c>
      <c r="AD7" s="10">
        <v>144</v>
      </c>
      <c r="AE7" s="10">
        <v>102</v>
      </c>
      <c r="AF7" s="10"/>
      <c r="AG7" s="10">
        <v>88</v>
      </c>
      <c r="AH7" s="10">
        <v>43</v>
      </c>
      <c r="AI7" s="10"/>
      <c r="AJ7" s="10">
        <v>131</v>
      </c>
      <c r="AK7" s="10">
        <v>126</v>
      </c>
      <c r="AL7" s="10"/>
      <c r="AM7" s="10">
        <v>580</v>
      </c>
      <c r="AN7" s="10">
        <v>294</v>
      </c>
    </row>
    <row r="8" spans="2:40" ht="30" customHeight="1" x14ac:dyDescent="0.35">
      <c r="B8" s="11" t="s">
        <v>20</v>
      </c>
      <c r="C8" s="11">
        <v>1058</v>
      </c>
      <c r="D8" s="11">
        <v>498</v>
      </c>
      <c r="E8" s="11">
        <v>557</v>
      </c>
      <c r="F8" s="11"/>
      <c r="G8" s="11" t="s">
        <v>75</v>
      </c>
      <c r="H8" s="11" t="s">
        <v>75</v>
      </c>
      <c r="I8" s="11">
        <v>1058</v>
      </c>
      <c r="J8" s="11"/>
      <c r="K8" s="11" t="s">
        <v>75</v>
      </c>
      <c r="L8" s="11">
        <v>690</v>
      </c>
      <c r="M8" s="11">
        <v>368</v>
      </c>
      <c r="N8" s="11"/>
      <c r="O8" s="11">
        <v>887</v>
      </c>
      <c r="P8" s="11">
        <v>149</v>
      </c>
      <c r="Q8" s="11"/>
      <c r="R8" s="11">
        <v>173</v>
      </c>
      <c r="S8" s="11">
        <v>179</v>
      </c>
      <c r="T8" s="11">
        <v>99</v>
      </c>
      <c r="U8" s="11">
        <v>112</v>
      </c>
      <c r="V8" s="11">
        <v>91</v>
      </c>
      <c r="W8" s="11">
        <v>101</v>
      </c>
      <c r="X8" s="11">
        <v>103</v>
      </c>
      <c r="Y8" s="11">
        <v>60</v>
      </c>
      <c r="Z8" s="11">
        <v>141</v>
      </c>
      <c r="AA8" s="11"/>
      <c r="AB8" s="11">
        <v>108</v>
      </c>
      <c r="AC8" s="11">
        <v>108</v>
      </c>
      <c r="AD8" s="11">
        <v>203</v>
      </c>
      <c r="AE8" s="11">
        <v>135</v>
      </c>
      <c r="AF8" s="11"/>
      <c r="AG8" s="11">
        <v>108</v>
      </c>
      <c r="AH8" s="11">
        <v>60</v>
      </c>
      <c r="AI8" s="11"/>
      <c r="AJ8" s="11">
        <v>168</v>
      </c>
      <c r="AK8" s="11">
        <v>179</v>
      </c>
      <c r="AL8" s="11"/>
      <c r="AM8" s="11">
        <v>527</v>
      </c>
      <c r="AN8" s="11">
        <v>295</v>
      </c>
    </row>
    <row r="9" spans="2:40" x14ac:dyDescent="0.35">
      <c r="B9" s="15" t="s">
        <v>166</v>
      </c>
      <c r="C9" s="14">
        <v>0.22037019451463999</v>
      </c>
      <c r="D9" s="14">
        <v>0.23781290139785199</v>
      </c>
      <c r="E9" s="14">
        <v>0.201812531968561</v>
      </c>
      <c r="F9" s="14"/>
      <c r="G9" s="14" t="s">
        <v>76</v>
      </c>
      <c r="H9" s="14" t="s">
        <v>76</v>
      </c>
      <c r="I9" s="14">
        <v>0.22037019451463999</v>
      </c>
      <c r="J9" s="14"/>
      <c r="K9" s="14" t="s">
        <v>76</v>
      </c>
      <c r="L9" s="14">
        <v>0.21743755506167001</v>
      </c>
      <c r="M9" s="14">
        <v>0.22586709823423901</v>
      </c>
      <c r="N9" s="14"/>
      <c r="O9" s="14">
        <v>0.18658750031096599</v>
      </c>
      <c r="P9" s="14">
        <v>0.41755387960203499</v>
      </c>
      <c r="Q9" s="14"/>
      <c r="R9" s="14">
        <v>0.36990058174631402</v>
      </c>
      <c r="S9" s="14">
        <v>0.167050071604018</v>
      </c>
      <c r="T9" s="14">
        <v>0.164929652734815</v>
      </c>
      <c r="U9" s="14">
        <v>0.17292513429582901</v>
      </c>
      <c r="V9" s="14">
        <v>0.15611168093438799</v>
      </c>
      <c r="W9" s="14">
        <v>0.19191050734419299</v>
      </c>
      <c r="X9" s="14">
        <v>0.21427751185348701</v>
      </c>
      <c r="Y9" s="14">
        <v>0.263640399685308</v>
      </c>
      <c r="Z9" s="14">
        <v>0.229473164348417</v>
      </c>
      <c r="AA9" s="14"/>
      <c r="AB9" s="14">
        <v>0.151503732719104</v>
      </c>
      <c r="AC9" s="14">
        <v>0.32057214933506101</v>
      </c>
      <c r="AD9" s="14">
        <v>0.143852859234155</v>
      </c>
      <c r="AE9" s="14">
        <v>0.31712995641057501</v>
      </c>
      <c r="AF9" s="14"/>
      <c r="AG9" s="14">
        <v>0.37198349977550099</v>
      </c>
      <c r="AH9" s="14">
        <v>0.16113883859718101</v>
      </c>
      <c r="AI9" s="14"/>
      <c r="AJ9" s="14">
        <v>0.29690967930954099</v>
      </c>
      <c r="AK9" s="14">
        <v>0.15871295319078399</v>
      </c>
      <c r="AL9" s="14"/>
      <c r="AM9" s="14">
        <v>0.379657785761359</v>
      </c>
      <c r="AN9" s="14">
        <v>3.5074505619553102E-2</v>
      </c>
    </row>
    <row r="10" spans="2:40" x14ac:dyDescent="0.35">
      <c r="B10" s="15" t="s">
        <v>167</v>
      </c>
      <c r="C10" s="14">
        <v>0.38454269516068601</v>
      </c>
      <c r="D10" s="14">
        <v>0.40834328008266502</v>
      </c>
      <c r="E10" s="14">
        <v>0.36606525667386303</v>
      </c>
      <c r="F10" s="14"/>
      <c r="G10" s="14" t="s">
        <v>76</v>
      </c>
      <c r="H10" s="14" t="s">
        <v>76</v>
      </c>
      <c r="I10" s="14">
        <v>0.38454269516068601</v>
      </c>
      <c r="J10" s="14"/>
      <c r="K10" s="14" t="s">
        <v>76</v>
      </c>
      <c r="L10" s="14">
        <v>0.384905569076958</v>
      </c>
      <c r="M10" s="14">
        <v>0.38386252870582999</v>
      </c>
      <c r="N10" s="14"/>
      <c r="O10" s="14">
        <v>0.39138011575739101</v>
      </c>
      <c r="P10" s="14">
        <v>0.37058663028584499</v>
      </c>
      <c r="Q10" s="14"/>
      <c r="R10" s="14">
        <v>0.31361553325397401</v>
      </c>
      <c r="S10" s="14">
        <v>0.38715639735155799</v>
      </c>
      <c r="T10" s="14">
        <v>0.41025508226819302</v>
      </c>
      <c r="U10" s="14">
        <v>0.352110277871519</v>
      </c>
      <c r="V10" s="14">
        <v>0.37052385749935801</v>
      </c>
      <c r="W10" s="14">
        <v>0.40602028903457199</v>
      </c>
      <c r="X10" s="14">
        <v>0.455820769957961</v>
      </c>
      <c r="Y10" s="14">
        <v>0.32172617026704198</v>
      </c>
      <c r="Z10" s="14">
        <v>0.443749016489146</v>
      </c>
      <c r="AA10" s="14"/>
      <c r="AB10" s="14">
        <v>0.36059876620960901</v>
      </c>
      <c r="AC10" s="14">
        <v>0.47245507059078201</v>
      </c>
      <c r="AD10" s="14">
        <v>0.32847038227035602</v>
      </c>
      <c r="AE10" s="14">
        <v>0.49330404129695898</v>
      </c>
      <c r="AF10" s="14"/>
      <c r="AG10" s="14">
        <v>0.47420788911244099</v>
      </c>
      <c r="AH10" s="14">
        <v>0.281645971683121</v>
      </c>
      <c r="AI10" s="14"/>
      <c r="AJ10" s="14">
        <v>0.40564386317562401</v>
      </c>
      <c r="AK10" s="14">
        <v>0.37520710565293802</v>
      </c>
      <c r="AL10" s="14"/>
      <c r="AM10" s="14">
        <v>0.49427467534415898</v>
      </c>
      <c r="AN10" s="14">
        <v>0.17773875306574999</v>
      </c>
    </row>
    <row r="11" spans="2:40" x14ac:dyDescent="0.35">
      <c r="B11" s="15" t="s">
        <v>168</v>
      </c>
      <c r="C11" s="14">
        <v>0.27464162880922</v>
      </c>
      <c r="D11" s="14">
        <v>0.253658078034459</v>
      </c>
      <c r="E11" s="14">
        <v>0.29539681492754999</v>
      </c>
      <c r="F11" s="14"/>
      <c r="G11" s="14" t="s">
        <v>76</v>
      </c>
      <c r="H11" s="14" t="s">
        <v>76</v>
      </c>
      <c r="I11" s="14">
        <v>0.27464162880922</v>
      </c>
      <c r="J11" s="14"/>
      <c r="K11" s="14" t="s">
        <v>76</v>
      </c>
      <c r="L11" s="14">
        <v>0.28336737549786301</v>
      </c>
      <c r="M11" s="14">
        <v>0.25828619535131497</v>
      </c>
      <c r="N11" s="14"/>
      <c r="O11" s="14">
        <v>0.28930009114331701</v>
      </c>
      <c r="P11" s="14">
        <v>0.20086849888371799</v>
      </c>
      <c r="Q11" s="14"/>
      <c r="R11" s="14">
        <v>0.22111806176445001</v>
      </c>
      <c r="S11" s="14">
        <v>0.33179230094155598</v>
      </c>
      <c r="T11" s="14">
        <v>0.29337929809028901</v>
      </c>
      <c r="U11" s="14">
        <v>0.35418780962577701</v>
      </c>
      <c r="V11" s="14">
        <v>0.31987509419767102</v>
      </c>
      <c r="W11" s="14">
        <v>0.279683544487972</v>
      </c>
      <c r="X11" s="14">
        <v>0.186668485033614</v>
      </c>
      <c r="Y11" s="14">
        <v>0.30430491911430202</v>
      </c>
      <c r="Z11" s="14">
        <v>0.210624939655812</v>
      </c>
      <c r="AA11" s="14"/>
      <c r="AB11" s="14">
        <v>0.30891716197205099</v>
      </c>
      <c r="AC11" s="14">
        <v>0.18538847757911001</v>
      </c>
      <c r="AD11" s="14">
        <v>0.34170299761550399</v>
      </c>
      <c r="AE11" s="14">
        <v>0.158461782867797</v>
      </c>
      <c r="AF11" s="14"/>
      <c r="AG11" s="14">
        <v>0.140571009871237</v>
      </c>
      <c r="AH11" s="14">
        <v>0.28514820479513098</v>
      </c>
      <c r="AI11" s="14"/>
      <c r="AJ11" s="14">
        <v>0.192049488456041</v>
      </c>
      <c r="AK11" s="14">
        <v>0.33229443747624898</v>
      </c>
      <c r="AL11" s="14"/>
      <c r="AM11" s="14">
        <v>0.119631264213187</v>
      </c>
      <c r="AN11" s="14">
        <v>0.431568414266848</v>
      </c>
    </row>
    <row r="12" spans="2:40" x14ac:dyDescent="0.35">
      <c r="B12" s="15" t="s">
        <v>169</v>
      </c>
      <c r="C12" s="14">
        <v>0.115461371071889</v>
      </c>
      <c r="D12" s="14">
        <v>9.7926123211306101E-2</v>
      </c>
      <c r="E12" s="14">
        <v>0.129269620056635</v>
      </c>
      <c r="F12" s="14"/>
      <c r="G12" s="14" t="s">
        <v>76</v>
      </c>
      <c r="H12" s="14" t="s">
        <v>76</v>
      </c>
      <c r="I12" s="14">
        <v>0.115461371071889</v>
      </c>
      <c r="J12" s="14"/>
      <c r="K12" s="14" t="s">
        <v>76</v>
      </c>
      <c r="L12" s="14">
        <v>0.10664632953425</v>
      </c>
      <c r="M12" s="14">
        <v>0.13198417770861701</v>
      </c>
      <c r="N12" s="14"/>
      <c r="O12" s="14">
        <v>0.128873890192301</v>
      </c>
      <c r="P12" s="14">
        <v>4.6502136824334303E-3</v>
      </c>
      <c r="Q12" s="14"/>
      <c r="R12" s="14">
        <v>9.0134978789580794E-2</v>
      </c>
      <c r="S12" s="14">
        <v>0.109836290943308</v>
      </c>
      <c r="T12" s="14">
        <v>0.121892181021424</v>
      </c>
      <c r="U12" s="14">
        <v>0.11265979496515401</v>
      </c>
      <c r="V12" s="14">
        <v>0.15348936736858301</v>
      </c>
      <c r="W12" s="14">
        <v>0.12238565913326301</v>
      </c>
      <c r="X12" s="14">
        <v>0.132354975046104</v>
      </c>
      <c r="Y12" s="14">
        <v>0.110328510933348</v>
      </c>
      <c r="Z12" s="14">
        <v>0.11153702628150899</v>
      </c>
      <c r="AA12" s="14"/>
      <c r="AB12" s="14">
        <v>0.178980339099236</v>
      </c>
      <c r="AC12" s="14">
        <v>7.1798203616969102E-3</v>
      </c>
      <c r="AD12" s="14">
        <v>0.18597376087998499</v>
      </c>
      <c r="AE12" s="14">
        <v>3.11042194246679E-2</v>
      </c>
      <c r="AF12" s="14"/>
      <c r="AG12" s="14">
        <v>1.32376012408209E-2</v>
      </c>
      <c r="AH12" s="14">
        <v>0.27206698492456799</v>
      </c>
      <c r="AI12" s="14"/>
      <c r="AJ12" s="14">
        <v>0.10539696905879301</v>
      </c>
      <c r="AK12" s="14">
        <v>0.13378550368002901</v>
      </c>
      <c r="AL12" s="14"/>
      <c r="AM12" s="14">
        <v>6.43627468129487E-3</v>
      </c>
      <c r="AN12" s="14">
        <v>0.35254980160564497</v>
      </c>
    </row>
    <row r="13" spans="2:40" x14ac:dyDescent="0.35">
      <c r="B13" s="15" t="s">
        <v>70</v>
      </c>
      <c r="C13" s="20">
        <v>4.9841104435645002E-3</v>
      </c>
      <c r="D13" s="20">
        <v>2.2596172737169699E-3</v>
      </c>
      <c r="E13" s="20">
        <v>7.45577637339197E-3</v>
      </c>
      <c r="F13" s="20"/>
      <c r="G13" s="20" t="s">
        <v>76</v>
      </c>
      <c r="H13" s="20" t="s">
        <v>76</v>
      </c>
      <c r="I13" s="20">
        <v>4.9841104435645002E-3</v>
      </c>
      <c r="J13" s="20"/>
      <c r="K13" s="20" t="s">
        <v>76</v>
      </c>
      <c r="L13" s="20">
        <v>7.6431708292581399E-3</v>
      </c>
      <c r="M13" s="20">
        <v>0</v>
      </c>
      <c r="N13" s="20"/>
      <c r="O13" s="20">
        <v>3.8584025960264798E-3</v>
      </c>
      <c r="P13" s="20">
        <v>6.3407775459678201E-3</v>
      </c>
      <c r="Q13" s="20"/>
      <c r="R13" s="20">
        <v>5.2308444456809601E-3</v>
      </c>
      <c r="S13" s="20">
        <v>4.1649391595602403E-3</v>
      </c>
      <c r="T13" s="20">
        <v>9.5437858852788892E-3</v>
      </c>
      <c r="U13" s="20">
        <v>8.1169832417206794E-3</v>
      </c>
      <c r="V13" s="20">
        <v>0</v>
      </c>
      <c r="W13" s="20">
        <v>0</v>
      </c>
      <c r="X13" s="20">
        <v>1.08782581088336E-2</v>
      </c>
      <c r="Y13" s="20">
        <v>0</v>
      </c>
      <c r="Z13" s="20">
        <v>4.6158532251164399E-3</v>
      </c>
      <c r="AA13" s="20"/>
      <c r="AB13" s="20">
        <v>0</v>
      </c>
      <c r="AC13" s="20">
        <v>1.4404482133349701E-2</v>
      </c>
      <c r="AD13" s="20">
        <v>0</v>
      </c>
      <c r="AE13" s="20">
        <v>0</v>
      </c>
      <c r="AF13" s="20"/>
      <c r="AG13" s="20">
        <v>0</v>
      </c>
      <c r="AH13" s="20">
        <v>0</v>
      </c>
      <c r="AI13" s="20"/>
      <c r="AJ13" s="20">
        <v>0</v>
      </c>
      <c r="AK13" s="20">
        <v>0</v>
      </c>
      <c r="AL13" s="20"/>
      <c r="AM13" s="20">
        <v>0</v>
      </c>
      <c r="AN13" s="20">
        <v>3.06852544220326E-3</v>
      </c>
    </row>
    <row r="14" spans="2:40" x14ac:dyDescent="0.35">
      <c r="B14" s="31" t="s">
        <v>255</v>
      </c>
    </row>
    <row r="15" spans="2:40" x14ac:dyDescent="0.35">
      <c r="B15" t="s">
        <v>72</v>
      </c>
    </row>
    <row r="16" spans="2:40" x14ac:dyDescent="0.35">
      <c r="B16" t="s">
        <v>73</v>
      </c>
    </row>
    <row r="18" spans="2:2" x14ac:dyDescent="0.35">
      <c r="B18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B2:AN18"/>
  <sheetViews>
    <sheetView showGridLines="0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246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1127</v>
      </c>
      <c r="D7" s="10">
        <v>565</v>
      </c>
      <c r="E7" s="10">
        <v>558</v>
      </c>
      <c r="F7" s="10"/>
      <c r="G7" s="10" t="s">
        <v>75</v>
      </c>
      <c r="H7" s="10" t="s">
        <v>75</v>
      </c>
      <c r="I7" s="10">
        <v>1127</v>
      </c>
      <c r="J7" s="10"/>
      <c r="K7" s="10" t="s">
        <v>75</v>
      </c>
      <c r="L7" s="10">
        <v>855</v>
      </c>
      <c r="M7" s="10">
        <v>272</v>
      </c>
      <c r="N7" s="10"/>
      <c r="O7" s="10">
        <v>950</v>
      </c>
      <c r="P7" s="10">
        <v>154</v>
      </c>
      <c r="Q7" s="10"/>
      <c r="R7" s="10">
        <v>167</v>
      </c>
      <c r="S7" s="10">
        <v>201</v>
      </c>
      <c r="T7" s="10">
        <v>93</v>
      </c>
      <c r="U7" s="10">
        <v>106</v>
      </c>
      <c r="V7" s="10">
        <v>95</v>
      </c>
      <c r="W7" s="10">
        <v>136</v>
      </c>
      <c r="X7" s="10">
        <v>73</v>
      </c>
      <c r="Y7" s="10">
        <v>67</v>
      </c>
      <c r="Z7" s="10">
        <v>189</v>
      </c>
      <c r="AA7" s="10"/>
      <c r="AB7" s="10">
        <v>141</v>
      </c>
      <c r="AC7" s="10">
        <v>136</v>
      </c>
      <c r="AD7" s="10">
        <v>144</v>
      </c>
      <c r="AE7" s="10">
        <v>102</v>
      </c>
      <c r="AF7" s="10"/>
      <c r="AG7" s="10">
        <v>88</v>
      </c>
      <c r="AH7" s="10">
        <v>43</v>
      </c>
      <c r="AI7" s="10"/>
      <c r="AJ7" s="10">
        <v>131</v>
      </c>
      <c r="AK7" s="10">
        <v>126</v>
      </c>
      <c r="AL7" s="10"/>
      <c r="AM7" s="10">
        <v>580</v>
      </c>
      <c r="AN7" s="10">
        <v>294</v>
      </c>
    </row>
    <row r="8" spans="2:40" ht="30" customHeight="1" x14ac:dyDescent="0.35">
      <c r="B8" s="11" t="s">
        <v>20</v>
      </c>
      <c r="C8" s="11">
        <v>1058</v>
      </c>
      <c r="D8" s="11">
        <v>498</v>
      </c>
      <c r="E8" s="11">
        <v>557</v>
      </c>
      <c r="F8" s="11"/>
      <c r="G8" s="11" t="s">
        <v>75</v>
      </c>
      <c r="H8" s="11" t="s">
        <v>75</v>
      </c>
      <c r="I8" s="11">
        <v>1058</v>
      </c>
      <c r="J8" s="11"/>
      <c r="K8" s="11" t="s">
        <v>75</v>
      </c>
      <c r="L8" s="11">
        <v>690</v>
      </c>
      <c r="M8" s="11">
        <v>368</v>
      </c>
      <c r="N8" s="11"/>
      <c r="O8" s="11">
        <v>887</v>
      </c>
      <c r="P8" s="11">
        <v>149</v>
      </c>
      <c r="Q8" s="11"/>
      <c r="R8" s="11">
        <v>173</v>
      </c>
      <c r="S8" s="11">
        <v>179</v>
      </c>
      <c r="T8" s="11">
        <v>99</v>
      </c>
      <c r="U8" s="11">
        <v>112</v>
      </c>
      <c r="V8" s="11">
        <v>91</v>
      </c>
      <c r="W8" s="11">
        <v>101</v>
      </c>
      <c r="X8" s="11">
        <v>103</v>
      </c>
      <c r="Y8" s="11">
        <v>60</v>
      </c>
      <c r="Z8" s="11">
        <v>141</v>
      </c>
      <c r="AA8" s="11"/>
      <c r="AB8" s="11">
        <v>108</v>
      </c>
      <c r="AC8" s="11">
        <v>108</v>
      </c>
      <c r="AD8" s="11">
        <v>203</v>
      </c>
      <c r="AE8" s="11">
        <v>135</v>
      </c>
      <c r="AF8" s="11"/>
      <c r="AG8" s="11">
        <v>108</v>
      </c>
      <c r="AH8" s="11">
        <v>60</v>
      </c>
      <c r="AI8" s="11"/>
      <c r="AJ8" s="11">
        <v>168</v>
      </c>
      <c r="AK8" s="11">
        <v>179</v>
      </c>
      <c r="AL8" s="11"/>
      <c r="AM8" s="11">
        <v>527</v>
      </c>
      <c r="AN8" s="11">
        <v>295</v>
      </c>
    </row>
    <row r="9" spans="2:40" x14ac:dyDescent="0.35">
      <c r="B9" s="15" t="s">
        <v>242</v>
      </c>
      <c r="C9" s="14">
        <v>0.38746112672125899</v>
      </c>
      <c r="D9" s="14">
        <v>0.42209040898192401</v>
      </c>
      <c r="E9" s="14">
        <v>0.35475617664049303</v>
      </c>
      <c r="F9" s="14"/>
      <c r="G9" s="14" t="s">
        <v>76</v>
      </c>
      <c r="H9" s="14" t="s">
        <v>76</v>
      </c>
      <c r="I9" s="14">
        <v>0.38746112672125899</v>
      </c>
      <c r="J9" s="14"/>
      <c r="K9" s="14" t="s">
        <v>76</v>
      </c>
      <c r="L9" s="14">
        <v>0.38559334171934201</v>
      </c>
      <c r="M9" s="14">
        <v>0.39096208021012102</v>
      </c>
      <c r="N9" s="14"/>
      <c r="O9" s="14">
        <v>0.35869121918312902</v>
      </c>
      <c r="P9" s="14">
        <v>0.55192391896715298</v>
      </c>
      <c r="Q9" s="14"/>
      <c r="R9" s="14">
        <v>0.475482125551415</v>
      </c>
      <c r="S9" s="14">
        <v>0.324512061057045</v>
      </c>
      <c r="T9" s="14">
        <v>0.34511681814672002</v>
      </c>
      <c r="U9" s="14">
        <v>0.39170750632066498</v>
      </c>
      <c r="V9" s="14">
        <v>0.36166714797702898</v>
      </c>
      <c r="W9" s="14">
        <v>0.322501122007398</v>
      </c>
      <c r="X9" s="14">
        <v>0.39399197789155099</v>
      </c>
      <c r="Y9" s="14">
        <v>0.39491184305682098</v>
      </c>
      <c r="Z9" s="14">
        <v>0.44107118070578799</v>
      </c>
      <c r="AA9" s="14"/>
      <c r="AB9" s="14">
        <v>0.35503698359883301</v>
      </c>
      <c r="AC9" s="14">
        <v>0.56366779517906296</v>
      </c>
      <c r="AD9" s="14">
        <v>0.32777004166067802</v>
      </c>
      <c r="AE9" s="14">
        <v>0.51799629508933398</v>
      </c>
      <c r="AF9" s="14"/>
      <c r="AG9" s="14">
        <v>0.57443402447144998</v>
      </c>
      <c r="AH9" s="14">
        <v>0.28769386602667302</v>
      </c>
      <c r="AI9" s="14"/>
      <c r="AJ9" s="14">
        <v>0.47233668392148997</v>
      </c>
      <c r="AK9" s="14">
        <v>0.32684309208385598</v>
      </c>
      <c r="AL9" s="14"/>
      <c r="AM9" s="14">
        <v>0.53523420344327899</v>
      </c>
      <c r="AN9" s="14">
        <v>0.212182867631138</v>
      </c>
    </row>
    <row r="10" spans="2:40" x14ac:dyDescent="0.35">
      <c r="B10" s="15" t="s">
        <v>243</v>
      </c>
      <c r="C10" s="14">
        <v>0.48273262615081097</v>
      </c>
      <c r="D10" s="14">
        <v>0.45385957616746397</v>
      </c>
      <c r="E10" s="14">
        <v>0.50934772195530997</v>
      </c>
      <c r="F10" s="14"/>
      <c r="G10" s="14" t="s">
        <v>76</v>
      </c>
      <c r="H10" s="14" t="s">
        <v>76</v>
      </c>
      <c r="I10" s="14">
        <v>0.48273262615081097</v>
      </c>
      <c r="J10" s="14"/>
      <c r="K10" s="14" t="s">
        <v>76</v>
      </c>
      <c r="L10" s="14">
        <v>0.470689012394644</v>
      </c>
      <c r="M10" s="14">
        <v>0.50530702928333404</v>
      </c>
      <c r="N10" s="14"/>
      <c r="O10" s="14">
        <v>0.50287332449620503</v>
      </c>
      <c r="P10" s="14">
        <v>0.36870679043217902</v>
      </c>
      <c r="Q10" s="14"/>
      <c r="R10" s="14">
        <v>0.40256260042979303</v>
      </c>
      <c r="S10" s="14">
        <v>0.53376827176765396</v>
      </c>
      <c r="T10" s="14">
        <v>0.55083664048056902</v>
      </c>
      <c r="U10" s="14">
        <v>0.43936646367302401</v>
      </c>
      <c r="V10" s="14">
        <v>0.465856466821083</v>
      </c>
      <c r="W10" s="14">
        <v>0.53707415907173905</v>
      </c>
      <c r="X10" s="14">
        <v>0.498219300888116</v>
      </c>
      <c r="Y10" s="14">
        <v>0.47552013400138199</v>
      </c>
      <c r="Z10" s="14">
        <v>0.46640933675218399</v>
      </c>
      <c r="AA10" s="14"/>
      <c r="AB10" s="14">
        <v>0.49634700308952201</v>
      </c>
      <c r="AC10" s="14">
        <v>0.37942152552727298</v>
      </c>
      <c r="AD10" s="14">
        <v>0.53382323362834105</v>
      </c>
      <c r="AE10" s="14">
        <v>0.43841097201978502</v>
      </c>
      <c r="AF10" s="14"/>
      <c r="AG10" s="14">
        <v>0.39608105249596998</v>
      </c>
      <c r="AH10" s="14">
        <v>0.57912067220742303</v>
      </c>
      <c r="AI10" s="14"/>
      <c r="AJ10" s="14">
        <v>0.46125454786255798</v>
      </c>
      <c r="AK10" s="14">
        <v>0.53858521318978503</v>
      </c>
      <c r="AL10" s="14"/>
      <c r="AM10" s="14">
        <v>0.40731785792183001</v>
      </c>
      <c r="AN10" s="14">
        <v>0.52564154407195496</v>
      </c>
    </row>
    <row r="11" spans="2:40" x14ac:dyDescent="0.35">
      <c r="B11" s="15" t="s">
        <v>244</v>
      </c>
      <c r="C11" s="14">
        <v>8.8205815780809105E-2</v>
      </c>
      <c r="D11" s="14">
        <v>8.6870378769120696E-2</v>
      </c>
      <c r="E11" s="14">
        <v>9.0041291468491699E-2</v>
      </c>
      <c r="F11" s="14"/>
      <c r="G11" s="14" t="s">
        <v>76</v>
      </c>
      <c r="H11" s="14" t="s">
        <v>76</v>
      </c>
      <c r="I11" s="14">
        <v>8.8205815780809105E-2</v>
      </c>
      <c r="J11" s="14"/>
      <c r="K11" s="14" t="s">
        <v>76</v>
      </c>
      <c r="L11" s="14">
        <v>8.7827134036708998E-2</v>
      </c>
      <c r="M11" s="14">
        <v>8.8915612235869301E-2</v>
      </c>
      <c r="N11" s="14"/>
      <c r="O11" s="14">
        <v>9.2451461323012102E-2</v>
      </c>
      <c r="P11" s="14">
        <v>6.9212823941646295E-2</v>
      </c>
      <c r="Q11" s="14"/>
      <c r="R11" s="14">
        <v>9.5442511714352404E-2</v>
      </c>
      <c r="S11" s="14">
        <v>9.7765923094141394E-2</v>
      </c>
      <c r="T11" s="14">
        <v>7.9120838699588206E-2</v>
      </c>
      <c r="U11" s="14">
        <v>0.135764336563995</v>
      </c>
      <c r="V11" s="14">
        <v>0.116935711104405</v>
      </c>
      <c r="W11" s="14">
        <v>8.3073490793781804E-2</v>
      </c>
      <c r="X11" s="14">
        <v>4.56697368345143E-2</v>
      </c>
      <c r="Y11" s="14">
        <v>6.2075311062036301E-2</v>
      </c>
      <c r="Z11" s="14">
        <v>6.33385708582581E-2</v>
      </c>
      <c r="AA11" s="14"/>
      <c r="AB11" s="14">
        <v>0.102853269634457</v>
      </c>
      <c r="AC11" s="14">
        <v>4.3739037749938897E-2</v>
      </c>
      <c r="AD11" s="14">
        <v>0.12326311666395399</v>
      </c>
      <c r="AE11" s="14">
        <v>3.0798897965209501E-2</v>
      </c>
      <c r="AF11" s="14"/>
      <c r="AG11" s="14">
        <v>2.34752623507847E-2</v>
      </c>
      <c r="AH11" s="14">
        <v>0.13318546176590301</v>
      </c>
      <c r="AI11" s="14"/>
      <c r="AJ11" s="14">
        <v>6.2538920724422006E-2</v>
      </c>
      <c r="AK11" s="14">
        <v>0.10773166269724101</v>
      </c>
      <c r="AL11" s="14"/>
      <c r="AM11" s="14">
        <v>3.5292110952827201E-2</v>
      </c>
      <c r="AN11" s="14">
        <v>0.18604393750154299</v>
      </c>
    </row>
    <row r="12" spans="2:40" x14ac:dyDescent="0.35">
      <c r="B12" s="15" t="s">
        <v>245</v>
      </c>
      <c r="C12" s="14">
        <v>2.0911654535101101E-2</v>
      </c>
      <c r="D12" s="14">
        <v>1.7247896076723699E-2</v>
      </c>
      <c r="E12" s="14">
        <v>2.4338803042224199E-2</v>
      </c>
      <c r="F12" s="14"/>
      <c r="G12" s="14" t="s">
        <v>76</v>
      </c>
      <c r="H12" s="14" t="s">
        <v>76</v>
      </c>
      <c r="I12" s="14">
        <v>2.0911654535101101E-2</v>
      </c>
      <c r="J12" s="14"/>
      <c r="K12" s="14" t="s">
        <v>76</v>
      </c>
      <c r="L12" s="14">
        <v>2.4164117096789901E-2</v>
      </c>
      <c r="M12" s="14">
        <v>1.4815278270676101E-2</v>
      </c>
      <c r="N12" s="14"/>
      <c r="O12" s="14">
        <v>2.3277847160256201E-2</v>
      </c>
      <c r="P12" s="14">
        <v>4.4568023113214401E-3</v>
      </c>
      <c r="Q12" s="14"/>
      <c r="R12" s="14">
        <v>1.14561196411364E-2</v>
      </c>
      <c r="S12" s="14">
        <v>2.22550995824243E-2</v>
      </c>
      <c r="T12" s="14">
        <v>0</v>
      </c>
      <c r="U12" s="14">
        <v>8.1671748958668505E-3</v>
      </c>
      <c r="V12" s="14">
        <v>1.9032471519848399E-2</v>
      </c>
      <c r="W12" s="14">
        <v>3.7615453625009697E-2</v>
      </c>
      <c r="X12" s="14">
        <v>4.9813829727573998E-2</v>
      </c>
      <c r="Y12" s="14">
        <v>4.25915418150455E-2</v>
      </c>
      <c r="Z12" s="14">
        <v>1.44558387031059E-2</v>
      </c>
      <c r="AA12" s="14"/>
      <c r="AB12" s="14">
        <v>3.2245712267807002E-2</v>
      </c>
      <c r="AC12" s="14">
        <v>0</v>
      </c>
      <c r="AD12" s="14">
        <v>1.5143608047027E-2</v>
      </c>
      <c r="AE12" s="14">
        <v>1.2793834925672201E-2</v>
      </c>
      <c r="AF12" s="14"/>
      <c r="AG12" s="14">
        <v>6.0096606817952904E-3</v>
      </c>
      <c r="AH12" s="14">
        <v>0</v>
      </c>
      <c r="AI12" s="14"/>
      <c r="AJ12" s="14">
        <v>3.8698474915297601E-3</v>
      </c>
      <c r="AK12" s="14">
        <v>2.68400320291181E-2</v>
      </c>
      <c r="AL12" s="14"/>
      <c r="AM12" s="14">
        <v>4.7450706771916696E-3</v>
      </c>
      <c r="AN12" s="14">
        <v>5.5699685988488602E-2</v>
      </c>
    </row>
    <row r="13" spans="2:40" x14ac:dyDescent="0.35">
      <c r="B13" s="15" t="s">
        <v>70</v>
      </c>
      <c r="C13" s="20">
        <v>2.0688776812019399E-2</v>
      </c>
      <c r="D13" s="20">
        <v>1.9931740004768401E-2</v>
      </c>
      <c r="E13" s="20">
        <v>2.1516006893481199E-2</v>
      </c>
      <c r="F13" s="20"/>
      <c r="G13" s="20" t="s">
        <v>76</v>
      </c>
      <c r="H13" s="20" t="s">
        <v>76</v>
      </c>
      <c r="I13" s="20">
        <v>2.0688776812019399E-2</v>
      </c>
      <c r="J13" s="20"/>
      <c r="K13" s="20" t="s">
        <v>76</v>
      </c>
      <c r="L13" s="20">
        <v>3.1726394752514799E-2</v>
      </c>
      <c r="M13" s="20">
        <v>0</v>
      </c>
      <c r="N13" s="20"/>
      <c r="O13" s="20">
        <v>2.27061478373979E-2</v>
      </c>
      <c r="P13" s="20">
        <v>5.6996643476997103E-3</v>
      </c>
      <c r="Q13" s="20"/>
      <c r="R13" s="20">
        <v>1.5056642663303E-2</v>
      </c>
      <c r="S13" s="20">
        <v>2.16986444987355E-2</v>
      </c>
      <c r="T13" s="20">
        <v>2.49257026731231E-2</v>
      </c>
      <c r="U13" s="20">
        <v>2.4994518546449799E-2</v>
      </c>
      <c r="V13" s="20">
        <v>3.6508202577634603E-2</v>
      </c>
      <c r="W13" s="20">
        <v>1.9735774502071E-2</v>
      </c>
      <c r="X13" s="20">
        <v>1.2305154658244E-2</v>
      </c>
      <c r="Y13" s="20">
        <v>2.4901170064715102E-2</v>
      </c>
      <c r="Z13" s="20">
        <v>1.4725072980663501E-2</v>
      </c>
      <c r="AA13" s="20"/>
      <c r="AB13" s="20">
        <v>1.3517031409381101E-2</v>
      </c>
      <c r="AC13" s="20">
        <v>1.31716415437258E-2</v>
      </c>
      <c r="AD13" s="20">
        <v>0</v>
      </c>
      <c r="AE13" s="20">
        <v>0</v>
      </c>
      <c r="AF13" s="20"/>
      <c r="AG13" s="20">
        <v>0</v>
      </c>
      <c r="AH13" s="20">
        <v>0</v>
      </c>
      <c r="AI13" s="20"/>
      <c r="AJ13" s="20">
        <v>0</v>
      </c>
      <c r="AK13" s="20">
        <v>0</v>
      </c>
      <c r="AL13" s="20"/>
      <c r="AM13" s="20">
        <v>1.7410757004871401E-2</v>
      </c>
      <c r="AN13" s="20">
        <v>2.0431964806875098E-2</v>
      </c>
    </row>
    <row r="14" spans="2:40" x14ac:dyDescent="0.35">
      <c r="B14" s="31" t="s">
        <v>255</v>
      </c>
    </row>
    <row r="15" spans="2:40" x14ac:dyDescent="0.35">
      <c r="B15" t="s">
        <v>72</v>
      </c>
    </row>
    <row r="16" spans="2:40" x14ac:dyDescent="0.35">
      <c r="B16" t="s">
        <v>73</v>
      </c>
    </row>
    <row r="18" spans="2:2" x14ac:dyDescent="0.35">
      <c r="B18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B2:AN16"/>
  <sheetViews>
    <sheetView showGridLines="0" workbookViewId="0">
      <pane xSplit="2" topLeftCell="C1" activePane="topRight" state="frozen"/>
      <selection pane="topRight" activeCell="B12" sqref="B12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247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1216</v>
      </c>
      <c r="D7" s="10">
        <v>613</v>
      </c>
      <c r="E7" s="10">
        <v>598</v>
      </c>
      <c r="F7" s="10"/>
      <c r="G7" s="10" t="s">
        <v>75</v>
      </c>
      <c r="H7" s="10" t="s">
        <v>75</v>
      </c>
      <c r="I7" s="10">
        <v>1216</v>
      </c>
      <c r="J7" s="10"/>
      <c r="K7" s="10" t="s">
        <v>75</v>
      </c>
      <c r="L7" s="10">
        <v>924</v>
      </c>
      <c r="M7" s="10">
        <v>292</v>
      </c>
      <c r="N7" s="10"/>
      <c r="O7" s="10">
        <v>1020</v>
      </c>
      <c r="P7" s="10">
        <v>166</v>
      </c>
      <c r="Q7" s="10"/>
      <c r="R7" s="10">
        <v>177</v>
      </c>
      <c r="S7" s="10">
        <v>216</v>
      </c>
      <c r="T7" s="10">
        <v>97</v>
      </c>
      <c r="U7" s="10">
        <v>116</v>
      </c>
      <c r="V7" s="10">
        <v>104</v>
      </c>
      <c r="W7" s="10">
        <v>152</v>
      </c>
      <c r="X7" s="10">
        <v>76</v>
      </c>
      <c r="Y7" s="10">
        <v>70</v>
      </c>
      <c r="Z7" s="10">
        <v>208</v>
      </c>
      <c r="AA7" s="10"/>
      <c r="AB7" s="10">
        <v>152</v>
      </c>
      <c r="AC7" s="10">
        <v>147</v>
      </c>
      <c r="AD7" s="10">
        <v>152</v>
      </c>
      <c r="AE7" s="10">
        <v>106</v>
      </c>
      <c r="AF7" s="10"/>
      <c r="AG7" s="10">
        <v>95</v>
      </c>
      <c r="AH7" s="10">
        <v>46</v>
      </c>
      <c r="AI7" s="10"/>
      <c r="AJ7" s="10">
        <v>141</v>
      </c>
      <c r="AK7" s="10">
        <v>131</v>
      </c>
      <c r="AL7" s="10"/>
      <c r="AM7" s="10">
        <v>626</v>
      </c>
      <c r="AN7" s="10">
        <v>310</v>
      </c>
    </row>
    <row r="8" spans="2:40" ht="30" customHeight="1" x14ac:dyDescent="0.35">
      <c r="B8" s="11" t="s">
        <v>20</v>
      </c>
      <c r="C8" s="11">
        <v>1136</v>
      </c>
      <c r="D8" s="11">
        <v>540</v>
      </c>
      <c r="E8" s="11">
        <v>591</v>
      </c>
      <c r="F8" s="11"/>
      <c r="G8" s="11" t="s">
        <v>75</v>
      </c>
      <c r="H8" s="11" t="s">
        <v>75</v>
      </c>
      <c r="I8" s="11">
        <v>1136</v>
      </c>
      <c r="J8" s="11"/>
      <c r="K8" s="11" t="s">
        <v>75</v>
      </c>
      <c r="L8" s="11">
        <v>745</v>
      </c>
      <c r="M8" s="11">
        <v>391</v>
      </c>
      <c r="N8" s="11"/>
      <c r="O8" s="11">
        <v>946</v>
      </c>
      <c r="P8" s="11">
        <v>161</v>
      </c>
      <c r="Q8" s="11"/>
      <c r="R8" s="11">
        <v>183</v>
      </c>
      <c r="S8" s="11">
        <v>192</v>
      </c>
      <c r="T8" s="11">
        <v>104</v>
      </c>
      <c r="U8" s="11">
        <v>121</v>
      </c>
      <c r="V8" s="11">
        <v>99</v>
      </c>
      <c r="W8" s="11">
        <v>112</v>
      </c>
      <c r="X8" s="11">
        <v>107</v>
      </c>
      <c r="Y8" s="11">
        <v>62</v>
      </c>
      <c r="Z8" s="11">
        <v>157</v>
      </c>
      <c r="AA8" s="11"/>
      <c r="AB8" s="11">
        <v>117</v>
      </c>
      <c r="AC8" s="11">
        <v>117</v>
      </c>
      <c r="AD8" s="11">
        <v>211</v>
      </c>
      <c r="AE8" s="11">
        <v>141</v>
      </c>
      <c r="AF8" s="11"/>
      <c r="AG8" s="11">
        <v>117</v>
      </c>
      <c r="AH8" s="11">
        <v>63</v>
      </c>
      <c r="AI8" s="11"/>
      <c r="AJ8" s="11">
        <v>180</v>
      </c>
      <c r="AK8" s="11">
        <v>185</v>
      </c>
      <c r="AL8" s="11"/>
      <c r="AM8" s="11">
        <v>567</v>
      </c>
      <c r="AN8" s="11">
        <v>311</v>
      </c>
    </row>
    <row r="9" spans="2:40" x14ac:dyDescent="0.35">
      <c r="B9" s="15" t="s">
        <v>44</v>
      </c>
      <c r="C9" s="14">
        <v>0.80615468629743203</v>
      </c>
      <c r="D9" s="14">
        <v>0.801953930586634</v>
      </c>
      <c r="E9" s="14">
        <v>0.80838468965587795</v>
      </c>
      <c r="F9" s="14"/>
      <c r="G9" s="14" t="s">
        <v>76</v>
      </c>
      <c r="H9" s="14" t="s">
        <v>76</v>
      </c>
      <c r="I9" s="14">
        <v>0.80615468629743203</v>
      </c>
      <c r="J9" s="14"/>
      <c r="K9" s="14" t="s">
        <v>76</v>
      </c>
      <c r="L9" s="14">
        <v>0.78168968113158699</v>
      </c>
      <c r="M9" s="14">
        <v>0.85268065202149401</v>
      </c>
      <c r="N9" s="14"/>
      <c r="O9" s="14">
        <v>0.80727280868819595</v>
      </c>
      <c r="P9" s="14">
        <v>0.81361832517868204</v>
      </c>
      <c r="Q9" s="14"/>
      <c r="R9" s="14">
        <v>0.81897868504777604</v>
      </c>
      <c r="S9" s="14">
        <v>0.82371998921329903</v>
      </c>
      <c r="T9" s="14">
        <v>0.77288588997114305</v>
      </c>
      <c r="U9" s="14">
        <v>0.81314595104588105</v>
      </c>
      <c r="V9" s="14">
        <v>0.84418358545384597</v>
      </c>
      <c r="W9" s="14">
        <v>0.789680336513081</v>
      </c>
      <c r="X9" s="14">
        <v>0.78152184815222103</v>
      </c>
      <c r="Y9" s="14">
        <v>0.80494340348013604</v>
      </c>
      <c r="Z9" s="14">
        <v>0.79144664695230904</v>
      </c>
      <c r="AA9" s="14"/>
      <c r="AB9" s="14">
        <v>0.86324127900709302</v>
      </c>
      <c r="AC9" s="14">
        <v>0.82227732048438196</v>
      </c>
      <c r="AD9" s="14">
        <v>0.84815314388947305</v>
      </c>
      <c r="AE9" s="14">
        <v>0.91665845909333599</v>
      </c>
      <c r="AF9" s="14"/>
      <c r="AG9" s="14">
        <v>0.87589130628769096</v>
      </c>
      <c r="AH9" s="14">
        <v>0.80319815014043405</v>
      </c>
      <c r="AI9" s="14"/>
      <c r="AJ9" s="14">
        <v>0.850485052845808</v>
      </c>
      <c r="AK9" s="14">
        <v>0.86047431655679696</v>
      </c>
      <c r="AL9" s="14"/>
      <c r="AM9" s="14">
        <v>0.81815998887825503</v>
      </c>
      <c r="AN9" s="14">
        <v>0.767510387934069</v>
      </c>
    </row>
    <row r="10" spans="2:40" x14ac:dyDescent="0.35">
      <c r="B10" s="15" t="s">
        <v>45</v>
      </c>
      <c r="C10" s="14">
        <v>0.159522377216607</v>
      </c>
      <c r="D10" s="14">
        <v>0.169578738921594</v>
      </c>
      <c r="E10" s="14">
        <v>0.151649590143483</v>
      </c>
      <c r="F10" s="14"/>
      <c r="G10" s="14" t="s">
        <v>76</v>
      </c>
      <c r="H10" s="14" t="s">
        <v>76</v>
      </c>
      <c r="I10" s="14">
        <v>0.159522377216607</v>
      </c>
      <c r="J10" s="14"/>
      <c r="K10" s="14" t="s">
        <v>76</v>
      </c>
      <c r="L10" s="14">
        <v>0.17203008629594299</v>
      </c>
      <c r="M10" s="14">
        <v>0.135736024425473</v>
      </c>
      <c r="N10" s="14"/>
      <c r="O10" s="14">
        <v>0.15619464315631701</v>
      </c>
      <c r="P10" s="14">
        <v>0.165219301139856</v>
      </c>
      <c r="Q10" s="14"/>
      <c r="R10" s="14">
        <v>0.15329373875008301</v>
      </c>
      <c r="S10" s="14">
        <v>0.14655295886431</v>
      </c>
      <c r="T10" s="14">
        <v>0.21140431123804401</v>
      </c>
      <c r="U10" s="14">
        <v>0.14041168675308099</v>
      </c>
      <c r="V10" s="14">
        <v>0.13974011622802501</v>
      </c>
      <c r="W10" s="14">
        <v>0.15255250645181101</v>
      </c>
      <c r="X10" s="14">
        <v>0.18545341865592799</v>
      </c>
      <c r="Y10" s="14">
        <v>0.16726084181391199</v>
      </c>
      <c r="Z10" s="14">
        <v>0.15974625108426899</v>
      </c>
      <c r="AA10" s="14"/>
      <c r="AB10" s="14">
        <v>0.123519774079532</v>
      </c>
      <c r="AC10" s="14">
        <v>0.155165497767699</v>
      </c>
      <c r="AD10" s="14">
        <v>0.13877810284299799</v>
      </c>
      <c r="AE10" s="14">
        <v>8.3341540906663403E-2</v>
      </c>
      <c r="AF10" s="14"/>
      <c r="AG10" s="14">
        <v>0.108967449279467</v>
      </c>
      <c r="AH10" s="14">
        <v>0.196801849859566</v>
      </c>
      <c r="AI10" s="14"/>
      <c r="AJ10" s="14">
        <v>0.13966556668591701</v>
      </c>
      <c r="AK10" s="14">
        <v>0.124588196602991</v>
      </c>
      <c r="AL10" s="14"/>
      <c r="AM10" s="14">
        <v>0.15811913950786</v>
      </c>
      <c r="AN10" s="14">
        <v>0.181371735517388</v>
      </c>
    </row>
    <row r="11" spans="2:40" x14ac:dyDescent="0.35">
      <c r="B11" s="15" t="s">
        <v>70</v>
      </c>
      <c r="C11" s="20">
        <v>3.4322936485960701E-2</v>
      </c>
      <c r="D11" s="20">
        <v>2.84673304917725E-2</v>
      </c>
      <c r="E11" s="20">
        <v>3.9965720200638197E-2</v>
      </c>
      <c r="F11" s="20"/>
      <c r="G11" s="20" t="s">
        <v>76</v>
      </c>
      <c r="H11" s="20" t="s">
        <v>76</v>
      </c>
      <c r="I11" s="20">
        <v>3.4322936485960701E-2</v>
      </c>
      <c r="J11" s="20"/>
      <c r="K11" s="20" t="s">
        <v>76</v>
      </c>
      <c r="L11" s="20">
        <v>4.6280232572470603E-2</v>
      </c>
      <c r="M11" s="20">
        <v>1.1583323553032701E-2</v>
      </c>
      <c r="N11" s="20"/>
      <c r="O11" s="20">
        <v>3.6532548155487697E-2</v>
      </c>
      <c r="P11" s="20">
        <v>2.11623736814627E-2</v>
      </c>
      <c r="Q11" s="20"/>
      <c r="R11" s="20">
        <v>2.7727576202140999E-2</v>
      </c>
      <c r="S11" s="20">
        <v>2.9727051922391098E-2</v>
      </c>
      <c r="T11" s="20">
        <v>1.5709798790812701E-2</v>
      </c>
      <c r="U11" s="20">
        <v>4.6442362201038298E-2</v>
      </c>
      <c r="V11" s="20">
        <v>1.6076298318129099E-2</v>
      </c>
      <c r="W11" s="20">
        <v>5.7767157035107798E-2</v>
      </c>
      <c r="X11" s="20">
        <v>3.3024733191851501E-2</v>
      </c>
      <c r="Y11" s="20">
        <v>2.7795754705952101E-2</v>
      </c>
      <c r="Z11" s="20">
        <v>4.8807101963421598E-2</v>
      </c>
      <c r="AA11" s="20"/>
      <c r="AB11" s="20">
        <v>1.3238946913375399E-2</v>
      </c>
      <c r="AC11" s="20">
        <v>2.2557181747918899E-2</v>
      </c>
      <c r="AD11" s="20">
        <v>1.3068753267529E-2</v>
      </c>
      <c r="AE11" s="20">
        <v>0</v>
      </c>
      <c r="AF11" s="20"/>
      <c r="AG11" s="20">
        <v>1.51412444328415E-2</v>
      </c>
      <c r="AH11" s="20">
        <v>0</v>
      </c>
      <c r="AI11" s="20"/>
      <c r="AJ11" s="20">
        <v>9.8493804682750607E-3</v>
      </c>
      <c r="AK11" s="20">
        <v>1.4937486840211499E-2</v>
      </c>
      <c r="AL11" s="20"/>
      <c r="AM11" s="20">
        <v>2.3720871613884802E-2</v>
      </c>
      <c r="AN11" s="20">
        <v>5.1117876548542801E-2</v>
      </c>
    </row>
    <row r="12" spans="2:40" x14ac:dyDescent="0.35">
      <c r="B12" s="27" t="s">
        <v>390</v>
      </c>
    </row>
    <row r="13" spans="2:40" x14ac:dyDescent="0.35">
      <c r="B13" t="s">
        <v>72</v>
      </c>
    </row>
    <row r="14" spans="2:40" x14ac:dyDescent="0.35">
      <c r="B14" t="s">
        <v>73</v>
      </c>
    </row>
    <row r="16" spans="2:40" x14ac:dyDescent="0.35">
      <c r="B16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B2:AN18"/>
  <sheetViews>
    <sheetView showGridLines="0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248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975</v>
      </c>
      <c r="D7" s="10">
        <v>488</v>
      </c>
      <c r="E7" s="10">
        <v>482</v>
      </c>
      <c r="F7" s="10"/>
      <c r="G7" s="10" t="s">
        <v>75</v>
      </c>
      <c r="H7" s="10" t="s">
        <v>75</v>
      </c>
      <c r="I7" s="10">
        <v>975</v>
      </c>
      <c r="J7" s="10"/>
      <c r="K7" s="10" t="s">
        <v>75</v>
      </c>
      <c r="L7" s="10">
        <v>724</v>
      </c>
      <c r="M7" s="10">
        <v>251</v>
      </c>
      <c r="N7" s="10"/>
      <c r="O7" s="10">
        <v>817</v>
      </c>
      <c r="P7" s="10">
        <v>135</v>
      </c>
      <c r="Q7" s="10"/>
      <c r="R7" s="10">
        <v>143</v>
      </c>
      <c r="S7" s="10">
        <v>177</v>
      </c>
      <c r="T7" s="10">
        <v>76</v>
      </c>
      <c r="U7" s="10">
        <v>93</v>
      </c>
      <c r="V7" s="10">
        <v>89</v>
      </c>
      <c r="W7" s="10">
        <v>118</v>
      </c>
      <c r="X7" s="10">
        <v>58</v>
      </c>
      <c r="Y7" s="10">
        <v>56</v>
      </c>
      <c r="Z7" s="10">
        <v>165</v>
      </c>
      <c r="AA7" s="10"/>
      <c r="AB7" s="10">
        <v>133</v>
      </c>
      <c r="AC7" s="10">
        <v>121</v>
      </c>
      <c r="AD7" s="10">
        <v>130</v>
      </c>
      <c r="AE7" s="10">
        <v>98</v>
      </c>
      <c r="AF7" s="10"/>
      <c r="AG7" s="10">
        <v>85</v>
      </c>
      <c r="AH7" s="10">
        <v>37</v>
      </c>
      <c r="AI7" s="10"/>
      <c r="AJ7" s="10">
        <v>122</v>
      </c>
      <c r="AK7" s="10">
        <v>114</v>
      </c>
      <c r="AL7" s="10"/>
      <c r="AM7" s="10">
        <v>513</v>
      </c>
      <c r="AN7" s="10">
        <v>239</v>
      </c>
    </row>
    <row r="8" spans="2:40" ht="30" customHeight="1" x14ac:dyDescent="0.35">
      <c r="B8" s="11" t="s">
        <v>20</v>
      </c>
      <c r="C8" s="11">
        <v>916</v>
      </c>
      <c r="D8" s="11">
        <v>433</v>
      </c>
      <c r="E8" s="11">
        <v>478</v>
      </c>
      <c r="F8" s="11"/>
      <c r="G8" s="11" t="s">
        <v>75</v>
      </c>
      <c r="H8" s="11" t="s">
        <v>75</v>
      </c>
      <c r="I8" s="11">
        <v>916</v>
      </c>
      <c r="J8" s="11"/>
      <c r="K8" s="11" t="s">
        <v>75</v>
      </c>
      <c r="L8" s="11">
        <v>582</v>
      </c>
      <c r="M8" s="11">
        <v>334</v>
      </c>
      <c r="N8" s="11"/>
      <c r="O8" s="11">
        <v>764</v>
      </c>
      <c r="P8" s="11">
        <v>131</v>
      </c>
      <c r="Q8" s="11"/>
      <c r="R8" s="11">
        <v>150</v>
      </c>
      <c r="S8" s="11">
        <v>158</v>
      </c>
      <c r="T8" s="11">
        <v>80</v>
      </c>
      <c r="U8" s="11">
        <v>98</v>
      </c>
      <c r="V8" s="11">
        <v>83</v>
      </c>
      <c r="W8" s="11">
        <v>89</v>
      </c>
      <c r="X8" s="11">
        <v>83</v>
      </c>
      <c r="Y8" s="11">
        <v>50</v>
      </c>
      <c r="Z8" s="11">
        <v>124</v>
      </c>
      <c r="AA8" s="11"/>
      <c r="AB8" s="11">
        <v>101</v>
      </c>
      <c r="AC8" s="11">
        <v>96</v>
      </c>
      <c r="AD8" s="11">
        <v>179</v>
      </c>
      <c r="AE8" s="11">
        <v>129</v>
      </c>
      <c r="AF8" s="11"/>
      <c r="AG8" s="11">
        <v>103</v>
      </c>
      <c r="AH8" s="11">
        <v>51</v>
      </c>
      <c r="AI8" s="11"/>
      <c r="AJ8" s="11">
        <v>153</v>
      </c>
      <c r="AK8" s="11">
        <v>159</v>
      </c>
      <c r="AL8" s="11"/>
      <c r="AM8" s="11">
        <v>464</v>
      </c>
      <c r="AN8" s="11">
        <v>239</v>
      </c>
    </row>
    <row r="9" spans="2:40" x14ac:dyDescent="0.35">
      <c r="B9" s="15" t="s">
        <v>155</v>
      </c>
      <c r="C9" s="14">
        <v>0.16129383297354399</v>
      </c>
      <c r="D9" s="14">
        <v>0.16816418260420399</v>
      </c>
      <c r="E9" s="14">
        <v>0.155018902151006</v>
      </c>
      <c r="F9" s="14"/>
      <c r="G9" s="14" t="s">
        <v>76</v>
      </c>
      <c r="H9" s="14" t="s">
        <v>76</v>
      </c>
      <c r="I9" s="14">
        <v>0.16129383297354399</v>
      </c>
      <c r="J9" s="14"/>
      <c r="K9" s="14" t="s">
        <v>76</v>
      </c>
      <c r="L9" s="14">
        <v>0.15769259561593399</v>
      </c>
      <c r="M9" s="14">
        <v>0.16757224483205699</v>
      </c>
      <c r="N9" s="14"/>
      <c r="O9" s="14">
        <v>0.139380577737473</v>
      </c>
      <c r="P9" s="14">
        <v>0.28006473718970398</v>
      </c>
      <c r="Q9" s="14"/>
      <c r="R9" s="14">
        <v>0.18588189350318601</v>
      </c>
      <c r="S9" s="14">
        <v>0.15576231883598601</v>
      </c>
      <c r="T9" s="14">
        <v>6.8768994082323898E-2</v>
      </c>
      <c r="U9" s="14">
        <v>0.16520085801523801</v>
      </c>
      <c r="V9" s="14">
        <v>0.151734817238697</v>
      </c>
      <c r="W9" s="14">
        <v>0.177977752551367</v>
      </c>
      <c r="X9" s="14">
        <v>0.13405422569578801</v>
      </c>
      <c r="Y9" s="14">
        <v>0.158130668900483</v>
      </c>
      <c r="Z9" s="14">
        <v>0.20945700609776999</v>
      </c>
      <c r="AA9" s="14"/>
      <c r="AB9" s="14">
        <v>0.159721661699608</v>
      </c>
      <c r="AC9" s="14">
        <v>0.17357649739640299</v>
      </c>
      <c r="AD9" s="14">
        <v>0.119658682321656</v>
      </c>
      <c r="AE9" s="14">
        <v>0.21049930019805099</v>
      </c>
      <c r="AF9" s="14"/>
      <c r="AG9" s="14">
        <v>0.291250521033323</v>
      </c>
      <c r="AH9" s="14">
        <v>0.15050320913029799</v>
      </c>
      <c r="AI9" s="14"/>
      <c r="AJ9" s="14">
        <v>0.24479437007573601</v>
      </c>
      <c r="AK9" s="14">
        <v>8.7965809176996604E-2</v>
      </c>
      <c r="AL9" s="14"/>
      <c r="AM9" s="14">
        <v>0.240671732279335</v>
      </c>
      <c r="AN9" s="14">
        <v>7.7224202037169704E-2</v>
      </c>
    </row>
    <row r="10" spans="2:40" x14ac:dyDescent="0.35">
      <c r="B10" s="15" t="s">
        <v>156</v>
      </c>
      <c r="C10" s="14">
        <v>0.632808124071772</v>
      </c>
      <c r="D10" s="14">
        <v>0.66168068174163597</v>
      </c>
      <c r="E10" s="14">
        <v>0.60968059874103897</v>
      </c>
      <c r="F10" s="14"/>
      <c r="G10" s="14" t="s">
        <v>76</v>
      </c>
      <c r="H10" s="14" t="s">
        <v>76</v>
      </c>
      <c r="I10" s="14">
        <v>0.632808124071772</v>
      </c>
      <c r="J10" s="14"/>
      <c r="K10" s="14" t="s">
        <v>76</v>
      </c>
      <c r="L10" s="14">
        <v>0.61792153198687805</v>
      </c>
      <c r="M10" s="14">
        <v>0.65876146926884604</v>
      </c>
      <c r="N10" s="14"/>
      <c r="O10" s="14">
        <v>0.64239535723519003</v>
      </c>
      <c r="P10" s="14">
        <v>0.61348747950267801</v>
      </c>
      <c r="Q10" s="14"/>
      <c r="R10" s="14">
        <v>0.64916930029679598</v>
      </c>
      <c r="S10" s="14">
        <v>0.65355479696930496</v>
      </c>
      <c r="T10" s="14">
        <v>0.74094177893137203</v>
      </c>
      <c r="U10" s="14">
        <v>0.58181111370683503</v>
      </c>
      <c r="V10" s="14">
        <v>0.56895224739988204</v>
      </c>
      <c r="W10" s="14">
        <v>0.51940264876675701</v>
      </c>
      <c r="X10" s="14">
        <v>0.70231908751660099</v>
      </c>
      <c r="Y10" s="14">
        <v>0.68628097816922295</v>
      </c>
      <c r="Z10" s="14">
        <v>0.61259346181246599</v>
      </c>
      <c r="AA10" s="14"/>
      <c r="AB10" s="14">
        <v>0.59388526345677195</v>
      </c>
      <c r="AC10" s="14">
        <v>0.66519372704900304</v>
      </c>
      <c r="AD10" s="14">
        <v>0.69424769802160502</v>
      </c>
      <c r="AE10" s="14">
        <v>0.67799636238722605</v>
      </c>
      <c r="AF10" s="14"/>
      <c r="AG10" s="14">
        <v>0.60328136634813201</v>
      </c>
      <c r="AH10" s="14">
        <v>0.58342239275066698</v>
      </c>
      <c r="AI10" s="14"/>
      <c r="AJ10" s="14">
        <v>0.59672655927698703</v>
      </c>
      <c r="AK10" s="14">
        <v>0.75255119981569296</v>
      </c>
      <c r="AL10" s="14"/>
      <c r="AM10" s="14">
        <v>0.63340472668843195</v>
      </c>
      <c r="AN10" s="14">
        <v>0.58646938507056101</v>
      </c>
    </row>
    <row r="11" spans="2:40" x14ac:dyDescent="0.35">
      <c r="B11" s="15" t="s">
        <v>157</v>
      </c>
      <c r="C11" s="14">
        <v>0.15813992389906301</v>
      </c>
      <c r="D11" s="14">
        <v>0.145194575432287</v>
      </c>
      <c r="E11" s="14">
        <v>0.166359722303552</v>
      </c>
      <c r="F11" s="14"/>
      <c r="G11" s="14" t="s">
        <v>76</v>
      </c>
      <c r="H11" s="14" t="s">
        <v>76</v>
      </c>
      <c r="I11" s="14">
        <v>0.15813992389906301</v>
      </c>
      <c r="J11" s="14"/>
      <c r="K11" s="14" t="s">
        <v>76</v>
      </c>
      <c r="L11" s="14">
        <v>0.16642373582673001</v>
      </c>
      <c r="M11" s="14">
        <v>0.14369789248715101</v>
      </c>
      <c r="N11" s="14"/>
      <c r="O11" s="14">
        <v>0.16988825978737701</v>
      </c>
      <c r="P11" s="14">
        <v>7.08800269511142E-2</v>
      </c>
      <c r="Q11" s="14"/>
      <c r="R11" s="14">
        <v>0.127749686886209</v>
      </c>
      <c r="S11" s="14">
        <v>0.137708344663167</v>
      </c>
      <c r="T11" s="14">
        <v>0.12214784969644001</v>
      </c>
      <c r="U11" s="14">
        <v>0.18167373911263399</v>
      </c>
      <c r="V11" s="14">
        <v>0.24007724126799301</v>
      </c>
      <c r="W11" s="14">
        <v>0.24109744426905</v>
      </c>
      <c r="X11" s="14">
        <v>0.117935533080595</v>
      </c>
      <c r="Y11" s="14">
        <v>0.15558835293029399</v>
      </c>
      <c r="Z11" s="14">
        <v>0.139307075658816</v>
      </c>
      <c r="AA11" s="14"/>
      <c r="AB11" s="14">
        <v>0.18820732522787201</v>
      </c>
      <c r="AC11" s="14">
        <v>0.11971203497279501</v>
      </c>
      <c r="AD11" s="14">
        <v>0.14233281585802299</v>
      </c>
      <c r="AE11" s="14">
        <v>9.4740617264934199E-2</v>
      </c>
      <c r="AF11" s="14"/>
      <c r="AG11" s="14">
        <v>9.4438131650654095E-2</v>
      </c>
      <c r="AH11" s="14">
        <v>0.237142283797693</v>
      </c>
      <c r="AI11" s="14"/>
      <c r="AJ11" s="14">
        <v>0.14154017249804901</v>
      </c>
      <c r="AK11" s="14">
        <v>0.12648100071014701</v>
      </c>
      <c r="AL11" s="14"/>
      <c r="AM11" s="14">
        <v>0.10871389152366499</v>
      </c>
      <c r="AN11" s="14">
        <v>0.24203570676724301</v>
      </c>
    </row>
    <row r="12" spans="2:40" x14ac:dyDescent="0.35">
      <c r="B12" s="15" t="s">
        <v>158</v>
      </c>
      <c r="C12" s="14">
        <v>4.4441780789462697E-2</v>
      </c>
      <c r="D12" s="14">
        <v>2.2010557161527E-2</v>
      </c>
      <c r="E12" s="14">
        <v>6.5257813490080002E-2</v>
      </c>
      <c r="F12" s="14"/>
      <c r="G12" s="14" t="s">
        <v>76</v>
      </c>
      <c r="H12" s="14" t="s">
        <v>76</v>
      </c>
      <c r="I12" s="14">
        <v>4.4441780789462697E-2</v>
      </c>
      <c r="J12" s="14"/>
      <c r="K12" s="14" t="s">
        <v>76</v>
      </c>
      <c r="L12" s="14">
        <v>5.2743578200920099E-2</v>
      </c>
      <c r="M12" s="14">
        <v>2.9968393411946501E-2</v>
      </c>
      <c r="N12" s="14"/>
      <c r="O12" s="14">
        <v>4.5162606337903297E-2</v>
      </c>
      <c r="P12" s="14">
        <v>3.08909028726734E-2</v>
      </c>
      <c r="Q12" s="14"/>
      <c r="R12" s="14">
        <v>3.0423006125705698E-2</v>
      </c>
      <c r="S12" s="14">
        <v>4.8270823150263702E-2</v>
      </c>
      <c r="T12" s="14">
        <v>6.8141377289864705E-2</v>
      </c>
      <c r="U12" s="14">
        <v>7.1314289165292893E-2</v>
      </c>
      <c r="V12" s="14">
        <v>3.9235694093428301E-2</v>
      </c>
      <c r="W12" s="14">
        <v>5.4021512903797302E-2</v>
      </c>
      <c r="X12" s="14">
        <v>4.5691153707016298E-2</v>
      </c>
      <c r="Y12" s="14">
        <v>0</v>
      </c>
      <c r="Z12" s="14">
        <v>3.3699044988384497E-2</v>
      </c>
      <c r="AA12" s="14"/>
      <c r="AB12" s="14">
        <v>5.8185749615747601E-2</v>
      </c>
      <c r="AC12" s="14">
        <v>3.3761818928119101E-2</v>
      </c>
      <c r="AD12" s="14">
        <v>4.37608037987154E-2</v>
      </c>
      <c r="AE12" s="14">
        <v>1.6763720149788601E-2</v>
      </c>
      <c r="AF12" s="14"/>
      <c r="AG12" s="14">
        <v>1.10299809678916E-2</v>
      </c>
      <c r="AH12" s="14">
        <v>2.8932114321342399E-2</v>
      </c>
      <c r="AI12" s="14"/>
      <c r="AJ12" s="14">
        <v>1.6938898149228401E-2</v>
      </c>
      <c r="AK12" s="14">
        <v>3.30019902971634E-2</v>
      </c>
      <c r="AL12" s="14"/>
      <c r="AM12" s="14">
        <v>1.56057069279313E-2</v>
      </c>
      <c r="AN12" s="14">
        <v>9.1703481994272307E-2</v>
      </c>
    </row>
    <row r="13" spans="2:40" x14ac:dyDescent="0.35">
      <c r="B13" s="15" t="s">
        <v>70</v>
      </c>
      <c r="C13" s="20">
        <v>3.31633826615868E-3</v>
      </c>
      <c r="D13" s="20">
        <v>2.9500030603460299E-3</v>
      </c>
      <c r="E13" s="20">
        <v>3.6829633143230099E-3</v>
      </c>
      <c r="F13" s="20"/>
      <c r="G13" s="20" t="s">
        <v>76</v>
      </c>
      <c r="H13" s="20" t="s">
        <v>76</v>
      </c>
      <c r="I13" s="20">
        <v>3.31633826615868E-3</v>
      </c>
      <c r="J13" s="20"/>
      <c r="K13" s="20" t="s">
        <v>76</v>
      </c>
      <c r="L13" s="20">
        <v>5.2185583695383798E-3</v>
      </c>
      <c r="M13" s="20">
        <v>0</v>
      </c>
      <c r="N13" s="20"/>
      <c r="O13" s="20">
        <v>3.1731989020570401E-3</v>
      </c>
      <c r="P13" s="20">
        <v>4.6768534838311599E-3</v>
      </c>
      <c r="Q13" s="20"/>
      <c r="R13" s="20">
        <v>6.7761131881033301E-3</v>
      </c>
      <c r="S13" s="20">
        <v>4.70371638127792E-3</v>
      </c>
      <c r="T13" s="20">
        <v>0</v>
      </c>
      <c r="U13" s="20">
        <v>0</v>
      </c>
      <c r="V13" s="20">
        <v>0</v>
      </c>
      <c r="W13" s="20">
        <v>7.5006415090293401E-3</v>
      </c>
      <c r="X13" s="20">
        <v>0</v>
      </c>
      <c r="Y13" s="20">
        <v>0</v>
      </c>
      <c r="Z13" s="20">
        <v>4.9434114425634902E-3</v>
      </c>
      <c r="AA13" s="20"/>
      <c r="AB13" s="20">
        <v>0</v>
      </c>
      <c r="AC13" s="20">
        <v>7.7559216536787004E-3</v>
      </c>
      <c r="AD13" s="20">
        <v>0</v>
      </c>
      <c r="AE13" s="20">
        <v>0</v>
      </c>
      <c r="AF13" s="20"/>
      <c r="AG13" s="20">
        <v>0</v>
      </c>
      <c r="AH13" s="20">
        <v>0</v>
      </c>
      <c r="AI13" s="20"/>
      <c r="AJ13" s="20">
        <v>0</v>
      </c>
      <c r="AK13" s="20">
        <v>0</v>
      </c>
      <c r="AL13" s="20"/>
      <c r="AM13" s="20">
        <v>1.6039425806366699E-3</v>
      </c>
      <c r="AN13" s="20">
        <v>2.5672241307535398E-3</v>
      </c>
    </row>
    <row r="14" spans="2:40" x14ac:dyDescent="0.35">
      <c r="B14" t="s">
        <v>261</v>
      </c>
    </row>
    <row r="15" spans="2:40" x14ac:dyDescent="0.35">
      <c r="B15" t="s">
        <v>72</v>
      </c>
    </row>
    <row r="16" spans="2:40" x14ac:dyDescent="0.35">
      <c r="B16" t="s">
        <v>73</v>
      </c>
    </row>
    <row r="18" spans="2:2" x14ac:dyDescent="0.35">
      <c r="B18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B2:AN19"/>
  <sheetViews>
    <sheetView showGridLines="0" workbookViewId="0">
      <pane xSplit="2" topLeftCell="C1" activePane="topRight" state="frozen"/>
      <selection pane="topRight" activeCell="B15" sqref="B15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250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975</v>
      </c>
      <c r="D7" s="10">
        <v>488</v>
      </c>
      <c r="E7" s="10">
        <v>482</v>
      </c>
      <c r="F7" s="10"/>
      <c r="G7" s="10" t="s">
        <v>75</v>
      </c>
      <c r="H7" s="10" t="s">
        <v>75</v>
      </c>
      <c r="I7" s="10">
        <v>975</v>
      </c>
      <c r="J7" s="10"/>
      <c r="K7" s="10" t="s">
        <v>75</v>
      </c>
      <c r="L7" s="10">
        <v>724</v>
      </c>
      <c r="M7" s="10">
        <v>251</v>
      </c>
      <c r="N7" s="10"/>
      <c r="O7" s="10">
        <v>817</v>
      </c>
      <c r="P7" s="10">
        <v>135</v>
      </c>
      <c r="Q7" s="10"/>
      <c r="R7" s="10">
        <v>143</v>
      </c>
      <c r="S7" s="10">
        <v>177</v>
      </c>
      <c r="T7" s="10">
        <v>76</v>
      </c>
      <c r="U7" s="10">
        <v>93</v>
      </c>
      <c r="V7" s="10">
        <v>89</v>
      </c>
      <c r="W7" s="10">
        <v>118</v>
      </c>
      <c r="X7" s="10">
        <v>58</v>
      </c>
      <c r="Y7" s="10">
        <v>56</v>
      </c>
      <c r="Z7" s="10">
        <v>165</v>
      </c>
      <c r="AA7" s="10"/>
      <c r="AB7" s="10">
        <v>133</v>
      </c>
      <c r="AC7" s="10">
        <v>121</v>
      </c>
      <c r="AD7" s="10">
        <v>130</v>
      </c>
      <c r="AE7" s="10">
        <v>98</v>
      </c>
      <c r="AF7" s="10"/>
      <c r="AG7" s="10">
        <v>85</v>
      </c>
      <c r="AH7" s="10">
        <v>37</v>
      </c>
      <c r="AI7" s="10"/>
      <c r="AJ7" s="10">
        <v>122</v>
      </c>
      <c r="AK7" s="10">
        <v>114</v>
      </c>
      <c r="AL7" s="10"/>
      <c r="AM7" s="10">
        <v>513</v>
      </c>
      <c r="AN7" s="10">
        <v>239</v>
      </c>
    </row>
    <row r="8" spans="2:40" ht="30" customHeight="1" x14ac:dyDescent="0.35">
      <c r="B8" s="11" t="s">
        <v>20</v>
      </c>
      <c r="C8" s="11">
        <v>916</v>
      </c>
      <c r="D8" s="11">
        <v>433</v>
      </c>
      <c r="E8" s="11">
        <v>478</v>
      </c>
      <c r="F8" s="11"/>
      <c r="G8" s="11" t="s">
        <v>75</v>
      </c>
      <c r="H8" s="11" t="s">
        <v>75</v>
      </c>
      <c r="I8" s="11">
        <v>916</v>
      </c>
      <c r="J8" s="11"/>
      <c r="K8" s="11" t="s">
        <v>75</v>
      </c>
      <c r="L8" s="11">
        <v>582</v>
      </c>
      <c r="M8" s="11">
        <v>334</v>
      </c>
      <c r="N8" s="11"/>
      <c r="O8" s="11">
        <v>764</v>
      </c>
      <c r="P8" s="11">
        <v>131</v>
      </c>
      <c r="Q8" s="11"/>
      <c r="R8" s="11">
        <v>150</v>
      </c>
      <c r="S8" s="11">
        <v>158</v>
      </c>
      <c r="T8" s="11">
        <v>80</v>
      </c>
      <c r="U8" s="11">
        <v>98</v>
      </c>
      <c r="V8" s="11">
        <v>83</v>
      </c>
      <c r="W8" s="11">
        <v>89</v>
      </c>
      <c r="X8" s="11">
        <v>83</v>
      </c>
      <c r="Y8" s="11">
        <v>50</v>
      </c>
      <c r="Z8" s="11">
        <v>124</v>
      </c>
      <c r="AA8" s="11"/>
      <c r="AB8" s="11">
        <v>101</v>
      </c>
      <c r="AC8" s="11">
        <v>96</v>
      </c>
      <c r="AD8" s="11">
        <v>179</v>
      </c>
      <c r="AE8" s="11">
        <v>129</v>
      </c>
      <c r="AF8" s="11"/>
      <c r="AG8" s="11">
        <v>103</v>
      </c>
      <c r="AH8" s="11">
        <v>51</v>
      </c>
      <c r="AI8" s="11"/>
      <c r="AJ8" s="11">
        <v>153</v>
      </c>
      <c r="AK8" s="11">
        <v>159</v>
      </c>
      <c r="AL8" s="11"/>
      <c r="AM8" s="11">
        <v>464</v>
      </c>
      <c r="AN8" s="11">
        <v>239</v>
      </c>
    </row>
    <row r="9" spans="2:40" x14ac:dyDescent="0.35">
      <c r="B9" s="15" t="s">
        <v>160</v>
      </c>
      <c r="C9" s="14">
        <v>0.170421060361963</v>
      </c>
      <c r="D9" s="14">
        <v>0.17118054224076201</v>
      </c>
      <c r="E9" s="14">
        <v>0.166159948516241</v>
      </c>
      <c r="F9" s="14"/>
      <c r="G9" s="14" t="s">
        <v>76</v>
      </c>
      <c r="H9" s="14" t="s">
        <v>76</v>
      </c>
      <c r="I9" s="14">
        <v>0.170421060361963</v>
      </c>
      <c r="J9" s="14"/>
      <c r="K9" s="14" t="s">
        <v>76</v>
      </c>
      <c r="L9" s="14">
        <v>0.176047616623183</v>
      </c>
      <c r="M9" s="14">
        <v>0.160611699288223</v>
      </c>
      <c r="N9" s="14"/>
      <c r="O9" s="14">
        <v>0.13066353937866501</v>
      </c>
      <c r="P9" s="14">
        <v>0.38764195693333098</v>
      </c>
      <c r="Q9" s="14"/>
      <c r="R9" s="14">
        <v>0.27562029079073502</v>
      </c>
      <c r="S9" s="14">
        <v>0.14949218333987699</v>
      </c>
      <c r="T9" s="14">
        <v>0.116942119573427</v>
      </c>
      <c r="U9" s="14">
        <v>0.17452118513657799</v>
      </c>
      <c r="V9" s="14">
        <v>9.4760199327849501E-2</v>
      </c>
      <c r="W9" s="14">
        <v>0.126024232482943</v>
      </c>
      <c r="X9" s="14">
        <v>0.114589180136918</v>
      </c>
      <c r="Y9" s="14">
        <v>0.190822612050251</v>
      </c>
      <c r="Z9" s="14">
        <v>0.21328234523178299</v>
      </c>
      <c r="AA9" s="14"/>
      <c r="AB9" s="14">
        <v>0.118109739257718</v>
      </c>
      <c r="AC9" s="14">
        <v>0.27895165015843298</v>
      </c>
      <c r="AD9" s="14">
        <v>8.6317966550786898E-2</v>
      </c>
      <c r="AE9" s="14">
        <v>0.238841668638203</v>
      </c>
      <c r="AF9" s="14"/>
      <c r="AG9" s="14">
        <v>0.32747106470328002</v>
      </c>
      <c r="AH9" s="14">
        <v>4.1385792341647999E-2</v>
      </c>
      <c r="AI9" s="14"/>
      <c r="AJ9" s="14">
        <v>0.23304353767007199</v>
      </c>
      <c r="AK9" s="14">
        <v>8.4668583016452303E-2</v>
      </c>
      <c r="AL9" s="14"/>
      <c r="AM9" s="14">
        <v>0.29648327973615102</v>
      </c>
      <c r="AN9" s="14">
        <v>2.44017188220415E-2</v>
      </c>
    </row>
    <row r="10" spans="2:40" x14ac:dyDescent="0.35">
      <c r="B10" s="15" t="s">
        <v>161</v>
      </c>
      <c r="C10" s="14">
        <v>0.53902833859760702</v>
      </c>
      <c r="D10" s="14">
        <v>0.57315695049072901</v>
      </c>
      <c r="E10" s="14">
        <v>0.51197840699463304</v>
      </c>
      <c r="F10" s="14"/>
      <c r="G10" s="14" t="s">
        <v>76</v>
      </c>
      <c r="H10" s="14" t="s">
        <v>76</v>
      </c>
      <c r="I10" s="14">
        <v>0.53902833859760702</v>
      </c>
      <c r="J10" s="14"/>
      <c r="K10" s="14" t="s">
        <v>76</v>
      </c>
      <c r="L10" s="14">
        <v>0.55157978797711504</v>
      </c>
      <c r="M10" s="14">
        <v>0.51714609069208795</v>
      </c>
      <c r="N10" s="14"/>
      <c r="O10" s="14">
        <v>0.55884493650423295</v>
      </c>
      <c r="P10" s="14">
        <v>0.47980171113067599</v>
      </c>
      <c r="Q10" s="14"/>
      <c r="R10" s="14">
        <v>0.51463274138159798</v>
      </c>
      <c r="S10" s="14">
        <v>0.56010782215266597</v>
      </c>
      <c r="T10" s="14">
        <v>0.58062095070538</v>
      </c>
      <c r="U10" s="14">
        <v>0.53047553206457598</v>
      </c>
      <c r="V10" s="14">
        <v>0.59758624782416203</v>
      </c>
      <c r="W10" s="14">
        <v>0.480533512048677</v>
      </c>
      <c r="X10" s="14">
        <v>0.52176259780840395</v>
      </c>
      <c r="Y10" s="14">
        <v>0.54095613195396797</v>
      </c>
      <c r="Z10" s="14">
        <v>0.53481062731238305</v>
      </c>
      <c r="AA10" s="14"/>
      <c r="AB10" s="14">
        <v>0.55253876038769301</v>
      </c>
      <c r="AC10" s="14">
        <v>0.56948299971881999</v>
      </c>
      <c r="AD10" s="14">
        <v>0.52803183896122197</v>
      </c>
      <c r="AE10" s="14">
        <v>0.56598203997446395</v>
      </c>
      <c r="AF10" s="14"/>
      <c r="AG10" s="14">
        <v>0.52195211950032705</v>
      </c>
      <c r="AH10" s="14">
        <v>0.38152016601390398</v>
      </c>
      <c r="AI10" s="14"/>
      <c r="AJ10" s="14">
        <v>0.47560005819112799</v>
      </c>
      <c r="AK10" s="14">
        <v>0.58993882233772899</v>
      </c>
      <c r="AL10" s="14"/>
      <c r="AM10" s="14">
        <v>0.60634328398314297</v>
      </c>
      <c r="AN10" s="14">
        <v>0.36575261840020901</v>
      </c>
    </row>
    <row r="11" spans="2:40" x14ac:dyDescent="0.35">
      <c r="B11" s="15" t="s">
        <v>162</v>
      </c>
      <c r="C11" s="14">
        <v>0.242943085973157</v>
      </c>
      <c r="D11" s="14">
        <v>0.213498070840588</v>
      </c>
      <c r="E11" s="14">
        <v>0.26882390801178402</v>
      </c>
      <c r="F11" s="14"/>
      <c r="G11" s="14" t="s">
        <v>76</v>
      </c>
      <c r="H11" s="14" t="s">
        <v>76</v>
      </c>
      <c r="I11" s="14">
        <v>0.242943085973157</v>
      </c>
      <c r="J11" s="14"/>
      <c r="K11" s="14" t="s">
        <v>76</v>
      </c>
      <c r="L11" s="14">
        <v>0.230971100016409</v>
      </c>
      <c r="M11" s="14">
        <v>0.263815094990272</v>
      </c>
      <c r="N11" s="14"/>
      <c r="O11" s="14">
        <v>0.25934184120588799</v>
      </c>
      <c r="P11" s="14">
        <v>0.11892709765033301</v>
      </c>
      <c r="Q11" s="14"/>
      <c r="R11" s="14">
        <v>0.18407180394367501</v>
      </c>
      <c r="S11" s="14">
        <v>0.23388241641771901</v>
      </c>
      <c r="T11" s="14">
        <v>0.23432389523897801</v>
      </c>
      <c r="U11" s="14">
        <v>0.24517086030166199</v>
      </c>
      <c r="V11" s="14">
        <v>0.26608555196869699</v>
      </c>
      <c r="W11" s="14">
        <v>0.32545726648904399</v>
      </c>
      <c r="X11" s="14">
        <v>0.31813703819038802</v>
      </c>
      <c r="Y11" s="14">
        <v>0.23373141287552501</v>
      </c>
      <c r="Z11" s="14">
        <v>0.207989405706208</v>
      </c>
      <c r="AA11" s="14"/>
      <c r="AB11" s="14">
        <v>0.26735381545488801</v>
      </c>
      <c r="AC11" s="14">
        <v>0.118361251289323</v>
      </c>
      <c r="AD11" s="14">
        <v>0.32518027842427499</v>
      </c>
      <c r="AE11" s="14">
        <v>0.176705811570116</v>
      </c>
      <c r="AF11" s="14"/>
      <c r="AG11" s="14">
        <v>0.144229450205102</v>
      </c>
      <c r="AH11" s="14">
        <v>0.500192376200705</v>
      </c>
      <c r="AI11" s="14"/>
      <c r="AJ11" s="14">
        <v>0.26172133833970201</v>
      </c>
      <c r="AK11" s="14">
        <v>0.255585669954355</v>
      </c>
      <c r="AL11" s="14"/>
      <c r="AM11" s="14">
        <v>9.0043443441325505E-2</v>
      </c>
      <c r="AN11" s="14">
        <v>0.47872380235558598</v>
      </c>
    </row>
    <row r="12" spans="2:40" x14ac:dyDescent="0.35">
      <c r="B12" s="15" t="s">
        <v>163</v>
      </c>
      <c r="C12" s="14">
        <v>4.1763275211723898E-2</v>
      </c>
      <c r="D12" s="14">
        <v>4.2164436427921503E-2</v>
      </c>
      <c r="E12" s="14">
        <v>4.1829114528466001E-2</v>
      </c>
      <c r="F12" s="14"/>
      <c r="G12" s="14" t="s">
        <v>76</v>
      </c>
      <c r="H12" s="14" t="s">
        <v>76</v>
      </c>
      <c r="I12" s="14">
        <v>4.1763275211723898E-2</v>
      </c>
      <c r="J12" s="14"/>
      <c r="K12" s="14" t="s">
        <v>76</v>
      </c>
      <c r="L12" s="14">
        <v>3.4744408451007798E-2</v>
      </c>
      <c r="M12" s="14">
        <v>5.3999996073981503E-2</v>
      </c>
      <c r="N12" s="14"/>
      <c r="O12" s="14">
        <v>4.5381116034121399E-2</v>
      </c>
      <c r="P12" s="14">
        <v>6.41564749078939E-3</v>
      </c>
      <c r="Q12" s="14"/>
      <c r="R12" s="14">
        <v>2.56751638839922E-2</v>
      </c>
      <c r="S12" s="14">
        <v>5.6517578089738001E-2</v>
      </c>
      <c r="T12" s="14">
        <v>4.5876946240872303E-2</v>
      </c>
      <c r="U12" s="14">
        <v>4.9832422497183698E-2</v>
      </c>
      <c r="V12" s="14">
        <v>3.1763283633743103E-2</v>
      </c>
      <c r="W12" s="14">
        <v>4.4280031572459903E-2</v>
      </c>
      <c r="X12" s="14">
        <v>4.55111838642904E-2</v>
      </c>
      <c r="Y12" s="14">
        <v>3.4489843120255201E-2</v>
      </c>
      <c r="Z12" s="14">
        <v>3.8671453955294803E-2</v>
      </c>
      <c r="AA12" s="14"/>
      <c r="AB12" s="14">
        <v>4.7775950511355102E-2</v>
      </c>
      <c r="AC12" s="14">
        <v>1.7696353172154001E-2</v>
      </c>
      <c r="AD12" s="14">
        <v>5.22248069882192E-2</v>
      </c>
      <c r="AE12" s="14">
        <v>1.8470479817216799E-2</v>
      </c>
      <c r="AF12" s="14"/>
      <c r="AG12" s="14">
        <v>6.3473655912905103E-3</v>
      </c>
      <c r="AH12" s="14">
        <v>7.6901665443743397E-2</v>
      </c>
      <c r="AI12" s="14"/>
      <c r="AJ12" s="14">
        <v>2.96350657990977E-2</v>
      </c>
      <c r="AK12" s="14">
        <v>6.0517771041819601E-2</v>
      </c>
      <c r="AL12" s="14"/>
      <c r="AM12" s="14">
        <v>7.1299928393803204E-3</v>
      </c>
      <c r="AN12" s="14">
        <v>0.12509261570691799</v>
      </c>
    </row>
    <row r="13" spans="2:40" x14ac:dyDescent="0.35">
      <c r="B13" s="15" t="s">
        <v>70</v>
      </c>
      <c r="C13" s="21">
        <v>5.8442398555490103E-3</v>
      </c>
      <c r="D13" s="21">
        <v>0</v>
      </c>
      <c r="E13" s="21">
        <v>1.1208621948874901E-2</v>
      </c>
      <c r="F13" s="21"/>
      <c r="G13" s="21" t="s">
        <v>76</v>
      </c>
      <c r="H13" s="21" t="s">
        <v>76</v>
      </c>
      <c r="I13" s="21">
        <v>5.8442398555490103E-3</v>
      </c>
      <c r="J13" s="21"/>
      <c r="K13" s="21" t="s">
        <v>76</v>
      </c>
      <c r="L13" s="21">
        <v>6.65708693228501E-3</v>
      </c>
      <c r="M13" s="21">
        <v>4.4271189554358197E-3</v>
      </c>
      <c r="N13" s="21"/>
      <c r="O13" s="21">
        <v>5.7685668770926599E-3</v>
      </c>
      <c r="P13" s="21">
        <v>7.2135867948702904E-3</v>
      </c>
      <c r="Q13" s="21"/>
      <c r="R13" s="21">
        <v>0</v>
      </c>
      <c r="S13" s="21">
        <v>0</v>
      </c>
      <c r="T13" s="21">
        <v>2.2236088241341798E-2</v>
      </c>
      <c r="U13" s="21">
        <v>0</v>
      </c>
      <c r="V13" s="21">
        <v>9.8047172455484298E-3</v>
      </c>
      <c r="W13" s="21">
        <v>2.37049574068771E-2</v>
      </c>
      <c r="X13" s="21">
        <v>0</v>
      </c>
      <c r="Y13" s="21">
        <v>0</v>
      </c>
      <c r="Z13" s="21">
        <v>5.2461677943309096E-3</v>
      </c>
      <c r="AA13" s="21"/>
      <c r="AB13" s="21">
        <v>1.42217343883462E-2</v>
      </c>
      <c r="AC13" s="21">
        <v>1.55077456612696E-2</v>
      </c>
      <c r="AD13" s="21">
        <v>8.2451090754969494E-3</v>
      </c>
      <c r="AE13" s="21">
        <v>0</v>
      </c>
      <c r="AF13" s="21"/>
      <c r="AG13" s="21">
        <v>0</v>
      </c>
      <c r="AH13" s="21">
        <v>0</v>
      </c>
      <c r="AI13" s="21"/>
      <c r="AJ13" s="21">
        <v>0</v>
      </c>
      <c r="AK13" s="21">
        <v>9.2891536496436094E-3</v>
      </c>
      <c r="AL13" s="21"/>
      <c r="AM13" s="21">
        <v>0</v>
      </c>
      <c r="AN13" s="21">
        <v>6.0292447152455403E-3</v>
      </c>
    </row>
    <row r="14" spans="2:40" x14ac:dyDescent="0.35">
      <c r="B14" s="25" t="s">
        <v>164</v>
      </c>
      <c r="C14" s="30">
        <v>0.70944939895956904</v>
      </c>
      <c r="D14" s="30">
        <v>0.74433749273149097</v>
      </c>
      <c r="E14" s="30">
        <v>0.67813835551087498</v>
      </c>
      <c r="F14" s="30"/>
      <c r="G14" s="30" t="s">
        <v>76</v>
      </c>
      <c r="H14" s="30" t="s">
        <v>76</v>
      </c>
      <c r="I14" s="30">
        <v>0.70944939895956904</v>
      </c>
      <c r="J14" s="30"/>
      <c r="K14" s="30" t="s">
        <v>76</v>
      </c>
      <c r="L14" s="30">
        <v>0.72762740460029796</v>
      </c>
      <c r="M14" s="30">
        <v>0.677757789980311</v>
      </c>
      <c r="N14" s="30"/>
      <c r="O14" s="30">
        <v>0.68950847588289799</v>
      </c>
      <c r="P14" s="30">
        <v>0.86744366806400697</v>
      </c>
      <c r="Q14" s="30"/>
      <c r="R14" s="30">
        <v>0.790253032172333</v>
      </c>
      <c r="S14" s="30">
        <v>0.70960000549254298</v>
      </c>
      <c r="T14" s="30">
        <v>0.69756307027880704</v>
      </c>
      <c r="U14" s="30">
        <v>0.70499671720115398</v>
      </c>
      <c r="V14" s="30">
        <v>0.69234644715201099</v>
      </c>
      <c r="W14" s="30">
        <v>0.60655774453161904</v>
      </c>
      <c r="X14" s="30">
        <v>0.63635177794532205</v>
      </c>
      <c r="Y14" s="30">
        <v>0.73177874400421905</v>
      </c>
      <c r="Z14" s="30">
        <v>0.74809297254416596</v>
      </c>
      <c r="AA14" s="30"/>
      <c r="AB14" s="30">
        <v>0.67064849964541096</v>
      </c>
      <c r="AC14" s="30">
        <v>0.84843464987725303</v>
      </c>
      <c r="AD14" s="30">
        <v>0.61434980551200802</v>
      </c>
      <c r="AE14" s="30">
        <v>0.80482370861266705</v>
      </c>
      <c r="AF14" s="30"/>
      <c r="AG14" s="30">
        <v>0.84942318420360796</v>
      </c>
      <c r="AH14" s="30">
        <v>0.422905958355552</v>
      </c>
      <c r="AI14" s="30"/>
      <c r="AJ14" s="30">
        <v>0.70864359586119996</v>
      </c>
      <c r="AK14" s="30">
        <v>0.67460740535418096</v>
      </c>
      <c r="AL14" s="30"/>
      <c r="AM14" s="30">
        <v>0.90282656371929404</v>
      </c>
      <c r="AN14" s="30">
        <v>0.39015433722225101</v>
      </c>
    </row>
    <row r="15" spans="2:40" x14ac:dyDescent="0.35">
      <c r="B15" t="s">
        <v>261</v>
      </c>
    </row>
    <row r="16" spans="2:40" x14ac:dyDescent="0.35">
      <c r="B16" t="s">
        <v>72</v>
      </c>
    </row>
    <row r="17" spans="2:2" x14ac:dyDescent="0.35">
      <c r="B17" t="s">
        <v>73</v>
      </c>
    </row>
    <row r="19" spans="2:2" x14ac:dyDescent="0.35">
      <c r="B19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B2:AN18"/>
  <sheetViews>
    <sheetView showGridLines="0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251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975</v>
      </c>
      <c r="D7" s="10">
        <v>488</v>
      </c>
      <c r="E7" s="10">
        <v>482</v>
      </c>
      <c r="F7" s="10"/>
      <c r="G7" s="10" t="s">
        <v>75</v>
      </c>
      <c r="H7" s="10" t="s">
        <v>75</v>
      </c>
      <c r="I7" s="10">
        <v>975</v>
      </c>
      <c r="J7" s="10"/>
      <c r="K7" s="10" t="s">
        <v>75</v>
      </c>
      <c r="L7" s="10">
        <v>724</v>
      </c>
      <c r="M7" s="10">
        <v>251</v>
      </c>
      <c r="N7" s="10"/>
      <c r="O7" s="10">
        <v>817</v>
      </c>
      <c r="P7" s="10">
        <v>135</v>
      </c>
      <c r="Q7" s="10"/>
      <c r="R7" s="10">
        <v>143</v>
      </c>
      <c r="S7" s="10">
        <v>177</v>
      </c>
      <c r="T7" s="10">
        <v>76</v>
      </c>
      <c r="U7" s="10">
        <v>93</v>
      </c>
      <c r="V7" s="10">
        <v>89</v>
      </c>
      <c r="W7" s="10">
        <v>118</v>
      </c>
      <c r="X7" s="10">
        <v>58</v>
      </c>
      <c r="Y7" s="10">
        <v>56</v>
      </c>
      <c r="Z7" s="10">
        <v>165</v>
      </c>
      <c r="AA7" s="10"/>
      <c r="AB7" s="10">
        <v>133</v>
      </c>
      <c r="AC7" s="10">
        <v>121</v>
      </c>
      <c r="AD7" s="10">
        <v>130</v>
      </c>
      <c r="AE7" s="10">
        <v>98</v>
      </c>
      <c r="AF7" s="10"/>
      <c r="AG7" s="10">
        <v>85</v>
      </c>
      <c r="AH7" s="10">
        <v>37</v>
      </c>
      <c r="AI7" s="10"/>
      <c r="AJ7" s="10">
        <v>122</v>
      </c>
      <c r="AK7" s="10">
        <v>114</v>
      </c>
      <c r="AL7" s="10"/>
      <c r="AM7" s="10">
        <v>513</v>
      </c>
      <c r="AN7" s="10">
        <v>239</v>
      </c>
    </row>
    <row r="8" spans="2:40" ht="30" customHeight="1" x14ac:dyDescent="0.35">
      <c r="B8" s="11" t="s">
        <v>20</v>
      </c>
      <c r="C8" s="11">
        <v>916</v>
      </c>
      <c r="D8" s="11">
        <v>433</v>
      </c>
      <c r="E8" s="11">
        <v>478</v>
      </c>
      <c r="F8" s="11"/>
      <c r="G8" s="11" t="s">
        <v>75</v>
      </c>
      <c r="H8" s="11" t="s">
        <v>75</v>
      </c>
      <c r="I8" s="11">
        <v>916</v>
      </c>
      <c r="J8" s="11"/>
      <c r="K8" s="11" t="s">
        <v>75</v>
      </c>
      <c r="L8" s="11">
        <v>582</v>
      </c>
      <c r="M8" s="11">
        <v>334</v>
      </c>
      <c r="N8" s="11"/>
      <c r="O8" s="11">
        <v>764</v>
      </c>
      <c r="P8" s="11">
        <v>131</v>
      </c>
      <c r="Q8" s="11"/>
      <c r="R8" s="11">
        <v>150</v>
      </c>
      <c r="S8" s="11">
        <v>158</v>
      </c>
      <c r="T8" s="11">
        <v>80</v>
      </c>
      <c r="U8" s="11">
        <v>98</v>
      </c>
      <c r="V8" s="11">
        <v>83</v>
      </c>
      <c r="W8" s="11">
        <v>89</v>
      </c>
      <c r="X8" s="11">
        <v>83</v>
      </c>
      <c r="Y8" s="11">
        <v>50</v>
      </c>
      <c r="Z8" s="11">
        <v>124</v>
      </c>
      <c r="AA8" s="11"/>
      <c r="AB8" s="11">
        <v>101</v>
      </c>
      <c r="AC8" s="11">
        <v>96</v>
      </c>
      <c r="AD8" s="11">
        <v>179</v>
      </c>
      <c r="AE8" s="11">
        <v>129</v>
      </c>
      <c r="AF8" s="11"/>
      <c r="AG8" s="11">
        <v>103</v>
      </c>
      <c r="AH8" s="11">
        <v>51</v>
      </c>
      <c r="AI8" s="11"/>
      <c r="AJ8" s="11">
        <v>153</v>
      </c>
      <c r="AK8" s="11">
        <v>159</v>
      </c>
      <c r="AL8" s="11"/>
      <c r="AM8" s="11">
        <v>464</v>
      </c>
      <c r="AN8" s="11">
        <v>239</v>
      </c>
    </row>
    <row r="9" spans="2:40" x14ac:dyDescent="0.35">
      <c r="B9" s="15" t="s">
        <v>166</v>
      </c>
      <c r="C9" s="14">
        <v>0.146244723838309</v>
      </c>
      <c r="D9" s="14">
        <v>0.15400782013262801</v>
      </c>
      <c r="E9" s="14">
        <v>0.13900461506502801</v>
      </c>
      <c r="F9" s="14"/>
      <c r="G9" s="14" t="s">
        <v>76</v>
      </c>
      <c r="H9" s="14" t="s">
        <v>76</v>
      </c>
      <c r="I9" s="14">
        <v>0.146244723838309</v>
      </c>
      <c r="J9" s="14"/>
      <c r="K9" s="14" t="s">
        <v>76</v>
      </c>
      <c r="L9" s="14">
        <v>0.16532592356052001</v>
      </c>
      <c r="M9" s="14">
        <v>0.11297848262334199</v>
      </c>
      <c r="N9" s="14"/>
      <c r="O9" s="14">
        <v>0.117619891020584</v>
      </c>
      <c r="P9" s="14">
        <v>0.31199254692773198</v>
      </c>
      <c r="Q9" s="14"/>
      <c r="R9" s="14">
        <v>0.212134999955193</v>
      </c>
      <c r="S9" s="14">
        <v>0.120937027498892</v>
      </c>
      <c r="T9" s="14">
        <v>0.13821787420484399</v>
      </c>
      <c r="U9" s="14">
        <v>0.102540687652297</v>
      </c>
      <c r="V9" s="14">
        <v>9.9398852549946307E-2</v>
      </c>
      <c r="W9" s="14">
        <v>0.14090992828277299</v>
      </c>
      <c r="X9" s="14">
        <v>9.9353469780299505E-2</v>
      </c>
      <c r="Y9" s="14">
        <v>0.18998407700730599</v>
      </c>
      <c r="Z9" s="14">
        <v>0.187837314472655</v>
      </c>
      <c r="AA9" s="14"/>
      <c r="AB9" s="14">
        <v>0.14836119006375401</v>
      </c>
      <c r="AC9" s="14">
        <v>0.19393238944916699</v>
      </c>
      <c r="AD9" s="14">
        <v>7.0179436095223605E-2</v>
      </c>
      <c r="AE9" s="14">
        <v>0.132268546818959</v>
      </c>
      <c r="AF9" s="14"/>
      <c r="AG9" s="14">
        <v>0.24263349687042701</v>
      </c>
      <c r="AH9" s="14">
        <v>9.5543136557335595E-2</v>
      </c>
      <c r="AI9" s="14"/>
      <c r="AJ9" s="14">
        <v>0.19408371008786299</v>
      </c>
      <c r="AK9" s="14">
        <v>2.5931476664110699E-2</v>
      </c>
      <c r="AL9" s="14"/>
      <c r="AM9" s="14">
        <v>0.253156663558537</v>
      </c>
      <c r="AN9" s="14">
        <v>2.3981106573496599E-2</v>
      </c>
    </row>
    <row r="10" spans="2:40" x14ac:dyDescent="0.35">
      <c r="B10" s="15" t="s">
        <v>167</v>
      </c>
      <c r="C10" s="14">
        <v>0.382074550149262</v>
      </c>
      <c r="D10" s="14">
        <v>0.447435734026841</v>
      </c>
      <c r="E10" s="14">
        <v>0.32305980956721603</v>
      </c>
      <c r="F10" s="14"/>
      <c r="G10" s="14" t="s">
        <v>76</v>
      </c>
      <c r="H10" s="14" t="s">
        <v>76</v>
      </c>
      <c r="I10" s="14">
        <v>0.382074550149262</v>
      </c>
      <c r="J10" s="14"/>
      <c r="K10" s="14" t="s">
        <v>76</v>
      </c>
      <c r="L10" s="14">
        <v>0.37946291638597701</v>
      </c>
      <c r="M10" s="14">
        <v>0.38662768307588202</v>
      </c>
      <c r="N10" s="14"/>
      <c r="O10" s="14">
        <v>0.375450662321752</v>
      </c>
      <c r="P10" s="14">
        <v>0.44006169197623102</v>
      </c>
      <c r="Q10" s="14"/>
      <c r="R10" s="14">
        <v>0.43137940384251999</v>
      </c>
      <c r="S10" s="14">
        <v>0.36804049847142001</v>
      </c>
      <c r="T10" s="14">
        <v>0.38652754587468802</v>
      </c>
      <c r="U10" s="14">
        <v>0.38289184273802601</v>
      </c>
      <c r="V10" s="14">
        <v>0.342486579591193</v>
      </c>
      <c r="W10" s="14">
        <v>0.35267963257803397</v>
      </c>
      <c r="X10" s="14">
        <v>0.36256519845037899</v>
      </c>
      <c r="Y10" s="14">
        <v>0.36711956728901801</v>
      </c>
      <c r="Z10" s="14">
        <v>0.40368415488889298</v>
      </c>
      <c r="AA10" s="14"/>
      <c r="AB10" s="14">
        <v>0.272188743517361</v>
      </c>
      <c r="AC10" s="14">
        <v>0.43194500614806303</v>
      </c>
      <c r="AD10" s="14">
        <v>0.32356908508558502</v>
      </c>
      <c r="AE10" s="14">
        <v>0.524241344967454</v>
      </c>
      <c r="AF10" s="14"/>
      <c r="AG10" s="14">
        <v>0.47702198736798201</v>
      </c>
      <c r="AH10" s="14">
        <v>0.228425689716793</v>
      </c>
      <c r="AI10" s="14"/>
      <c r="AJ10" s="14">
        <v>0.39496836250630102</v>
      </c>
      <c r="AK10" s="14">
        <v>0.40109663067252199</v>
      </c>
      <c r="AL10" s="14"/>
      <c r="AM10" s="14">
        <v>0.52751863649974096</v>
      </c>
      <c r="AN10" s="14">
        <v>0.181951586207062</v>
      </c>
    </row>
    <row r="11" spans="2:40" x14ac:dyDescent="0.35">
      <c r="B11" s="15" t="s">
        <v>168</v>
      </c>
      <c r="C11" s="14">
        <v>0.31866579623281699</v>
      </c>
      <c r="D11" s="14">
        <v>0.29072633458158598</v>
      </c>
      <c r="E11" s="14">
        <v>0.34730409387086503</v>
      </c>
      <c r="F11" s="14"/>
      <c r="G11" s="14" t="s">
        <v>76</v>
      </c>
      <c r="H11" s="14" t="s">
        <v>76</v>
      </c>
      <c r="I11" s="14">
        <v>0.31866579623281699</v>
      </c>
      <c r="J11" s="14"/>
      <c r="K11" s="14" t="s">
        <v>76</v>
      </c>
      <c r="L11" s="14">
        <v>0.31816516878708301</v>
      </c>
      <c r="M11" s="14">
        <v>0.31953859215818198</v>
      </c>
      <c r="N11" s="14"/>
      <c r="O11" s="14">
        <v>0.33503012892765699</v>
      </c>
      <c r="P11" s="14">
        <v>0.22916591635146899</v>
      </c>
      <c r="Q11" s="14"/>
      <c r="R11" s="14">
        <v>0.26418175033925601</v>
      </c>
      <c r="S11" s="14">
        <v>0.34161581870244301</v>
      </c>
      <c r="T11" s="14">
        <v>0.32783537565038001</v>
      </c>
      <c r="U11" s="14">
        <v>0.31058183599300698</v>
      </c>
      <c r="V11" s="14">
        <v>0.38965801561394697</v>
      </c>
      <c r="W11" s="14">
        <v>0.31002793054295302</v>
      </c>
      <c r="X11" s="14">
        <v>0.38710368386739002</v>
      </c>
      <c r="Y11" s="14">
        <v>0.247202651713684</v>
      </c>
      <c r="Z11" s="14">
        <v>0.29698039194265402</v>
      </c>
      <c r="AA11" s="14"/>
      <c r="AB11" s="14">
        <v>0.39792965708831401</v>
      </c>
      <c r="AC11" s="14">
        <v>0.291886410995843</v>
      </c>
      <c r="AD11" s="14">
        <v>0.364815665115855</v>
      </c>
      <c r="AE11" s="14">
        <v>0.26587829023014797</v>
      </c>
      <c r="AF11" s="14"/>
      <c r="AG11" s="14">
        <v>0.25356814151216001</v>
      </c>
      <c r="AH11" s="14">
        <v>0.40185116001709198</v>
      </c>
      <c r="AI11" s="14"/>
      <c r="AJ11" s="14">
        <v>0.30251158632095398</v>
      </c>
      <c r="AK11" s="14">
        <v>0.36571547678452099</v>
      </c>
      <c r="AL11" s="14"/>
      <c r="AM11" s="14">
        <v>0.19840445058876599</v>
      </c>
      <c r="AN11" s="14">
        <v>0.41143699641145698</v>
      </c>
    </row>
    <row r="12" spans="2:40" x14ac:dyDescent="0.35">
      <c r="B12" s="15" t="s">
        <v>169</v>
      </c>
      <c r="C12" s="14">
        <v>0.143413447184293</v>
      </c>
      <c r="D12" s="14">
        <v>0.107830111258945</v>
      </c>
      <c r="E12" s="14">
        <v>0.17221687305855801</v>
      </c>
      <c r="F12" s="14"/>
      <c r="G12" s="14" t="s">
        <v>76</v>
      </c>
      <c r="H12" s="14" t="s">
        <v>76</v>
      </c>
      <c r="I12" s="14">
        <v>0.143413447184293</v>
      </c>
      <c r="J12" s="14"/>
      <c r="K12" s="14" t="s">
        <v>76</v>
      </c>
      <c r="L12" s="14">
        <v>0.12936119448390501</v>
      </c>
      <c r="M12" s="14">
        <v>0.16791220170446</v>
      </c>
      <c r="N12" s="14"/>
      <c r="O12" s="14">
        <v>0.16038698570553001</v>
      </c>
      <c r="P12" s="14">
        <v>1.87798447445678E-2</v>
      </c>
      <c r="Q12" s="14"/>
      <c r="R12" s="14">
        <v>9.2303845863031406E-2</v>
      </c>
      <c r="S12" s="14">
        <v>0.1546494338046</v>
      </c>
      <c r="T12" s="14">
        <v>0.136985457816379</v>
      </c>
      <c r="U12" s="14">
        <v>0.15992369477804799</v>
      </c>
      <c r="V12" s="14">
        <v>0.16845655224491399</v>
      </c>
      <c r="W12" s="14">
        <v>0.19638250859623901</v>
      </c>
      <c r="X12" s="14">
        <v>0.15097764790193099</v>
      </c>
      <c r="Y12" s="14">
        <v>0.195693703989992</v>
      </c>
      <c r="Z12" s="14">
        <v>0.101005803107136</v>
      </c>
      <c r="AA12" s="14"/>
      <c r="AB12" s="14">
        <v>0.18152040933057101</v>
      </c>
      <c r="AC12" s="14">
        <v>6.6728447745657199E-2</v>
      </c>
      <c r="AD12" s="14">
        <v>0.22938319162075901</v>
      </c>
      <c r="AE12" s="14">
        <v>6.08480978336512E-2</v>
      </c>
      <c r="AF12" s="14"/>
      <c r="AG12" s="14">
        <v>2.6776374249430999E-2</v>
      </c>
      <c r="AH12" s="14">
        <v>0.27418001370877998</v>
      </c>
      <c r="AI12" s="14"/>
      <c r="AJ12" s="14">
        <v>0.108436341084882</v>
      </c>
      <c r="AK12" s="14">
        <v>0.19367762017197901</v>
      </c>
      <c r="AL12" s="14"/>
      <c r="AM12" s="14">
        <v>1.60884503821568E-2</v>
      </c>
      <c r="AN12" s="14">
        <v>0.37047609357640798</v>
      </c>
    </row>
    <row r="13" spans="2:40" x14ac:dyDescent="0.35">
      <c r="B13" s="15" t="s">
        <v>70</v>
      </c>
      <c r="C13" s="20">
        <v>9.6014825953194792E-3</v>
      </c>
      <c r="D13" s="20">
        <v>0</v>
      </c>
      <c r="E13" s="20">
        <v>1.84146084383335E-2</v>
      </c>
      <c r="F13" s="20"/>
      <c r="G13" s="20" t="s">
        <v>76</v>
      </c>
      <c r="H13" s="20" t="s">
        <v>76</v>
      </c>
      <c r="I13" s="20">
        <v>9.6014825953194792E-3</v>
      </c>
      <c r="J13" s="20"/>
      <c r="K13" s="20" t="s">
        <v>76</v>
      </c>
      <c r="L13" s="20">
        <v>7.6847967825146198E-3</v>
      </c>
      <c r="M13" s="20">
        <v>1.29430404381342E-2</v>
      </c>
      <c r="N13" s="20"/>
      <c r="O13" s="20">
        <v>1.1512332024477601E-2</v>
      </c>
      <c r="P13" s="20">
        <v>0</v>
      </c>
      <c r="Q13" s="20"/>
      <c r="R13" s="20">
        <v>0</v>
      </c>
      <c r="S13" s="20">
        <v>1.47572215226456E-2</v>
      </c>
      <c r="T13" s="20">
        <v>1.04337464537096E-2</v>
      </c>
      <c r="U13" s="20">
        <v>4.4061938838622597E-2</v>
      </c>
      <c r="V13" s="20">
        <v>0</v>
      </c>
      <c r="W13" s="20">
        <v>0</v>
      </c>
      <c r="X13" s="20">
        <v>0</v>
      </c>
      <c r="Y13" s="20">
        <v>0</v>
      </c>
      <c r="Z13" s="20">
        <v>1.04923355886618E-2</v>
      </c>
      <c r="AA13" s="20"/>
      <c r="AB13" s="20">
        <v>0</v>
      </c>
      <c r="AC13" s="20">
        <v>1.55077456612696E-2</v>
      </c>
      <c r="AD13" s="20">
        <v>1.20526220825771E-2</v>
      </c>
      <c r="AE13" s="20">
        <v>1.6763720149788601E-2</v>
      </c>
      <c r="AF13" s="20"/>
      <c r="AG13" s="20">
        <v>0</v>
      </c>
      <c r="AH13" s="20">
        <v>0</v>
      </c>
      <c r="AI13" s="20"/>
      <c r="AJ13" s="20">
        <v>0</v>
      </c>
      <c r="AK13" s="20">
        <v>1.3578795706866599E-2</v>
      </c>
      <c r="AL13" s="20"/>
      <c r="AM13" s="20">
        <v>4.8317989707989699E-3</v>
      </c>
      <c r="AN13" s="20">
        <v>1.2154217231575601E-2</v>
      </c>
    </row>
    <row r="14" spans="2:40" x14ac:dyDescent="0.35">
      <c r="B14" t="s">
        <v>261</v>
      </c>
    </row>
    <row r="15" spans="2:40" x14ac:dyDescent="0.35">
      <c r="B15" t="s">
        <v>72</v>
      </c>
    </row>
    <row r="16" spans="2:40" x14ac:dyDescent="0.35">
      <c r="B16" t="s">
        <v>73</v>
      </c>
    </row>
    <row r="18" spans="2:2" x14ac:dyDescent="0.35">
      <c r="B18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B2:AN18"/>
  <sheetViews>
    <sheetView showGridLines="0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252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975</v>
      </c>
      <c r="D7" s="10">
        <v>488</v>
      </c>
      <c r="E7" s="10">
        <v>482</v>
      </c>
      <c r="F7" s="10"/>
      <c r="G7" s="10" t="s">
        <v>75</v>
      </c>
      <c r="H7" s="10" t="s">
        <v>75</v>
      </c>
      <c r="I7" s="10">
        <v>975</v>
      </c>
      <c r="J7" s="10"/>
      <c r="K7" s="10" t="s">
        <v>75</v>
      </c>
      <c r="L7" s="10">
        <v>724</v>
      </c>
      <c r="M7" s="10">
        <v>251</v>
      </c>
      <c r="N7" s="10"/>
      <c r="O7" s="10">
        <v>817</v>
      </c>
      <c r="P7" s="10">
        <v>135</v>
      </c>
      <c r="Q7" s="10"/>
      <c r="R7" s="10">
        <v>143</v>
      </c>
      <c r="S7" s="10">
        <v>177</v>
      </c>
      <c r="T7" s="10">
        <v>76</v>
      </c>
      <c r="U7" s="10">
        <v>93</v>
      </c>
      <c r="V7" s="10">
        <v>89</v>
      </c>
      <c r="W7" s="10">
        <v>118</v>
      </c>
      <c r="X7" s="10">
        <v>58</v>
      </c>
      <c r="Y7" s="10">
        <v>56</v>
      </c>
      <c r="Z7" s="10">
        <v>165</v>
      </c>
      <c r="AA7" s="10"/>
      <c r="AB7" s="10">
        <v>133</v>
      </c>
      <c r="AC7" s="10">
        <v>121</v>
      </c>
      <c r="AD7" s="10">
        <v>130</v>
      </c>
      <c r="AE7" s="10">
        <v>98</v>
      </c>
      <c r="AF7" s="10"/>
      <c r="AG7" s="10">
        <v>85</v>
      </c>
      <c r="AH7" s="10">
        <v>37</v>
      </c>
      <c r="AI7" s="10"/>
      <c r="AJ7" s="10">
        <v>122</v>
      </c>
      <c r="AK7" s="10">
        <v>114</v>
      </c>
      <c r="AL7" s="10"/>
      <c r="AM7" s="10">
        <v>513</v>
      </c>
      <c r="AN7" s="10">
        <v>239</v>
      </c>
    </row>
    <row r="8" spans="2:40" ht="30" customHeight="1" x14ac:dyDescent="0.35">
      <c r="B8" s="11" t="s">
        <v>20</v>
      </c>
      <c r="C8" s="11">
        <v>916</v>
      </c>
      <c r="D8" s="11">
        <v>433</v>
      </c>
      <c r="E8" s="11">
        <v>478</v>
      </c>
      <c r="F8" s="11"/>
      <c r="G8" s="11" t="s">
        <v>75</v>
      </c>
      <c r="H8" s="11" t="s">
        <v>75</v>
      </c>
      <c r="I8" s="11">
        <v>916</v>
      </c>
      <c r="J8" s="11"/>
      <c r="K8" s="11" t="s">
        <v>75</v>
      </c>
      <c r="L8" s="11">
        <v>582</v>
      </c>
      <c r="M8" s="11">
        <v>334</v>
      </c>
      <c r="N8" s="11"/>
      <c r="O8" s="11">
        <v>764</v>
      </c>
      <c r="P8" s="11">
        <v>131</v>
      </c>
      <c r="Q8" s="11"/>
      <c r="R8" s="11">
        <v>150</v>
      </c>
      <c r="S8" s="11">
        <v>158</v>
      </c>
      <c r="T8" s="11">
        <v>80</v>
      </c>
      <c r="U8" s="11">
        <v>98</v>
      </c>
      <c r="V8" s="11">
        <v>83</v>
      </c>
      <c r="W8" s="11">
        <v>89</v>
      </c>
      <c r="X8" s="11">
        <v>83</v>
      </c>
      <c r="Y8" s="11">
        <v>50</v>
      </c>
      <c r="Z8" s="11">
        <v>124</v>
      </c>
      <c r="AA8" s="11"/>
      <c r="AB8" s="11">
        <v>101</v>
      </c>
      <c r="AC8" s="11">
        <v>96</v>
      </c>
      <c r="AD8" s="11">
        <v>179</v>
      </c>
      <c r="AE8" s="11">
        <v>129</v>
      </c>
      <c r="AF8" s="11"/>
      <c r="AG8" s="11">
        <v>103</v>
      </c>
      <c r="AH8" s="11">
        <v>51</v>
      </c>
      <c r="AI8" s="11"/>
      <c r="AJ8" s="11">
        <v>153</v>
      </c>
      <c r="AK8" s="11">
        <v>159</v>
      </c>
      <c r="AL8" s="11"/>
      <c r="AM8" s="11">
        <v>464</v>
      </c>
      <c r="AN8" s="11">
        <v>239</v>
      </c>
    </row>
    <row r="9" spans="2:40" x14ac:dyDescent="0.35">
      <c r="B9" s="15" t="s">
        <v>242</v>
      </c>
      <c r="C9" s="14">
        <v>0.24984372173286601</v>
      </c>
      <c r="D9" s="14">
        <v>0.24883911820751101</v>
      </c>
      <c r="E9" s="14">
        <v>0.248001306804226</v>
      </c>
      <c r="F9" s="14"/>
      <c r="G9" s="14" t="s">
        <v>76</v>
      </c>
      <c r="H9" s="14" t="s">
        <v>76</v>
      </c>
      <c r="I9" s="14">
        <v>0.24984372173286601</v>
      </c>
      <c r="J9" s="14"/>
      <c r="K9" s="14" t="s">
        <v>76</v>
      </c>
      <c r="L9" s="14">
        <v>0.260441984997209</v>
      </c>
      <c r="M9" s="14">
        <v>0.231366666445774</v>
      </c>
      <c r="N9" s="14"/>
      <c r="O9" s="14">
        <v>0.225249545223076</v>
      </c>
      <c r="P9" s="14">
        <v>0.407239594676293</v>
      </c>
      <c r="Q9" s="14"/>
      <c r="R9" s="14">
        <v>0.33985191215393101</v>
      </c>
      <c r="S9" s="14">
        <v>0.27361243476590003</v>
      </c>
      <c r="T9" s="14">
        <v>0.22570908035194301</v>
      </c>
      <c r="U9" s="14">
        <v>0.24397470469914301</v>
      </c>
      <c r="V9" s="14">
        <v>0.194098797418713</v>
      </c>
      <c r="W9" s="14">
        <v>0.21331394525123801</v>
      </c>
      <c r="X9" s="14">
        <v>0.21926988713581799</v>
      </c>
      <c r="Y9" s="14">
        <v>0.20815067541430499</v>
      </c>
      <c r="Z9" s="14">
        <v>0.232096895621796</v>
      </c>
      <c r="AA9" s="14"/>
      <c r="AB9" s="14">
        <v>0.18774985069855399</v>
      </c>
      <c r="AC9" s="14">
        <v>0.39454638551460902</v>
      </c>
      <c r="AD9" s="14">
        <v>0.19711012837223199</v>
      </c>
      <c r="AE9" s="14">
        <v>0.27812331379164801</v>
      </c>
      <c r="AF9" s="14"/>
      <c r="AG9" s="14">
        <v>0.42031902895012602</v>
      </c>
      <c r="AH9" s="14">
        <v>0.105177072301243</v>
      </c>
      <c r="AI9" s="14"/>
      <c r="AJ9" s="14">
        <v>0.31630082701645901</v>
      </c>
      <c r="AK9" s="14">
        <v>0.14558622104715299</v>
      </c>
      <c r="AL9" s="14"/>
      <c r="AM9" s="14">
        <v>0.34794070643235098</v>
      </c>
      <c r="AN9" s="14">
        <v>0.14713875105635901</v>
      </c>
    </row>
    <row r="10" spans="2:40" x14ac:dyDescent="0.35">
      <c r="B10" s="15" t="s">
        <v>243</v>
      </c>
      <c r="C10" s="14">
        <v>0.55021816290612102</v>
      </c>
      <c r="D10" s="14">
        <v>0.58299326897477</v>
      </c>
      <c r="E10" s="14">
        <v>0.52269847081959198</v>
      </c>
      <c r="F10" s="14"/>
      <c r="G10" s="14" t="s">
        <v>76</v>
      </c>
      <c r="H10" s="14" t="s">
        <v>76</v>
      </c>
      <c r="I10" s="14">
        <v>0.55021816290612102</v>
      </c>
      <c r="J10" s="14"/>
      <c r="K10" s="14" t="s">
        <v>76</v>
      </c>
      <c r="L10" s="14">
        <v>0.54646095752191104</v>
      </c>
      <c r="M10" s="14">
        <v>0.55676849005666196</v>
      </c>
      <c r="N10" s="14"/>
      <c r="O10" s="14">
        <v>0.56685868416088003</v>
      </c>
      <c r="P10" s="14">
        <v>0.46999696716501699</v>
      </c>
      <c r="Q10" s="14"/>
      <c r="R10" s="14">
        <v>0.48890429550008802</v>
      </c>
      <c r="S10" s="14">
        <v>0.52117519620248798</v>
      </c>
      <c r="T10" s="14">
        <v>0.72123041108533903</v>
      </c>
      <c r="U10" s="14">
        <v>0.55746178194279405</v>
      </c>
      <c r="V10" s="14">
        <v>0.58882558114043404</v>
      </c>
      <c r="W10" s="14">
        <v>0.47916163358646102</v>
      </c>
      <c r="X10" s="14">
        <v>0.49721055038602102</v>
      </c>
      <c r="Y10" s="14">
        <v>0.582894210289024</v>
      </c>
      <c r="Z10" s="14">
        <v>0.59232871003755405</v>
      </c>
      <c r="AA10" s="14"/>
      <c r="AB10" s="14">
        <v>0.54020850685301902</v>
      </c>
      <c r="AC10" s="14">
        <v>0.50975105966357204</v>
      </c>
      <c r="AD10" s="14">
        <v>0.52389521065342604</v>
      </c>
      <c r="AE10" s="14">
        <v>0.61140650282982001</v>
      </c>
      <c r="AF10" s="14"/>
      <c r="AG10" s="14">
        <v>0.48234546217055901</v>
      </c>
      <c r="AH10" s="14">
        <v>0.51446505230804096</v>
      </c>
      <c r="AI10" s="14"/>
      <c r="AJ10" s="14">
        <v>0.492947103565677</v>
      </c>
      <c r="AK10" s="14">
        <v>0.62991848445755005</v>
      </c>
      <c r="AL10" s="14"/>
      <c r="AM10" s="14">
        <v>0.56803046217613296</v>
      </c>
      <c r="AN10" s="14">
        <v>0.48862703782583899</v>
      </c>
    </row>
    <row r="11" spans="2:40" x14ac:dyDescent="0.35">
      <c r="B11" s="15" t="s">
        <v>244</v>
      </c>
      <c r="C11" s="14">
        <v>0.14170075725329601</v>
      </c>
      <c r="D11" s="14">
        <v>0.118304990025736</v>
      </c>
      <c r="E11" s="14">
        <v>0.16286244907563799</v>
      </c>
      <c r="F11" s="14"/>
      <c r="G11" s="14" t="s">
        <v>76</v>
      </c>
      <c r="H11" s="14" t="s">
        <v>76</v>
      </c>
      <c r="I11" s="14">
        <v>0.14170075725329601</v>
      </c>
      <c r="J11" s="14"/>
      <c r="K11" s="14" t="s">
        <v>76</v>
      </c>
      <c r="L11" s="14">
        <v>0.13279307338090099</v>
      </c>
      <c r="M11" s="14">
        <v>0.15723044955146101</v>
      </c>
      <c r="N11" s="14"/>
      <c r="O11" s="14">
        <v>0.14410875638496101</v>
      </c>
      <c r="P11" s="14">
        <v>9.3753818630134503E-2</v>
      </c>
      <c r="Q11" s="14"/>
      <c r="R11" s="14">
        <v>0.13744082178176201</v>
      </c>
      <c r="S11" s="14">
        <v>0.14808622492808801</v>
      </c>
      <c r="T11" s="14">
        <v>4.2626762109007697E-2</v>
      </c>
      <c r="U11" s="14">
        <v>0.15420782221048401</v>
      </c>
      <c r="V11" s="14">
        <v>0.14649549758795999</v>
      </c>
      <c r="W11" s="14">
        <v>0.15337295477577001</v>
      </c>
      <c r="X11" s="14">
        <v>0.23903804802826101</v>
      </c>
      <c r="Y11" s="14">
        <v>0.14272799875831399</v>
      </c>
      <c r="Z11" s="14">
        <v>0.115374242323988</v>
      </c>
      <c r="AA11" s="14"/>
      <c r="AB11" s="14">
        <v>0.200034940244883</v>
      </c>
      <c r="AC11" s="14">
        <v>7.1801421313044803E-2</v>
      </c>
      <c r="AD11" s="14">
        <v>0.23417524102137999</v>
      </c>
      <c r="AE11" s="14">
        <v>6.92311820597169E-2</v>
      </c>
      <c r="AF11" s="14"/>
      <c r="AG11" s="14">
        <v>8.3136538782768096E-2</v>
      </c>
      <c r="AH11" s="14">
        <v>0.25232156130231298</v>
      </c>
      <c r="AI11" s="14"/>
      <c r="AJ11" s="14">
        <v>0.138979061383456</v>
      </c>
      <c r="AK11" s="14">
        <v>0.18160977813134299</v>
      </c>
      <c r="AL11" s="14"/>
      <c r="AM11" s="14">
        <v>6.1780615170600101E-2</v>
      </c>
      <c r="AN11" s="14">
        <v>0.25115322910342103</v>
      </c>
    </row>
    <row r="12" spans="2:40" x14ac:dyDescent="0.35">
      <c r="B12" s="15" t="s">
        <v>245</v>
      </c>
      <c r="C12" s="14">
        <v>3.4597974089484403E-2</v>
      </c>
      <c r="D12" s="14">
        <v>2.5652270327802901E-2</v>
      </c>
      <c r="E12" s="14">
        <v>4.3073243127715502E-2</v>
      </c>
      <c r="F12" s="14"/>
      <c r="G12" s="14" t="s">
        <v>76</v>
      </c>
      <c r="H12" s="14" t="s">
        <v>76</v>
      </c>
      <c r="I12" s="14">
        <v>3.4597974089484403E-2</v>
      </c>
      <c r="J12" s="14"/>
      <c r="K12" s="14" t="s">
        <v>76</v>
      </c>
      <c r="L12" s="14">
        <v>3.4271307006400901E-2</v>
      </c>
      <c r="M12" s="14">
        <v>3.5167486810961601E-2</v>
      </c>
      <c r="N12" s="14"/>
      <c r="O12" s="14">
        <v>3.5439012669835998E-2</v>
      </c>
      <c r="P12" s="14">
        <v>2.9009619528555599E-2</v>
      </c>
      <c r="Q12" s="14"/>
      <c r="R12" s="14">
        <v>1.42766695772952E-2</v>
      </c>
      <c r="S12" s="14">
        <v>2.8777873675008898E-2</v>
      </c>
      <c r="T12" s="14">
        <v>0</v>
      </c>
      <c r="U12" s="14">
        <v>9.2439862969681194E-3</v>
      </c>
      <c r="V12" s="14">
        <v>5.0318592491987099E-2</v>
      </c>
      <c r="W12" s="14">
        <v>9.8777242668172796E-2</v>
      </c>
      <c r="X12" s="14">
        <v>4.4481514449899902E-2</v>
      </c>
      <c r="Y12" s="14">
        <v>5.1755500432823801E-2</v>
      </c>
      <c r="Z12" s="14">
        <v>3.8934290580743401E-2</v>
      </c>
      <c r="AA12" s="14"/>
      <c r="AB12" s="14">
        <v>5.94606500060001E-2</v>
      </c>
      <c r="AC12" s="14">
        <v>1.58773147179565E-2</v>
      </c>
      <c r="AD12" s="14">
        <v>2.8329201801968001E-2</v>
      </c>
      <c r="AE12" s="14">
        <v>2.9477104969939699E-2</v>
      </c>
      <c r="AF12" s="14"/>
      <c r="AG12" s="14">
        <v>5.7677407752431799E-3</v>
      </c>
      <c r="AH12" s="14">
        <v>8.5907027467642394E-2</v>
      </c>
      <c r="AI12" s="14"/>
      <c r="AJ12" s="14">
        <v>3.2219136186478703E-2</v>
      </c>
      <c r="AK12" s="14">
        <v>3.3596362714309998E-2</v>
      </c>
      <c r="AL12" s="14"/>
      <c r="AM12" s="14">
        <v>1.22708710171967E-2</v>
      </c>
      <c r="AN12" s="14">
        <v>8.0546723606474802E-2</v>
      </c>
    </row>
    <row r="13" spans="2:40" x14ac:dyDescent="0.35">
      <c r="B13" s="15" t="s">
        <v>70</v>
      </c>
      <c r="C13" s="20">
        <v>2.3639384018232599E-2</v>
      </c>
      <c r="D13" s="20">
        <v>2.4210352464180199E-2</v>
      </c>
      <c r="E13" s="20">
        <v>2.33645301728281E-2</v>
      </c>
      <c r="F13" s="20"/>
      <c r="G13" s="20" t="s">
        <v>76</v>
      </c>
      <c r="H13" s="20" t="s">
        <v>76</v>
      </c>
      <c r="I13" s="20">
        <v>2.3639384018232599E-2</v>
      </c>
      <c r="J13" s="20"/>
      <c r="K13" s="20" t="s">
        <v>76</v>
      </c>
      <c r="L13" s="20">
        <v>2.6032677093578701E-2</v>
      </c>
      <c r="M13" s="20">
        <v>1.9466907135141698E-2</v>
      </c>
      <c r="N13" s="20"/>
      <c r="O13" s="20">
        <v>2.8344001561247199E-2</v>
      </c>
      <c r="P13" s="20">
        <v>0</v>
      </c>
      <c r="Q13" s="20"/>
      <c r="R13" s="20">
        <v>1.9526300986923598E-2</v>
      </c>
      <c r="S13" s="20">
        <v>2.8348270428515801E-2</v>
      </c>
      <c r="T13" s="20">
        <v>1.04337464537096E-2</v>
      </c>
      <c r="U13" s="20">
        <v>3.5111704850609902E-2</v>
      </c>
      <c r="V13" s="20">
        <v>2.02615313609062E-2</v>
      </c>
      <c r="W13" s="20">
        <v>5.5374223718358297E-2</v>
      </c>
      <c r="X13" s="20">
        <v>0</v>
      </c>
      <c r="Y13" s="20">
        <v>1.4471615105534E-2</v>
      </c>
      <c r="Z13" s="20">
        <v>2.1265861435918E-2</v>
      </c>
      <c r="AA13" s="20"/>
      <c r="AB13" s="20">
        <v>1.25460521975436E-2</v>
      </c>
      <c r="AC13" s="20">
        <v>8.0238187908183104E-3</v>
      </c>
      <c r="AD13" s="20">
        <v>1.6490218150993899E-2</v>
      </c>
      <c r="AE13" s="20">
        <v>1.1761896348875299E-2</v>
      </c>
      <c r="AF13" s="20"/>
      <c r="AG13" s="20">
        <v>8.4312293213037806E-3</v>
      </c>
      <c r="AH13" s="20">
        <v>4.2129286620760098E-2</v>
      </c>
      <c r="AI13" s="20"/>
      <c r="AJ13" s="20">
        <v>1.9553871847930299E-2</v>
      </c>
      <c r="AK13" s="20">
        <v>9.2891536496436094E-3</v>
      </c>
      <c r="AL13" s="20"/>
      <c r="AM13" s="20">
        <v>9.9773452037185805E-3</v>
      </c>
      <c r="AN13" s="20">
        <v>3.25342584079064E-2</v>
      </c>
    </row>
    <row r="14" spans="2:40" x14ac:dyDescent="0.35">
      <c r="B14" t="s">
        <v>261</v>
      </c>
    </row>
    <row r="15" spans="2:40" x14ac:dyDescent="0.35">
      <c r="B15" t="s">
        <v>72</v>
      </c>
    </row>
    <row r="16" spans="2:40" x14ac:dyDescent="0.35">
      <c r="B16" t="s">
        <v>73</v>
      </c>
    </row>
    <row r="18" spans="2:2" x14ac:dyDescent="0.35">
      <c r="B18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B2:AN16"/>
  <sheetViews>
    <sheetView showGridLines="0" workbookViewId="0">
      <pane xSplit="2" topLeftCell="C1" activePane="topRight" state="frozen"/>
      <selection pane="topRight" activeCell="B12" sqref="B12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253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1216</v>
      </c>
      <c r="D7" s="10">
        <v>613</v>
      </c>
      <c r="E7" s="10">
        <v>598</v>
      </c>
      <c r="F7" s="10"/>
      <c r="G7" s="10" t="s">
        <v>75</v>
      </c>
      <c r="H7" s="10" t="s">
        <v>75</v>
      </c>
      <c r="I7" s="10">
        <v>1216</v>
      </c>
      <c r="J7" s="10"/>
      <c r="K7" s="10" t="s">
        <v>75</v>
      </c>
      <c r="L7" s="10">
        <v>924</v>
      </c>
      <c r="M7" s="10">
        <v>292</v>
      </c>
      <c r="N7" s="10"/>
      <c r="O7" s="10">
        <v>1020</v>
      </c>
      <c r="P7" s="10">
        <v>166</v>
      </c>
      <c r="Q7" s="10"/>
      <c r="R7" s="10">
        <v>177</v>
      </c>
      <c r="S7" s="10">
        <v>216</v>
      </c>
      <c r="T7" s="10">
        <v>97</v>
      </c>
      <c r="U7" s="10">
        <v>116</v>
      </c>
      <c r="V7" s="10">
        <v>104</v>
      </c>
      <c r="W7" s="10">
        <v>152</v>
      </c>
      <c r="X7" s="10">
        <v>76</v>
      </c>
      <c r="Y7" s="10">
        <v>70</v>
      </c>
      <c r="Z7" s="10">
        <v>208</v>
      </c>
      <c r="AA7" s="10"/>
      <c r="AB7" s="10">
        <v>152</v>
      </c>
      <c r="AC7" s="10">
        <v>147</v>
      </c>
      <c r="AD7" s="10">
        <v>152</v>
      </c>
      <c r="AE7" s="10">
        <v>106</v>
      </c>
      <c r="AF7" s="10"/>
      <c r="AG7" s="10">
        <v>95</v>
      </c>
      <c r="AH7" s="10">
        <v>46</v>
      </c>
      <c r="AI7" s="10"/>
      <c r="AJ7" s="10">
        <v>141</v>
      </c>
      <c r="AK7" s="10">
        <v>131</v>
      </c>
      <c r="AL7" s="10"/>
      <c r="AM7" s="10">
        <v>626</v>
      </c>
      <c r="AN7" s="10">
        <v>310</v>
      </c>
    </row>
    <row r="8" spans="2:40" ht="30" customHeight="1" x14ac:dyDescent="0.35">
      <c r="B8" s="11" t="s">
        <v>20</v>
      </c>
      <c r="C8" s="11">
        <v>1136</v>
      </c>
      <c r="D8" s="11">
        <v>540</v>
      </c>
      <c r="E8" s="11">
        <v>591</v>
      </c>
      <c r="F8" s="11"/>
      <c r="G8" s="11" t="s">
        <v>75</v>
      </c>
      <c r="H8" s="11" t="s">
        <v>75</v>
      </c>
      <c r="I8" s="11">
        <v>1136</v>
      </c>
      <c r="J8" s="11"/>
      <c r="K8" s="11" t="s">
        <v>75</v>
      </c>
      <c r="L8" s="11">
        <v>745</v>
      </c>
      <c r="M8" s="11">
        <v>391</v>
      </c>
      <c r="N8" s="11"/>
      <c r="O8" s="11">
        <v>946</v>
      </c>
      <c r="P8" s="11">
        <v>161</v>
      </c>
      <c r="Q8" s="11"/>
      <c r="R8" s="11">
        <v>183</v>
      </c>
      <c r="S8" s="11">
        <v>192</v>
      </c>
      <c r="T8" s="11">
        <v>104</v>
      </c>
      <c r="U8" s="11">
        <v>121</v>
      </c>
      <c r="V8" s="11">
        <v>99</v>
      </c>
      <c r="W8" s="11">
        <v>112</v>
      </c>
      <c r="X8" s="11">
        <v>107</v>
      </c>
      <c r="Y8" s="11">
        <v>62</v>
      </c>
      <c r="Z8" s="11">
        <v>157</v>
      </c>
      <c r="AA8" s="11"/>
      <c r="AB8" s="11">
        <v>117</v>
      </c>
      <c r="AC8" s="11">
        <v>117</v>
      </c>
      <c r="AD8" s="11">
        <v>211</v>
      </c>
      <c r="AE8" s="11">
        <v>141</v>
      </c>
      <c r="AF8" s="11"/>
      <c r="AG8" s="11">
        <v>117</v>
      </c>
      <c r="AH8" s="11">
        <v>63</v>
      </c>
      <c r="AI8" s="11"/>
      <c r="AJ8" s="11">
        <v>180</v>
      </c>
      <c r="AK8" s="11">
        <v>185</v>
      </c>
      <c r="AL8" s="11"/>
      <c r="AM8" s="11">
        <v>567</v>
      </c>
      <c r="AN8" s="11">
        <v>311</v>
      </c>
    </row>
    <row r="9" spans="2:40" x14ac:dyDescent="0.35">
      <c r="B9" s="15" t="s">
        <v>44</v>
      </c>
      <c r="C9" s="14">
        <v>0.73687692674272698</v>
      </c>
      <c r="D9" s="14">
        <v>0.76673938800719399</v>
      </c>
      <c r="E9" s="14">
        <v>0.71029828701055597</v>
      </c>
      <c r="F9" s="14"/>
      <c r="G9" s="14" t="s">
        <v>76</v>
      </c>
      <c r="H9" s="14" t="s">
        <v>76</v>
      </c>
      <c r="I9" s="14">
        <v>0.73687692674272698</v>
      </c>
      <c r="J9" s="14"/>
      <c r="K9" s="14" t="s">
        <v>76</v>
      </c>
      <c r="L9" s="14">
        <v>0.720029026812673</v>
      </c>
      <c r="M9" s="14">
        <v>0.76891717400016102</v>
      </c>
      <c r="N9" s="14"/>
      <c r="O9" s="14">
        <v>0.72949448086743096</v>
      </c>
      <c r="P9" s="14">
        <v>0.78551209849822701</v>
      </c>
      <c r="Q9" s="14"/>
      <c r="R9" s="14">
        <v>0.81646114544715798</v>
      </c>
      <c r="S9" s="14">
        <v>0.73245352906178496</v>
      </c>
      <c r="T9" s="14">
        <v>0.81307484495929805</v>
      </c>
      <c r="U9" s="14">
        <v>0.71051395071983403</v>
      </c>
      <c r="V9" s="14">
        <v>0.81228226527788305</v>
      </c>
      <c r="W9" s="14">
        <v>0.69607801555402105</v>
      </c>
      <c r="X9" s="14">
        <v>0.56760100969206895</v>
      </c>
      <c r="Y9" s="14">
        <v>0.70525824997028697</v>
      </c>
      <c r="Z9" s="14">
        <v>0.72898752755705898</v>
      </c>
      <c r="AA9" s="14"/>
      <c r="AB9" s="14">
        <v>0.76164701210260499</v>
      </c>
      <c r="AC9" s="14">
        <v>0.78116930653264505</v>
      </c>
      <c r="AD9" s="14">
        <v>0.761756540677198</v>
      </c>
      <c r="AE9" s="14">
        <v>0.80724272551613596</v>
      </c>
      <c r="AF9" s="14"/>
      <c r="AG9" s="14">
        <v>0.83015090113422596</v>
      </c>
      <c r="AH9" s="14">
        <v>0.70602930864785796</v>
      </c>
      <c r="AI9" s="14"/>
      <c r="AJ9" s="14">
        <v>0.78677041246854296</v>
      </c>
      <c r="AK9" s="14">
        <v>0.76150869754689499</v>
      </c>
      <c r="AL9" s="14"/>
      <c r="AM9" s="14">
        <v>0.777613673607642</v>
      </c>
      <c r="AN9" s="14">
        <v>0.68436794372062904</v>
      </c>
    </row>
    <row r="10" spans="2:40" x14ac:dyDescent="0.35">
      <c r="B10" s="15" t="s">
        <v>45</v>
      </c>
      <c r="C10" s="14">
        <v>0.195977854681713</v>
      </c>
      <c r="D10" s="14">
        <v>0.18102470263412801</v>
      </c>
      <c r="E10" s="14">
        <v>0.20835755425281</v>
      </c>
      <c r="F10" s="14"/>
      <c r="G10" s="14" t="s">
        <v>76</v>
      </c>
      <c r="H10" s="14" t="s">
        <v>76</v>
      </c>
      <c r="I10" s="14">
        <v>0.195977854681713</v>
      </c>
      <c r="J10" s="14"/>
      <c r="K10" s="14" t="s">
        <v>76</v>
      </c>
      <c r="L10" s="14">
        <v>0.203314921413245</v>
      </c>
      <c r="M10" s="14">
        <v>0.18202469534443499</v>
      </c>
      <c r="N10" s="14"/>
      <c r="O10" s="14">
        <v>0.19766508486753101</v>
      </c>
      <c r="P10" s="14">
        <v>0.18145580985867599</v>
      </c>
      <c r="Q10" s="14"/>
      <c r="R10" s="14">
        <v>0.16314005614445701</v>
      </c>
      <c r="S10" s="14">
        <v>0.21838432681089501</v>
      </c>
      <c r="T10" s="14">
        <v>0.126494237956667</v>
      </c>
      <c r="U10" s="14">
        <v>0.17764639926754</v>
      </c>
      <c r="V10" s="14">
        <v>0.15448875701374901</v>
      </c>
      <c r="W10" s="14">
        <v>0.234008625477302</v>
      </c>
      <c r="X10" s="14">
        <v>0.24041097624715499</v>
      </c>
      <c r="Y10" s="14">
        <v>0.245259925371729</v>
      </c>
      <c r="Z10" s="14">
        <v>0.21593041323030701</v>
      </c>
      <c r="AA10" s="14"/>
      <c r="AB10" s="14">
        <v>0.192209537717978</v>
      </c>
      <c r="AC10" s="14">
        <v>0.175681342859386</v>
      </c>
      <c r="AD10" s="14">
        <v>0.17899641452329201</v>
      </c>
      <c r="AE10" s="14">
        <v>0.16513598395777401</v>
      </c>
      <c r="AF10" s="14"/>
      <c r="AG10" s="14">
        <v>0.155136120252791</v>
      </c>
      <c r="AH10" s="14">
        <v>0.25598318287143701</v>
      </c>
      <c r="AI10" s="14"/>
      <c r="AJ10" s="14">
        <v>0.190382162212622</v>
      </c>
      <c r="AK10" s="14">
        <v>0.18382858281432701</v>
      </c>
      <c r="AL10" s="14"/>
      <c r="AM10" s="14">
        <v>0.16867480258054501</v>
      </c>
      <c r="AN10" s="14">
        <v>0.23478249230536699</v>
      </c>
    </row>
    <row r="11" spans="2:40" x14ac:dyDescent="0.35">
      <c r="B11" s="15" t="s">
        <v>70</v>
      </c>
      <c r="C11" s="20">
        <v>6.7145218575559898E-2</v>
      </c>
      <c r="D11" s="20">
        <v>5.2235909358678299E-2</v>
      </c>
      <c r="E11" s="20">
        <v>8.1344158736634198E-2</v>
      </c>
      <c r="F11" s="20"/>
      <c r="G11" s="20" t="s">
        <v>76</v>
      </c>
      <c r="H11" s="20" t="s">
        <v>76</v>
      </c>
      <c r="I11" s="20">
        <v>6.7145218575559898E-2</v>
      </c>
      <c r="J11" s="20"/>
      <c r="K11" s="20" t="s">
        <v>76</v>
      </c>
      <c r="L11" s="20">
        <v>7.6656051774082204E-2</v>
      </c>
      <c r="M11" s="20">
        <v>4.9058130655404E-2</v>
      </c>
      <c r="N11" s="20"/>
      <c r="O11" s="20">
        <v>7.2840434265037904E-2</v>
      </c>
      <c r="P11" s="20">
        <v>3.3032091643096999E-2</v>
      </c>
      <c r="Q11" s="20"/>
      <c r="R11" s="20">
        <v>2.03987984083847E-2</v>
      </c>
      <c r="S11" s="20">
        <v>4.9162144127320798E-2</v>
      </c>
      <c r="T11" s="20">
        <v>6.0430917084035599E-2</v>
      </c>
      <c r="U11" s="20">
        <v>0.111839650012626</v>
      </c>
      <c r="V11" s="20">
        <v>3.3228977708368003E-2</v>
      </c>
      <c r="W11" s="20">
        <v>6.9913358968676606E-2</v>
      </c>
      <c r="X11" s="20">
        <v>0.19198801406077601</v>
      </c>
      <c r="Y11" s="20">
        <v>4.9481824657983398E-2</v>
      </c>
      <c r="Z11" s="20">
        <v>5.50820592126346E-2</v>
      </c>
      <c r="AA11" s="20"/>
      <c r="AB11" s="20">
        <v>4.6143450179416103E-2</v>
      </c>
      <c r="AC11" s="20">
        <v>4.31493506079689E-2</v>
      </c>
      <c r="AD11" s="20">
        <v>5.92470447995102E-2</v>
      </c>
      <c r="AE11" s="20">
        <v>2.7621290526090001E-2</v>
      </c>
      <c r="AF11" s="20"/>
      <c r="AG11" s="20">
        <v>1.4712978612983599E-2</v>
      </c>
      <c r="AH11" s="20">
        <v>3.7987508480705097E-2</v>
      </c>
      <c r="AI11" s="20"/>
      <c r="AJ11" s="20">
        <v>2.2847425318835098E-2</v>
      </c>
      <c r="AK11" s="20">
        <v>5.4662719638778598E-2</v>
      </c>
      <c r="AL11" s="20"/>
      <c r="AM11" s="20">
        <v>5.37115238118126E-2</v>
      </c>
      <c r="AN11" s="20">
        <v>8.0849563974003502E-2</v>
      </c>
    </row>
    <row r="12" spans="2:40" x14ac:dyDescent="0.35">
      <c r="B12" s="27" t="s">
        <v>390</v>
      </c>
    </row>
    <row r="13" spans="2:40" x14ac:dyDescent="0.35">
      <c r="B13" t="s">
        <v>72</v>
      </c>
    </row>
    <row r="14" spans="2:40" x14ac:dyDescent="0.35">
      <c r="B14" t="s">
        <v>73</v>
      </c>
    </row>
    <row r="16" spans="2:40" x14ac:dyDescent="0.35">
      <c r="B16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B2:AN18"/>
  <sheetViews>
    <sheetView showGridLines="0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254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895</v>
      </c>
      <c r="D7" s="10">
        <v>465</v>
      </c>
      <c r="E7" s="10">
        <v>426</v>
      </c>
      <c r="F7" s="10"/>
      <c r="G7" s="10" t="s">
        <v>75</v>
      </c>
      <c r="H7" s="10" t="s">
        <v>75</v>
      </c>
      <c r="I7" s="10">
        <v>895</v>
      </c>
      <c r="J7" s="10"/>
      <c r="K7" s="10" t="s">
        <v>75</v>
      </c>
      <c r="L7" s="10">
        <v>671</v>
      </c>
      <c r="M7" s="10">
        <v>224</v>
      </c>
      <c r="N7" s="10"/>
      <c r="O7" s="10">
        <v>743</v>
      </c>
      <c r="P7" s="10">
        <v>131</v>
      </c>
      <c r="Q7" s="10"/>
      <c r="R7" s="10">
        <v>145</v>
      </c>
      <c r="S7" s="10">
        <v>158</v>
      </c>
      <c r="T7" s="10">
        <v>78</v>
      </c>
      <c r="U7" s="10">
        <v>82</v>
      </c>
      <c r="V7" s="10">
        <v>84</v>
      </c>
      <c r="W7" s="10">
        <v>106</v>
      </c>
      <c r="X7" s="10">
        <v>42</v>
      </c>
      <c r="Y7" s="10">
        <v>49</v>
      </c>
      <c r="Z7" s="10">
        <v>151</v>
      </c>
      <c r="AA7" s="10"/>
      <c r="AB7" s="10">
        <v>116</v>
      </c>
      <c r="AC7" s="10">
        <v>116</v>
      </c>
      <c r="AD7" s="10">
        <v>115</v>
      </c>
      <c r="AE7" s="10">
        <v>86</v>
      </c>
      <c r="AF7" s="10"/>
      <c r="AG7" s="10">
        <v>77</v>
      </c>
      <c r="AH7" s="10">
        <v>32</v>
      </c>
      <c r="AI7" s="10"/>
      <c r="AJ7" s="10">
        <v>109</v>
      </c>
      <c r="AK7" s="10">
        <v>101</v>
      </c>
      <c r="AL7" s="10"/>
      <c r="AM7" s="10">
        <v>484</v>
      </c>
      <c r="AN7" s="10">
        <v>214</v>
      </c>
    </row>
    <row r="8" spans="2:40" ht="30" customHeight="1" x14ac:dyDescent="0.35">
      <c r="B8" s="11" t="s">
        <v>20</v>
      </c>
      <c r="C8" s="11">
        <v>837</v>
      </c>
      <c r="D8" s="11">
        <v>414</v>
      </c>
      <c r="E8" s="11">
        <v>420</v>
      </c>
      <c r="F8" s="11"/>
      <c r="G8" s="11" t="s">
        <v>75</v>
      </c>
      <c r="H8" s="11" t="s">
        <v>75</v>
      </c>
      <c r="I8" s="11">
        <v>837</v>
      </c>
      <c r="J8" s="11"/>
      <c r="K8" s="11" t="s">
        <v>75</v>
      </c>
      <c r="L8" s="11">
        <v>536</v>
      </c>
      <c r="M8" s="11">
        <v>301</v>
      </c>
      <c r="N8" s="11"/>
      <c r="O8" s="11">
        <v>690</v>
      </c>
      <c r="P8" s="11">
        <v>127</v>
      </c>
      <c r="Q8" s="11"/>
      <c r="R8" s="11">
        <v>149</v>
      </c>
      <c r="S8" s="11">
        <v>141</v>
      </c>
      <c r="T8" s="11">
        <v>84</v>
      </c>
      <c r="U8" s="11">
        <v>86</v>
      </c>
      <c r="V8" s="11">
        <v>80</v>
      </c>
      <c r="W8" s="11">
        <v>78</v>
      </c>
      <c r="X8" s="11">
        <v>61</v>
      </c>
      <c r="Y8" s="11">
        <v>44</v>
      </c>
      <c r="Z8" s="11">
        <v>114</v>
      </c>
      <c r="AA8" s="11"/>
      <c r="AB8" s="11">
        <v>89</v>
      </c>
      <c r="AC8" s="11">
        <v>91</v>
      </c>
      <c r="AD8" s="11">
        <v>161</v>
      </c>
      <c r="AE8" s="11">
        <v>113</v>
      </c>
      <c r="AF8" s="11"/>
      <c r="AG8" s="11">
        <v>97</v>
      </c>
      <c r="AH8" s="11">
        <v>44</v>
      </c>
      <c r="AI8" s="11"/>
      <c r="AJ8" s="11">
        <v>142</v>
      </c>
      <c r="AK8" s="11">
        <v>141</v>
      </c>
      <c r="AL8" s="11"/>
      <c r="AM8" s="11">
        <v>441</v>
      </c>
      <c r="AN8" s="11">
        <v>213</v>
      </c>
    </row>
    <row r="9" spans="2:40" x14ac:dyDescent="0.35">
      <c r="B9" s="15" t="s">
        <v>155</v>
      </c>
      <c r="C9" s="14">
        <v>0.140954543758155</v>
      </c>
      <c r="D9" s="14">
        <v>0.15017298574314999</v>
      </c>
      <c r="E9" s="14">
        <v>0.13098576878479401</v>
      </c>
      <c r="F9" s="14"/>
      <c r="G9" s="14" t="s">
        <v>76</v>
      </c>
      <c r="H9" s="14" t="s">
        <v>76</v>
      </c>
      <c r="I9" s="14">
        <v>0.140954543758155</v>
      </c>
      <c r="J9" s="14"/>
      <c r="K9" s="14" t="s">
        <v>76</v>
      </c>
      <c r="L9" s="14">
        <v>0.14191419342773701</v>
      </c>
      <c r="M9" s="14">
        <v>0.139245578451588</v>
      </c>
      <c r="N9" s="14"/>
      <c r="O9" s="14">
        <v>0.122042067023831</v>
      </c>
      <c r="P9" s="14">
        <v>0.24725500377468901</v>
      </c>
      <c r="Q9" s="14"/>
      <c r="R9" s="14">
        <v>0.22244831317956101</v>
      </c>
      <c r="S9" s="14">
        <v>9.2257639843999595E-2</v>
      </c>
      <c r="T9" s="14">
        <v>9.4790149996289097E-2</v>
      </c>
      <c r="U9" s="14">
        <v>0.16769143449971299</v>
      </c>
      <c r="V9" s="14">
        <v>0.10600799896334</v>
      </c>
      <c r="W9" s="14">
        <v>0.16193057256655999</v>
      </c>
      <c r="X9" s="14">
        <v>0.10448271897295699</v>
      </c>
      <c r="Y9" s="14">
        <v>0.16842872897418401</v>
      </c>
      <c r="Z9" s="14">
        <v>0.127400950005366</v>
      </c>
      <c r="AA9" s="14"/>
      <c r="AB9" s="14">
        <v>0.11328888600897701</v>
      </c>
      <c r="AC9" s="14">
        <v>0.14710210293020101</v>
      </c>
      <c r="AD9" s="14">
        <v>9.8294672995519999E-2</v>
      </c>
      <c r="AE9" s="14">
        <v>0.191844944642073</v>
      </c>
      <c r="AF9" s="14"/>
      <c r="AG9" s="14">
        <v>0.24013970335031601</v>
      </c>
      <c r="AH9" s="14">
        <v>8.8663360559252197E-2</v>
      </c>
      <c r="AI9" s="14"/>
      <c r="AJ9" s="14">
        <v>0.19263171705992799</v>
      </c>
      <c r="AK9" s="14">
        <v>7.82942119989566E-2</v>
      </c>
      <c r="AL9" s="14"/>
      <c r="AM9" s="14">
        <v>0.20118535730024201</v>
      </c>
      <c r="AN9" s="14">
        <v>7.0775914643738794E-2</v>
      </c>
    </row>
    <row r="10" spans="2:40" x14ac:dyDescent="0.35">
      <c r="B10" s="15" t="s">
        <v>156</v>
      </c>
      <c r="C10" s="14">
        <v>0.57629314854240699</v>
      </c>
      <c r="D10" s="14">
        <v>0.59345632133994097</v>
      </c>
      <c r="E10" s="14">
        <v>0.56186857992036898</v>
      </c>
      <c r="F10" s="14"/>
      <c r="G10" s="14" t="s">
        <v>76</v>
      </c>
      <c r="H10" s="14" t="s">
        <v>76</v>
      </c>
      <c r="I10" s="14">
        <v>0.57629314854240699</v>
      </c>
      <c r="J10" s="14"/>
      <c r="K10" s="14" t="s">
        <v>76</v>
      </c>
      <c r="L10" s="14">
        <v>0.56949186988788703</v>
      </c>
      <c r="M10" s="14">
        <v>0.58840501564276604</v>
      </c>
      <c r="N10" s="14"/>
      <c r="O10" s="14">
        <v>0.58393660582206297</v>
      </c>
      <c r="P10" s="14">
        <v>0.55891507497625603</v>
      </c>
      <c r="Q10" s="14"/>
      <c r="R10" s="14">
        <v>0.55005396306670495</v>
      </c>
      <c r="S10" s="14">
        <v>0.61889946918893302</v>
      </c>
      <c r="T10" s="14">
        <v>0.61594333571694404</v>
      </c>
      <c r="U10" s="14">
        <v>0.52649843311358102</v>
      </c>
      <c r="V10" s="14">
        <v>0.55149359739724801</v>
      </c>
      <c r="W10" s="14">
        <v>0.547335917052586</v>
      </c>
      <c r="X10" s="14">
        <v>0.70746171778586397</v>
      </c>
      <c r="Y10" s="14">
        <v>0.46301683123666298</v>
      </c>
      <c r="Z10" s="14">
        <v>0.57736702268671003</v>
      </c>
      <c r="AA10" s="14"/>
      <c r="AB10" s="14">
        <v>0.56540037927319398</v>
      </c>
      <c r="AC10" s="14">
        <v>0.67499806590815103</v>
      </c>
      <c r="AD10" s="14">
        <v>0.568202415868998</v>
      </c>
      <c r="AE10" s="14">
        <v>0.59045271413969203</v>
      </c>
      <c r="AF10" s="14"/>
      <c r="AG10" s="14">
        <v>0.58147011573192098</v>
      </c>
      <c r="AH10" s="14">
        <v>0.73392199401997904</v>
      </c>
      <c r="AI10" s="14"/>
      <c r="AJ10" s="14">
        <v>0.62928406218851696</v>
      </c>
      <c r="AK10" s="14">
        <v>0.55649120878958003</v>
      </c>
      <c r="AL10" s="14"/>
      <c r="AM10" s="14">
        <v>0.61872650947888597</v>
      </c>
      <c r="AN10" s="14">
        <v>0.48323397850808902</v>
      </c>
    </row>
    <row r="11" spans="2:40" x14ac:dyDescent="0.35">
      <c r="B11" s="15" t="s">
        <v>157</v>
      </c>
      <c r="C11" s="14">
        <v>0.20437353529646801</v>
      </c>
      <c r="D11" s="14">
        <v>0.20953557949475399</v>
      </c>
      <c r="E11" s="14">
        <v>0.19908421811681401</v>
      </c>
      <c r="F11" s="14"/>
      <c r="G11" s="14" t="s">
        <v>76</v>
      </c>
      <c r="H11" s="14" t="s">
        <v>76</v>
      </c>
      <c r="I11" s="14">
        <v>0.20437353529646801</v>
      </c>
      <c r="J11" s="14"/>
      <c r="K11" s="14" t="s">
        <v>76</v>
      </c>
      <c r="L11" s="14">
        <v>0.20459484358833799</v>
      </c>
      <c r="M11" s="14">
        <v>0.203979424607068</v>
      </c>
      <c r="N11" s="14"/>
      <c r="O11" s="14">
        <v>0.21023936891835299</v>
      </c>
      <c r="P11" s="14">
        <v>0.168026214258443</v>
      </c>
      <c r="Q11" s="14"/>
      <c r="R11" s="14">
        <v>0.159190570450574</v>
      </c>
      <c r="S11" s="14">
        <v>0.21731733615141099</v>
      </c>
      <c r="T11" s="14">
        <v>0.20517178602529099</v>
      </c>
      <c r="U11" s="14">
        <v>0.161218808372383</v>
      </c>
      <c r="V11" s="14">
        <v>0.24607417307849699</v>
      </c>
      <c r="W11" s="14">
        <v>0.174093367405144</v>
      </c>
      <c r="X11" s="14">
        <v>0.13027545347547301</v>
      </c>
      <c r="Y11" s="14">
        <v>0.35113346679997298</v>
      </c>
      <c r="Z11" s="14">
        <v>0.253581773176906</v>
      </c>
      <c r="AA11" s="14"/>
      <c r="AB11" s="14">
        <v>0.26222237151661698</v>
      </c>
      <c r="AC11" s="14">
        <v>0.124320623009005</v>
      </c>
      <c r="AD11" s="14">
        <v>0.23719266037926101</v>
      </c>
      <c r="AE11" s="14">
        <v>0.19886400536079499</v>
      </c>
      <c r="AF11" s="14"/>
      <c r="AG11" s="14">
        <v>0.15639699752677499</v>
      </c>
      <c r="AH11" s="14">
        <v>0.13386096099299799</v>
      </c>
      <c r="AI11" s="14"/>
      <c r="AJ11" s="14">
        <v>0.14932895181772901</v>
      </c>
      <c r="AK11" s="14">
        <v>0.28590364406677699</v>
      </c>
      <c r="AL11" s="14"/>
      <c r="AM11" s="14">
        <v>0.14313677457283799</v>
      </c>
      <c r="AN11" s="14">
        <v>0.293594881851024</v>
      </c>
    </row>
    <row r="12" spans="2:40" x14ac:dyDescent="0.35">
      <c r="B12" s="15" t="s">
        <v>158</v>
      </c>
      <c r="C12" s="14">
        <v>6.7311078648674597E-2</v>
      </c>
      <c r="D12" s="14">
        <v>3.98404876663217E-2</v>
      </c>
      <c r="E12" s="14">
        <v>9.28872965371033E-2</v>
      </c>
      <c r="F12" s="14"/>
      <c r="G12" s="14" t="s">
        <v>76</v>
      </c>
      <c r="H12" s="14" t="s">
        <v>76</v>
      </c>
      <c r="I12" s="14">
        <v>6.7311078648674597E-2</v>
      </c>
      <c r="J12" s="14"/>
      <c r="K12" s="14" t="s">
        <v>76</v>
      </c>
      <c r="L12" s="14">
        <v>7.2230091865749899E-2</v>
      </c>
      <c r="M12" s="14">
        <v>5.8551191372105703E-2</v>
      </c>
      <c r="N12" s="14"/>
      <c r="O12" s="14">
        <v>7.2331998606945697E-2</v>
      </c>
      <c r="P12" s="14">
        <v>1.50485573932916E-2</v>
      </c>
      <c r="Q12" s="14"/>
      <c r="R12" s="14">
        <v>6.1510146122262903E-2</v>
      </c>
      <c r="S12" s="14">
        <v>6.0529799185674797E-2</v>
      </c>
      <c r="T12" s="14">
        <v>6.34723130804319E-2</v>
      </c>
      <c r="U12" s="14">
        <v>0.14459132401432301</v>
      </c>
      <c r="V12" s="14">
        <v>9.6424230560915106E-2</v>
      </c>
      <c r="W12" s="14">
        <v>6.9846551831148698E-2</v>
      </c>
      <c r="X12" s="14">
        <v>5.77801097657063E-2</v>
      </c>
      <c r="Y12" s="14">
        <v>1.74209729891792E-2</v>
      </c>
      <c r="Z12" s="14">
        <v>3.0212351265882401E-2</v>
      </c>
      <c r="AA12" s="14"/>
      <c r="AB12" s="14">
        <v>5.9088363201212003E-2</v>
      </c>
      <c r="AC12" s="14">
        <v>4.5364658812791801E-2</v>
      </c>
      <c r="AD12" s="14">
        <v>7.7949754342915803E-2</v>
      </c>
      <c r="AE12" s="14">
        <v>1.8838335857440401E-2</v>
      </c>
      <c r="AF12" s="14"/>
      <c r="AG12" s="14">
        <v>2.19931833909889E-2</v>
      </c>
      <c r="AH12" s="14">
        <v>4.3553684427770398E-2</v>
      </c>
      <c r="AI12" s="14"/>
      <c r="AJ12" s="14">
        <v>2.87552689338261E-2</v>
      </c>
      <c r="AK12" s="14">
        <v>5.8318195485858301E-2</v>
      </c>
      <c r="AL12" s="14"/>
      <c r="AM12" s="14">
        <v>3.5253348219316298E-2</v>
      </c>
      <c r="AN12" s="14">
        <v>0.12856431358342099</v>
      </c>
    </row>
    <row r="13" spans="2:40" x14ac:dyDescent="0.35">
      <c r="B13" s="15" t="s">
        <v>70</v>
      </c>
      <c r="C13" s="20">
        <v>1.10676937542956E-2</v>
      </c>
      <c r="D13" s="20">
        <v>6.9946257558332198E-3</v>
      </c>
      <c r="E13" s="20">
        <v>1.51741366409204E-2</v>
      </c>
      <c r="F13" s="20"/>
      <c r="G13" s="20" t="s">
        <v>76</v>
      </c>
      <c r="H13" s="20" t="s">
        <v>76</v>
      </c>
      <c r="I13" s="20">
        <v>1.10676937542956E-2</v>
      </c>
      <c r="J13" s="20"/>
      <c r="K13" s="20" t="s">
        <v>76</v>
      </c>
      <c r="L13" s="20">
        <v>1.1769001230289299E-2</v>
      </c>
      <c r="M13" s="20">
        <v>9.8187899264720307E-3</v>
      </c>
      <c r="N13" s="20"/>
      <c r="O13" s="20">
        <v>1.1449959628807301E-2</v>
      </c>
      <c r="P13" s="20">
        <v>1.0755149597320501E-2</v>
      </c>
      <c r="Q13" s="20"/>
      <c r="R13" s="20">
        <v>6.7970071808970403E-3</v>
      </c>
      <c r="S13" s="20">
        <v>1.09957556299814E-2</v>
      </c>
      <c r="T13" s="20">
        <v>2.06224151810438E-2</v>
      </c>
      <c r="U13" s="20">
        <v>0</v>
      </c>
      <c r="V13" s="20">
        <v>0</v>
      </c>
      <c r="W13" s="20">
        <v>4.6793591144561802E-2</v>
      </c>
      <c r="X13" s="20">
        <v>0</v>
      </c>
      <c r="Y13" s="20">
        <v>0</v>
      </c>
      <c r="Z13" s="20">
        <v>1.1437902865134899E-2</v>
      </c>
      <c r="AA13" s="20"/>
      <c r="AB13" s="20">
        <v>0</v>
      </c>
      <c r="AC13" s="20">
        <v>8.2145493398508799E-3</v>
      </c>
      <c r="AD13" s="20">
        <v>1.8360496413304901E-2</v>
      </c>
      <c r="AE13" s="20">
        <v>0</v>
      </c>
      <c r="AF13" s="20"/>
      <c r="AG13" s="20">
        <v>0</v>
      </c>
      <c r="AH13" s="20">
        <v>0</v>
      </c>
      <c r="AI13" s="20"/>
      <c r="AJ13" s="20">
        <v>0</v>
      </c>
      <c r="AK13" s="20">
        <v>2.0992739658827499E-2</v>
      </c>
      <c r="AL13" s="20"/>
      <c r="AM13" s="20">
        <v>1.6980104287184E-3</v>
      </c>
      <c r="AN13" s="20">
        <v>2.38309114137275E-2</v>
      </c>
    </row>
    <row r="14" spans="2:40" x14ac:dyDescent="0.35">
      <c r="B14" s="27" t="s">
        <v>267</v>
      </c>
    </row>
    <row r="15" spans="2:40" x14ac:dyDescent="0.35">
      <c r="B15" t="s">
        <v>72</v>
      </c>
    </row>
    <row r="16" spans="2:40" x14ac:dyDescent="0.35">
      <c r="B16" t="s">
        <v>73</v>
      </c>
    </row>
    <row r="18" spans="2:2" x14ac:dyDescent="0.35">
      <c r="B18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B2:AN19"/>
  <sheetViews>
    <sheetView showGridLines="0" workbookViewId="0">
      <pane xSplit="2" topLeftCell="C1" activePane="topRight" state="frozen"/>
      <selection pane="topRight" activeCell="B15" sqref="B15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256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895</v>
      </c>
      <c r="D7" s="10">
        <v>465</v>
      </c>
      <c r="E7" s="10">
        <v>426</v>
      </c>
      <c r="F7" s="10"/>
      <c r="G7" s="10" t="s">
        <v>75</v>
      </c>
      <c r="H7" s="10" t="s">
        <v>75</v>
      </c>
      <c r="I7" s="10">
        <v>895</v>
      </c>
      <c r="J7" s="10"/>
      <c r="K7" s="10" t="s">
        <v>75</v>
      </c>
      <c r="L7" s="10">
        <v>671</v>
      </c>
      <c r="M7" s="10">
        <v>224</v>
      </c>
      <c r="N7" s="10"/>
      <c r="O7" s="10">
        <v>743</v>
      </c>
      <c r="P7" s="10">
        <v>131</v>
      </c>
      <c r="Q7" s="10"/>
      <c r="R7" s="10">
        <v>145</v>
      </c>
      <c r="S7" s="10">
        <v>158</v>
      </c>
      <c r="T7" s="10">
        <v>78</v>
      </c>
      <c r="U7" s="10">
        <v>82</v>
      </c>
      <c r="V7" s="10">
        <v>84</v>
      </c>
      <c r="W7" s="10">
        <v>106</v>
      </c>
      <c r="X7" s="10">
        <v>42</v>
      </c>
      <c r="Y7" s="10">
        <v>49</v>
      </c>
      <c r="Z7" s="10">
        <v>151</v>
      </c>
      <c r="AA7" s="10"/>
      <c r="AB7" s="10">
        <v>116</v>
      </c>
      <c r="AC7" s="10">
        <v>116</v>
      </c>
      <c r="AD7" s="10">
        <v>115</v>
      </c>
      <c r="AE7" s="10">
        <v>86</v>
      </c>
      <c r="AF7" s="10"/>
      <c r="AG7" s="10">
        <v>77</v>
      </c>
      <c r="AH7" s="10">
        <v>32</v>
      </c>
      <c r="AI7" s="10"/>
      <c r="AJ7" s="10">
        <v>109</v>
      </c>
      <c r="AK7" s="10">
        <v>101</v>
      </c>
      <c r="AL7" s="10"/>
      <c r="AM7" s="10">
        <v>484</v>
      </c>
      <c r="AN7" s="10">
        <v>214</v>
      </c>
    </row>
    <row r="8" spans="2:40" ht="30" customHeight="1" x14ac:dyDescent="0.35">
      <c r="B8" s="11" t="s">
        <v>20</v>
      </c>
      <c r="C8" s="11">
        <v>837</v>
      </c>
      <c r="D8" s="11">
        <v>414</v>
      </c>
      <c r="E8" s="11">
        <v>420</v>
      </c>
      <c r="F8" s="11"/>
      <c r="G8" s="11" t="s">
        <v>75</v>
      </c>
      <c r="H8" s="11" t="s">
        <v>75</v>
      </c>
      <c r="I8" s="11">
        <v>837</v>
      </c>
      <c r="J8" s="11"/>
      <c r="K8" s="11" t="s">
        <v>75</v>
      </c>
      <c r="L8" s="11">
        <v>536</v>
      </c>
      <c r="M8" s="11">
        <v>301</v>
      </c>
      <c r="N8" s="11"/>
      <c r="O8" s="11">
        <v>690</v>
      </c>
      <c r="P8" s="11">
        <v>127</v>
      </c>
      <c r="Q8" s="11"/>
      <c r="R8" s="11">
        <v>149</v>
      </c>
      <c r="S8" s="11">
        <v>141</v>
      </c>
      <c r="T8" s="11">
        <v>84</v>
      </c>
      <c r="U8" s="11">
        <v>86</v>
      </c>
      <c r="V8" s="11">
        <v>80</v>
      </c>
      <c r="W8" s="11">
        <v>78</v>
      </c>
      <c r="X8" s="11">
        <v>61</v>
      </c>
      <c r="Y8" s="11">
        <v>44</v>
      </c>
      <c r="Z8" s="11">
        <v>114</v>
      </c>
      <c r="AA8" s="11"/>
      <c r="AB8" s="11">
        <v>89</v>
      </c>
      <c r="AC8" s="11">
        <v>91</v>
      </c>
      <c r="AD8" s="11">
        <v>161</v>
      </c>
      <c r="AE8" s="11">
        <v>113</v>
      </c>
      <c r="AF8" s="11"/>
      <c r="AG8" s="11">
        <v>97</v>
      </c>
      <c r="AH8" s="11">
        <v>44</v>
      </c>
      <c r="AI8" s="11"/>
      <c r="AJ8" s="11">
        <v>142</v>
      </c>
      <c r="AK8" s="11">
        <v>141</v>
      </c>
      <c r="AL8" s="11"/>
      <c r="AM8" s="11">
        <v>441</v>
      </c>
      <c r="AN8" s="11">
        <v>213</v>
      </c>
    </row>
    <row r="9" spans="2:40" x14ac:dyDescent="0.35">
      <c r="B9" s="15" t="s">
        <v>160</v>
      </c>
      <c r="C9" s="14">
        <v>0.174049554612282</v>
      </c>
      <c r="D9" s="14">
        <v>0.17647068480941899</v>
      </c>
      <c r="E9" s="14">
        <v>0.171044775841934</v>
      </c>
      <c r="F9" s="14"/>
      <c r="G9" s="14" t="s">
        <v>76</v>
      </c>
      <c r="H9" s="14" t="s">
        <v>76</v>
      </c>
      <c r="I9" s="14">
        <v>0.174049554612282</v>
      </c>
      <c r="J9" s="14"/>
      <c r="K9" s="14" t="s">
        <v>76</v>
      </c>
      <c r="L9" s="14">
        <v>0.173843695035379</v>
      </c>
      <c r="M9" s="14">
        <v>0.17441615388918899</v>
      </c>
      <c r="N9" s="14"/>
      <c r="O9" s="14">
        <v>0.134714259665078</v>
      </c>
      <c r="P9" s="14">
        <v>0.39091978924823201</v>
      </c>
      <c r="Q9" s="14"/>
      <c r="R9" s="14">
        <v>0.26537508632512402</v>
      </c>
      <c r="S9" s="14">
        <v>0.13088859197932001</v>
      </c>
      <c r="T9" s="14">
        <v>0.114312720155353</v>
      </c>
      <c r="U9" s="14">
        <v>0.18784293696718499</v>
      </c>
      <c r="V9" s="14">
        <v>0.14182107048787801</v>
      </c>
      <c r="W9" s="14">
        <v>0.124903750218102</v>
      </c>
      <c r="X9" s="14">
        <v>0.14417436341253501</v>
      </c>
      <c r="Y9" s="14">
        <v>0.19506699225031701</v>
      </c>
      <c r="Z9" s="14">
        <v>0.20558475750284999</v>
      </c>
      <c r="AA9" s="14"/>
      <c r="AB9" s="14">
        <v>0.13322056426929299</v>
      </c>
      <c r="AC9" s="14">
        <v>0.27782054266090001</v>
      </c>
      <c r="AD9" s="14">
        <v>0.10897240293592</v>
      </c>
      <c r="AE9" s="14">
        <v>0.26373599381705898</v>
      </c>
      <c r="AF9" s="14"/>
      <c r="AG9" s="14">
        <v>0.31221313324283201</v>
      </c>
      <c r="AH9" s="14">
        <v>8.8663351101760102E-2</v>
      </c>
      <c r="AI9" s="14"/>
      <c r="AJ9" s="14">
        <v>0.24210053486945901</v>
      </c>
      <c r="AK9" s="14">
        <v>0.103729532200973</v>
      </c>
      <c r="AL9" s="14"/>
      <c r="AM9" s="14">
        <v>0.30005177666676802</v>
      </c>
      <c r="AN9" s="14">
        <v>2.0571810260364101E-2</v>
      </c>
    </row>
    <row r="10" spans="2:40" x14ac:dyDescent="0.35">
      <c r="B10" s="15" t="s">
        <v>161</v>
      </c>
      <c r="C10" s="14">
        <v>0.50853217775353099</v>
      </c>
      <c r="D10" s="14">
        <v>0.53864336442899097</v>
      </c>
      <c r="E10" s="14">
        <v>0.48080626887008698</v>
      </c>
      <c r="F10" s="14"/>
      <c r="G10" s="14" t="s">
        <v>76</v>
      </c>
      <c r="H10" s="14" t="s">
        <v>76</v>
      </c>
      <c r="I10" s="14">
        <v>0.50853217775353099</v>
      </c>
      <c r="J10" s="14"/>
      <c r="K10" s="14" t="s">
        <v>76</v>
      </c>
      <c r="L10" s="14">
        <v>0.53794991183169705</v>
      </c>
      <c r="M10" s="14">
        <v>0.45614442779541398</v>
      </c>
      <c r="N10" s="14"/>
      <c r="O10" s="14">
        <v>0.52118185731420996</v>
      </c>
      <c r="P10" s="14">
        <v>0.46614478162076101</v>
      </c>
      <c r="Q10" s="14"/>
      <c r="R10" s="14">
        <v>0.55719538428455295</v>
      </c>
      <c r="S10" s="14">
        <v>0.50511572803649996</v>
      </c>
      <c r="T10" s="14">
        <v>0.53135386296587905</v>
      </c>
      <c r="U10" s="14">
        <v>0.40180826703515099</v>
      </c>
      <c r="V10" s="14">
        <v>0.51037712120148004</v>
      </c>
      <c r="W10" s="14">
        <v>0.52910383914138504</v>
      </c>
      <c r="X10" s="14">
        <v>0.57456827054331205</v>
      </c>
      <c r="Y10" s="14">
        <v>0.49172233837865298</v>
      </c>
      <c r="Z10" s="14">
        <v>0.46841424646228502</v>
      </c>
      <c r="AA10" s="14"/>
      <c r="AB10" s="14">
        <v>0.48300234052312302</v>
      </c>
      <c r="AC10" s="14">
        <v>0.62109188693972495</v>
      </c>
      <c r="AD10" s="14">
        <v>0.41085587804620299</v>
      </c>
      <c r="AE10" s="14">
        <v>0.53857059913795402</v>
      </c>
      <c r="AF10" s="14"/>
      <c r="AG10" s="14">
        <v>0.501132181395467</v>
      </c>
      <c r="AH10" s="14">
        <v>0.43919735908531199</v>
      </c>
      <c r="AI10" s="14"/>
      <c r="AJ10" s="14">
        <v>0.48170737462371299</v>
      </c>
      <c r="AK10" s="14">
        <v>0.45183779287232201</v>
      </c>
      <c r="AL10" s="14"/>
      <c r="AM10" s="14">
        <v>0.58388375320998698</v>
      </c>
      <c r="AN10" s="14">
        <v>0.29128537878931599</v>
      </c>
    </row>
    <row r="11" spans="2:40" x14ac:dyDescent="0.35">
      <c r="B11" s="15" t="s">
        <v>162</v>
      </c>
      <c r="C11" s="14">
        <v>0.26011149206173001</v>
      </c>
      <c r="D11" s="14">
        <v>0.238488135057286</v>
      </c>
      <c r="E11" s="14">
        <v>0.28169769771362502</v>
      </c>
      <c r="F11" s="14"/>
      <c r="G11" s="14" t="s">
        <v>76</v>
      </c>
      <c r="H11" s="14" t="s">
        <v>76</v>
      </c>
      <c r="I11" s="14">
        <v>0.26011149206173001</v>
      </c>
      <c r="J11" s="14"/>
      <c r="K11" s="14" t="s">
        <v>76</v>
      </c>
      <c r="L11" s="14">
        <v>0.22772359316058099</v>
      </c>
      <c r="M11" s="14">
        <v>0.31778857707425301</v>
      </c>
      <c r="N11" s="14"/>
      <c r="O11" s="14">
        <v>0.284238216771529</v>
      </c>
      <c r="P11" s="14">
        <v>0.125976824369121</v>
      </c>
      <c r="Q11" s="14"/>
      <c r="R11" s="14">
        <v>0.13808118515168</v>
      </c>
      <c r="S11" s="14">
        <v>0.32700501037261998</v>
      </c>
      <c r="T11" s="14">
        <v>0.26935271528684601</v>
      </c>
      <c r="U11" s="14">
        <v>0.32100448759997702</v>
      </c>
      <c r="V11" s="14">
        <v>0.312210440076502</v>
      </c>
      <c r="W11" s="14">
        <v>0.235265187796633</v>
      </c>
      <c r="X11" s="14">
        <v>0.22335629920455199</v>
      </c>
      <c r="Y11" s="14">
        <v>0.23990775125710001</v>
      </c>
      <c r="Z11" s="14">
        <v>0.29243967924251801</v>
      </c>
      <c r="AA11" s="14"/>
      <c r="AB11" s="14">
        <v>0.29353854257127998</v>
      </c>
      <c r="AC11" s="14">
        <v>0.10108757039937501</v>
      </c>
      <c r="AD11" s="14">
        <v>0.42011518647651303</v>
      </c>
      <c r="AE11" s="14">
        <v>0.16373997134705101</v>
      </c>
      <c r="AF11" s="14"/>
      <c r="AG11" s="14">
        <v>0.17150160775864301</v>
      </c>
      <c r="AH11" s="14">
        <v>0.41260341420911001</v>
      </c>
      <c r="AI11" s="14"/>
      <c r="AJ11" s="14">
        <v>0.247119100922151</v>
      </c>
      <c r="AK11" s="14">
        <v>0.37764282506180802</v>
      </c>
      <c r="AL11" s="14"/>
      <c r="AM11" s="14">
        <v>0.107425073627041</v>
      </c>
      <c r="AN11" s="14">
        <v>0.53336642734627704</v>
      </c>
    </row>
    <row r="12" spans="2:40" x14ac:dyDescent="0.35">
      <c r="B12" s="15" t="s">
        <v>163</v>
      </c>
      <c r="C12" s="14">
        <v>5.11394867412579E-2</v>
      </c>
      <c r="D12" s="14">
        <v>4.10802722089171E-2</v>
      </c>
      <c r="E12" s="14">
        <v>5.9397980119768802E-2</v>
      </c>
      <c r="F12" s="14"/>
      <c r="G12" s="14" t="s">
        <v>76</v>
      </c>
      <c r="H12" s="14" t="s">
        <v>76</v>
      </c>
      <c r="I12" s="14">
        <v>5.11394867412579E-2</v>
      </c>
      <c r="J12" s="14"/>
      <c r="K12" s="14" t="s">
        <v>76</v>
      </c>
      <c r="L12" s="14">
        <v>5.3167615431406197E-2</v>
      </c>
      <c r="M12" s="14">
        <v>4.7527750418533E-2</v>
      </c>
      <c r="N12" s="14"/>
      <c r="O12" s="14">
        <v>5.3756641710944901E-2</v>
      </c>
      <c r="P12" s="14">
        <v>9.4869102866579607E-3</v>
      </c>
      <c r="Q12" s="14"/>
      <c r="R12" s="14">
        <v>3.9348344238644001E-2</v>
      </c>
      <c r="S12" s="14">
        <v>3.6990669611560001E-2</v>
      </c>
      <c r="T12" s="14">
        <v>5.4954843158301597E-2</v>
      </c>
      <c r="U12" s="14">
        <v>8.9344308397686395E-2</v>
      </c>
      <c r="V12" s="14">
        <v>3.5591368234140101E-2</v>
      </c>
      <c r="W12" s="14">
        <v>9.4760736769603907E-2</v>
      </c>
      <c r="X12" s="14">
        <v>5.7901066839600897E-2</v>
      </c>
      <c r="Y12" s="14">
        <v>5.5881945124750698E-2</v>
      </c>
      <c r="Z12" s="14">
        <v>2.8161170787257401E-2</v>
      </c>
      <c r="AA12" s="14"/>
      <c r="AB12" s="14">
        <v>9.0238552636304703E-2</v>
      </c>
      <c r="AC12" s="14">
        <v>0</v>
      </c>
      <c r="AD12" s="14">
        <v>5.6180768146980503E-2</v>
      </c>
      <c r="AE12" s="14">
        <v>2.8514638005636899E-2</v>
      </c>
      <c r="AF12" s="14"/>
      <c r="AG12" s="14">
        <v>8.8034469361878594E-3</v>
      </c>
      <c r="AH12" s="14">
        <v>5.9535875603818303E-2</v>
      </c>
      <c r="AI12" s="14"/>
      <c r="AJ12" s="14">
        <v>2.4714812904036099E-2</v>
      </c>
      <c r="AK12" s="14">
        <v>6.2358438476081197E-2</v>
      </c>
      <c r="AL12" s="14"/>
      <c r="AM12" s="14">
        <v>6.8403776788746604E-3</v>
      </c>
      <c r="AN12" s="14">
        <v>0.14746246109737901</v>
      </c>
    </row>
    <row r="13" spans="2:40" x14ac:dyDescent="0.35">
      <c r="B13" s="15" t="s">
        <v>70</v>
      </c>
      <c r="C13" s="21">
        <v>6.1672888311990401E-3</v>
      </c>
      <c r="D13" s="21">
        <v>5.3175434953869503E-3</v>
      </c>
      <c r="E13" s="21">
        <v>7.0532774545854502E-3</v>
      </c>
      <c r="F13" s="21"/>
      <c r="G13" s="21" t="s">
        <v>76</v>
      </c>
      <c r="H13" s="21" t="s">
        <v>76</v>
      </c>
      <c r="I13" s="21">
        <v>6.1672888311990401E-3</v>
      </c>
      <c r="J13" s="21"/>
      <c r="K13" s="21" t="s">
        <v>76</v>
      </c>
      <c r="L13" s="21">
        <v>7.3151845409365097E-3</v>
      </c>
      <c r="M13" s="21">
        <v>4.1230908226123101E-3</v>
      </c>
      <c r="N13" s="21"/>
      <c r="O13" s="21">
        <v>6.1090245382383604E-3</v>
      </c>
      <c r="P13" s="21">
        <v>7.4716944752273202E-3</v>
      </c>
      <c r="Q13" s="21"/>
      <c r="R13" s="21">
        <v>0</v>
      </c>
      <c r="S13" s="21">
        <v>0</v>
      </c>
      <c r="T13" s="21">
        <v>3.00258584336206E-2</v>
      </c>
      <c r="U13" s="21">
        <v>0</v>
      </c>
      <c r="V13" s="21">
        <v>0</v>
      </c>
      <c r="W13" s="21">
        <v>1.5966486074275699E-2</v>
      </c>
      <c r="X13" s="21">
        <v>0</v>
      </c>
      <c r="Y13" s="21">
        <v>1.74209729891792E-2</v>
      </c>
      <c r="Z13" s="21">
        <v>5.4001460050890999E-3</v>
      </c>
      <c r="AA13" s="21"/>
      <c r="AB13" s="21">
        <v>0</v>
      </c>
      <c r="AC13" s="21">
        <v>0</v>
      </c>
      <c r="AD13" s="21">
        <v>3.8757643943832798E-3</v>
      </c>
      <c r="AE13" s="21">
        <v>5.4387976922984499E-3</v>
      </c>
      <c r="AF13" s="21"/>
      <c r="AG13" s="21">
        <v>6.3496306668703803E-3</v>
      </c>
      <c r="AH13" s="21">
        <v>0</v>
      </c>
      <c r="AI13" s="21"/>
      <c r="AJ13" s="21">
        <v>4.3581766806410696E-3</v>
      </c>
      <c r="AK13" s="21">
        <v>4.4314113888163599E-3</v>
      </c>
      <c r="AL13" s="21"/>
      <c r="AM13" s="21">
        <v>1.7990188173295199E-3</v>
      </c>
      <c r="AN13" s="21">
        <v>7.3139225066639699E-3</v>
      </c>
    </row>
    <row r="14" spans="2:40" x14ac:dyDescent="0.35">
      <c r="B14" s="25" t="s">
        <v>164</v>
      </c>
      <c r="C14" s="30">
        <v>0.68258173236581299</v>
      </c>
      <c r="D14" s="30">
        <v>0.71511404923841004</v>
      </c>
      <c r="E14" s="30">
        <v>0.65185104471202104</v>
      </c>
      <c r="F14" s="30"/>
      <c r="G14" s="30" t="s">
        <v>76</v>
      </c>
      <c r="H14" s="30" t="s">
        <v>76</v>
      </c>
      <c r="I14" s="30">
        <v>0.68258173236581299</v>
      </c>
      <c r="J14" s="30"/>
      <c r="K14" s="30" t="s">
        <v>76</v>
      </c>
      <c r="L14" s="30">
        <v>0.71179360686707605</v>
      </c>
      <c r="M14" s="30">
        <v>0.63056058168460205</v>
      </c>
      <c r="N14" s="30"/>
      <c r="O14" s="30">
        <v>0.65589611697928796</v>
      </c>
      <c r="P14" s="30">
        <v>0.85706457086899301</v>
      </c>
      <c r="Q14" s="30"/>
      <c r="R14" s="30">
        <v>0.82257047060967603</v>
      </c>
      <c r="S14" s="30">
        <v>0.63600432001581997</v>
      </c>
      <c r="T14" s="30">
        <v>0.64566658312123104</v>
      </c>
      <c r="U14" s="30">
        <v>0.58965120400233695</v>
      </c>
      <c r="V14" s="30">
        <v>0.652198191689358</v>
      </c>
      <c r="W14" s="30">
        <v>0.654007589359487</v>
      </c>
      <c r="X14" s="30">
        <v>0.71874263395584703</v>
      </c>
      <c r="Y14" s="30">
        <v>0.68678933062896996</v>
      </c>
      <c r="Z14" s="30">
        <v>0.67399900396513501</v>
      </c>
      <c r="AA14" s="30"/>
      <c r="AB14" s="30">
        <v>0.61622290479241504</v>
      </c>
      <c r="AC14" s="30">
        <v>0.89891242960062501</v>
      </c>
      <c r="AD14" s="30">
        <v>0.51982828098212297</v>
      </c>
      <c r="AE14" s="30">
        <v>0.80230659295501305</v>
      </c>
      <c r="AF14" s="30"/>
      <c r="AG14" s="30">
        <v>0.81334531463829896</v>
      </c>
      <c r="AH14" s="30">
        <v>0.52786071018707204</v>
      </c>
      <c r="AI14" s="30"/>
      <c r="AJ14" s="30">
        <v>0.72380790949317197</v>
      </c>
      <c r="AK14" s="30">
        <v>0.55556732507329498</v>
      </c>
      <c r="AL14" s="30"/>
      <c r="AM14" s="30">
        <v>0.88393552987675506</v>
      </c>
      <c r="AN14" s="30">
        <v>0.31185718904968002</v>
      </c>
    </row>
    <row r="15" spans="2:40" x14ac:dyDescent="0.35">
      <c r="B15" s="31" t="s">
        <v>267</v>
      </c>
    </row>
    <row r="16" spans="2:40" x14ac:dyDescent="0.35">
      <c r="B16" t="s">
        <v>72</v>
      </c>
    </row>
    <row r="17" spans="2:2" x14ac:dyDescent="0.35">
      <c r="B17" t="s">
        <v>73</v>
      </c>
    </row>
    <row r="19" spans="2:2" x14ac:dyDescent="0.35">
      <c r="B19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B2:AN18"/>
  <sheetViews>
    <sheetView showGridLines="0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257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895</v>
      </c>
      <c r="D7" s="10">
        <v>465</v>
      </c>
      <c r="E7" s="10">
        <v>426</v>
      </c>
      <c r="F7" s="10"/>
      <c r="G7" s="10" t="s">
        <v>75</v>
      </c>
      <c r="H7" s="10" t="s">
        <v>75</v>
      </c>
      <c r="I7" s="10">
        <v>895</v>
      </c>
      <c r="J7" s="10"/>
      <c r="K7" s="10" t="s">
        <v>75</v>
      </c>
      <c r="L7" s="10">
        <v>671</v>
      </c>
      <c r="M7" s="10">
        <v>224</v>
      </c>
      <c r="N7" s="10"/>
      <c r="O7" s="10">
        <v>743</v>
      </c>
      <c r="P7" s="10">
        <v>131</v>
      </c>
      <c r="Q7" s="10"/>
      <c r="R7" s="10">
        <v>145</v>
      </c>
      <c r="S7" s="10">
        <v>158</v>
      </c>
      <c r="T7" s="10">
        <v>78</v>
      </c>
      <c r="U7" s="10">
        <v>82</v>
      </c>
      <c r="V7" s="10">
        <v>84</v>
      </c>
      <c r="W7" s="10">
        <v>106</v>
      </c>
      <c r="X7" s="10">
        <v>42</v>
      </c>
      <c r="Y7" s="10">
        <v>49</v>
      </c>
      <c r="Z7" s="10">
        <v>151</v>
      </c>
      <c r="AA7" s="10"/>
      <c r="AB7" s="10">
        <v>116</v>
      </c>
      <c r="AC7" s="10">
        <v>116</v>
      </c>
      <c r="AD7" s="10">
        <v>115</v>
      </c>
      <c r="AE7" s="10">
        <v>86</v>
      </c>
      <c r="AF7" s="10"/>
      <c r="AG7" s="10">
        <v>77</v>
      </c>
      <c r="AH7" s="10">
        <v>32</v>
      </c>
      <c r="AI7" s="10"/>
      <c r="AJ7" s="10">
        <v>109</v>
      </c>
      <c r="AK7" s="10">
        <v>101</v>
      </c>
      <c r="AL7" s="10"/>
      <c r="AM7" s="10">
        <v>484</v>
      </c>
      <c r="AN7" s="10">
        <v>214</v>
      </c>
    </row>
    <row r="8" spans="2:40" ht="30" customHeight="1" x14ac:dyDescent="0.35">
      <c r="B8" s="11" t="s">
        <v>20</v>
      </c>
      <c r="C8" s="11">
        <v>837</v>
      </c>
      <c r="D8" s="11">
        <v>414</v>
      </c>
      <c r="E8" s="11">
        <v>420</v>
      </c>
      <c r="F8" s="11"/>
      <c r="G8" s="11" t="s">
        <v>75</v>
      </c>
      <c r="H8" s="11" t="s">
        <v>75</v>
      </c>
      <c r="I8" s="11">
        <v>837</v>
      </c>
      <c r="J8" s="11"/>
      <c r="K8" s="11" t="s">
        <v>75</v>
      </c>
      <c r="L8" s="11">
        <v>536</v>
      </c>
      <c r="M8" s="11">
        <v>301</v>
      </c>
      <c r="N8" s="11"/>
      <c r="O8" s="11">
        <v>690</v>
      </c>
      <c r="P8" s="11">
        <v>127</v>
      </c>
      <c r="Q8" s="11"/>
      <c r="R8" s="11">
        <v>149</v>
      </c>
      <c r="S8" s="11">
        <v>141</v>
      </c>
      <c r="T8" s="11">
        <v>84</v>
      </c>
      <c r="U8" s="11">
        <v>86</v>
      </c>
      <c r="V8" s="11">
        <v>80</v>
      </c>
      <c r="W8" s="11">
        <v>78</v>
      </c>
      <c r="X8" s="11">
        <v>61</v>
      </c>
      <c r="Y8" s="11">
        <v>44</v>
      </c>
      <c r="Z8" s="11">
        <v>114</v>
      </c>
      <c r="AA8" s="11"/>
      <c r="AB8" s="11">
        <v>89</v>
      </c>
      <c r="AC8" s="11">
        <v>91</v>
      </c>
      <c r="AD8" s="11">
        <v>161</v>
      </c>
      <c r="AE8" s="11">
        <v>113</v>
      </c>
      <c r="AF8" s="11"/>
      <c r="AG8" s="11">
        <v>97</v>
      </c>
      <c r="AH8" s="11">
        <v>44</v>
      </c>
      <c r="AI8" s="11"/>
      <c r="AJ8" s="11">
        <v>142</v>
      </c>
      <c r="AK8" s="11">
        <v>141</v>
      </c>
      <c r="AL8" s="11"/>
      <c r="AM8" s="11">
        <v>441</v>
      </c>
      <c r="AN8" s="11">
        <v>213</v>
      </c>
    </row>
    <row r="9" spans="2:40" x14ac:dyDescent="0.35">
      <c r="B9" s="15" t="s">
        <v>166</v>
      </c>
      <c r="C9" s="14">
        <v>0.13390723053676801</v>
      </c>
      <c r="D9" s="14">
        <v>0.140875422684519</v>
      </c>
      <c r="E9" s="14">
        <v>0.12610725882493301</v>
      </c>
      <c r="F9" s="14"/>
      <c r="G9" s="14" t="s">
        <v>76</v>
      </c>
      <c r="H9" s="14" t="s">
        <v>76</v>
      </c>
      <c r="I9" s="14">
        <v>0.13390723053676801</v>
      </c>
      <c r="J9" s="14"/>
      <c r="K9" s="14" t="s">
        <v>76</v>
      </c>
      <c r="L9" s="14">
        <v>0.14291094167514801</v>
      </c>
      <c r="M9" s="14">
        <v>0.117873223071772</v>
      </c>
      <c r="N9" s="14"/>
      <c r="O9" s="14">
        <v>0.102382687398724</v>
      </c>
      <c r="P9" s="14">
        <v>0.30680110762902402</v>
      </c>
      <c r="Q9" s="14"/>
      <c r="R9" s="14">
        <v>0.22738440729039899</v>
      </c>
      <c r="S9" s="14">
        <v>0.101599738586439</v>
      </c>
      <c r="T9" s="14">
        <v>6.3060520599960604E-2</v>
      </c>
      <c r="U9" s="14">
        <v>0.130132620352606</v>
      </c>
      <c r="V9" s="14">
        <v>8.9286735378667603E-2</v>
      </c>
      <c r="W9" s="14">
        <v>0.10333037241758999</v>
      </c>
      <c r="X9" s="14">
        <v>9.9868886296127196E-2</v>
      </c>
      <c r="Y9" s="14">
        <v>0.19713140909539201</v>
      </c>
      <c r="Z9" s="14">
        <v>0.15262478708727301</v>
      </c>
      <c r="AA9" s="14"/>
      <c r="AB9" s="14">
        <v>9.4534260283546098E-2</v>
      </c>
      <c r="AC9" s="14">
        <v>0.14727909419945401</v>
      </c>
      <c r="AD9" s="14">
        <v>9.3100665039851802E-2</v>
      </c>
      <c r="AE9" s="14">
        <v>0.12987351764309399</v>
      </c>
      <c r="AF9" s="14"/>
      <c r="AG9" s="14">
        <v>0.20454689043072</v>
      </c>
      <c r="AH9" s="14">
        <v>0.140795476390182</v>
      </c>
      <c r="AI9" s="14"/>
      <c r="AJ9" s="14">
        <v>0.184552340467177</v>
      </c>
      <c r="AK9" s="14">
        <v>4.4928176035394903E-2</v>
      </c>
      <c r="AL9" s="14"/>
      <c r="AM9" s="14">
        <v>0.21111849695815399</v>
      </c>
      <c r="AN9" s="14">
        <v>3.0752271385002101E-2</v>
      </c>
    </row>
    <row r="10" spans="2:40" x14ac:dyDescent="0.35">
      <c r="B10" s="15" t="s">
        <v>167</v>
      </c>
      <c r="C10" s="14">
        <v>0.37974296909070099</v>
      </c>
      <c r="D10" s="14">
        <v>0.41283507381907902</v>
      </c>
      <c r="E10" s="14">
        <v>0.34994397178928199</v>
      </c>
      <c r="F10" s="14"/>
      <c r="G10" s="14" t="s">
        <v>76</v>
      </c>
      <c r="H10" s="14" t="s">
        <v>76</v>
      </c>
      <c r="I10" s="14">
        <v>0.37974296909070099</v>
      </c>
      <c r="J10" s="14"/>
      <c r="K10" s="14" t="s">
        <v>76</v>
      </c>
      <c r="L10" s="14">
        <v>0.393010153044692</v>
      </c>
      <c r="M10" s="14">
        <v>0.35611647516077299</v>
      </c>
      <c r="N10" s="14"/>
      <c r="O10" s="14">
        <v>0.37661569016183299</v>
      </c>
      <c r="P10" s="14">
        <v>0.42758402986426303</v>
      </c>
      <c r="Q10" s="14"/>
      <c r="R10" s="14">
        <v>0.47638068473053002</v>
      </c>
      <c r="S10" s="14">
        <v>0.36228943151666299</v>
      </c>
      <c r="T10" s="14">
        <v>0.37068970707105497</v>
      </c>
      <c r="U10" s="14">
        <v>0.34632533292586298</v>
      </c>
      <c r="V10" s="14">
        <v>0.25301413406635498</v>
      </c>
      <c r="W10" s="14">
        <v>0.39654806485309502</v>
      </c>
      <c r="X10" s="14">
        <v>0.37866689620625099</v>
      </c>
      <c r="Y10" s="14">
        <v>0.33004617602493402</v>
      </c>
      <c r="Z10" s="14">
        <v>0.40377998806301901</v>
      </c>
      <c r="AA10" s="14"/>
      <c r="AB10" s="14">
        <v>0.32451208579596302</v>
      </c>
      <c r="AC10" s="14">
        <v>0.52611810066374498</v>
      </c>
      <c r="AD10" s="14">
        <v>0.301369800802748</v>
      </c>
      <c r="AE10" s="14">
        <v>0.44589483089461301</v>
      </c>
      <c r="AF10" s="14"/>
      <c r="AG10" s="14">
        <v>0.41268952559977001</v>
      </c>
      <c r="AH10" s="14">
        <v>0.27765008957611897</v>
      </c>
      <c r="AI10" s="14"/>
      <c r="AJ10" s="14">
        <v>0.37033669639182998</v>
      </c>
      <c r="AK10" s="14">
        <v>0.36259491117124198</v>
      </c>
      <c r="AL10" s="14"/>
      <c r="AM10" s="14">
        <v>0.52903684498164405</v>
      </c>
      <c r="AN10" s="14">
        <v>0.12267335967795</v>
      </c>
    </row>
    <row r="11" spans="2:40" x14ac:dyDescent="0.35">
      <c r="B11" s="15" t="s">
        <v>168</v>
      </c>
      <c r="C11" s="14">
        <v>0.31926079547906</v>
      </c>
      <c r="D11" s="14">
        <v>0.322031451383265</v>
      </c>
      <c r="E11" s="14">
        <v>0.31688362559887201</v>
      </c>
      <c r="F11" s="14"/>
      <c r="G11" s="14" t="s">
        <v>76</v>
      </c>
      <c r="H11" s="14" t="s">
        <v>76</v>
      </c>
      <c r="I11" s="14">
        <v>0.31926079547906</v>
      </c>
      <c r="J11" s="14"/>
      <c r="K11" s="14" t="s">
        <v>76</v>
      </c>
      <c r="L11" s="14">
        <v>0.32463340182683598</v>
      </c>
      <c r="M11" s="14">
        <v>0.309693139546662</v>
      </c>
      <c r="N11" s="14"/>
      <c r="O11" s="14">
        <v>0.34416548502590499</v>
      </c>
      <c r="P11" s="14">
        <v>0.18528037618903401</v>
      </c>
      <c r="Q11" s="14"/>
      <c r="R11" s="14">
        <v>0.20486224344072601</v>
      </c>
      <c r="S11" s="14">
        <v>0.35229021716949399</v>
      </c>
      <c r="T11" s="14">
        <v>0.31753269974088899</v>
      </c>
      <c r="U11" s="14">
        <v>0.3230415168802</v>
      </c>
      <c r="V11" s="14">
        <v>0.45723535316511499</v>
      </c>
      <c r="W11" s="14">
        <v>0.29471048660910498</v>
      </c>
      <c r="X11" s="14">
        <v>0.38813796085919999</v>
      </c>
      <c r="Y11" s="14">
        <v>0.24392136858998201</v>
      </c>
      <c r="Z11" s="14">
        <v>0.338931632674075</v>
      </c>
      <c r="AA11" s="14"/>
      <c r="AB11" s="14">
        <v>0.37099847281325699</v>
      </c>
      <c r="AC11" s="14">
        <v>0.28279179777209401</v>
      </c>
      <c r="AD11" s="14">
        <v>0.33605985768339403</v>
      </c>
      <c r="AE11" s="14">
        <v>0.325261994430113</v>
      </c>
      <c r="AF11" s="14"/>
      <c r="AG11" s="14">
        <v>0.26549279437298601</v>
      </c>
      <c r="AH11" s="14">
        <v>0.31648167882428502</v>
      </c>
      <c r="AI11" s="14"/>
      <c r="AJ11" s="14">
        <v>0.28148459334859099</v>
      </c>
      <c r="AK11" s="14">
        <v>0.35345087796277902</v>
      </c>
      <c r="AL11" s="14"/>
      <c r="AM11" s="14">
        <v>0.22349829393668799</v>
      </c>
      <c r="AN11" s="14">
        <v>0.41409649855137398</v>
      </c>
    </row>
    <row r="12" spans="2:40" x14ac:dyDescent="0.35">
      <c r="B12" s="15" t="s">
        <v>169</v>
      </c>
      <c r="C12" s="14">
        <v>0.15696568589181101</v>
      </c>
      <c r="D12" s="14">
        <v>0.113968365478492</v>
      </c>
      <c r="E12" s="14">
        <v>0.198877461861696</v>
      </c>
      <c r="F12" s="14"/>
      <c r="G12" s="14" t="s">
        <v>76</v>
      </c>
      <c r="H12" s="14" t="s">
        <v>76</v>
      </c>
      <c r="I12" s="14">
        <v>0.15696568589181101</v>
      </c>
      <c r="J12" s="14"/>
      <c r="K12" s="14" t="s">
        <v>76</v>
      </c>
      <c r="L12" s="14">
        <v>0.12784851298587399</v>
      </c>
      <c r="M12" s="14">
        <v>0.20881818988244299</v>
      </c>
      <c r="N12" s="14"/>
      <c r="O12" s="14">
        <v>0.16592912118432199</v>
      </c>
      <c r="P12" s="14">
        <v>7.2862791842451605E-2</v>
      </c>
      <c r="Q12" s="14"/>
      <c r="R12" s="14">
        <v>9.1372664538345194E-2</v>
      </c>
      <c r="S12" s="14">
        <v>0.17216370142979601</v>
      </c>
      <c r="T12" s="14">
        <v>0.22627912977673101</v>
      </c>
      <c r="U12" s="14">
        <v>0.180377765572168</v>
      </c>
      <c r="V12" s="14">
        <v>0.190789616286694</v>
      </c>
      <c r="W12" s="14">
        <v>0.19643616773939501</v>
      </c>
      <c r="X12" s="14">
        <v>0.114781001569377</v>
      </c>
      <c r="Y12" s="14">
        <v>0.22890104628969199</v>
      </c>
      <c r="Z12" s="14">
        <v>9.9263446170543904E-2</v>
      </c>
      <c r="AA12" s="14"/>
      <c r="AB12" s="14">
        <v>0.20995518110723399</v>
      </c>
      <c r="AC12" s="14">
        <v>4.3811007364707798E-2</v>
      </c>
      <c r="AD12" s="14">
        <v>0.26465284178183401</v>
      </c>
      <c r="AE12" s="14">
        <v>8.5911148094887299E-2</v>
      </c>
      <c r="AF12" s="14"/>
      <c r="AG12" s="14">
        <v>0.102025378109856</v>
      </c>
      <c r="AH12" s="14">
        <v>0.26507275520941298</v>
      </c>
      <c r="AI12" s="14"/>
      <c r="AJ12" s="14">
        <v>0.15316242309788899</v>
      </c>
      <c r="AK12" s="14">
        <v>0.23351863707857601</v>
      </c>
      <c r="AL12" s="14"/>
      <c r="AM12" s="14">
        <v>3.08846135121063E-2</v>
      </c>
      <c r="AN12" s="14">
        <v>0.42509386773757601</v>
      </c>
    </row>
    <row r="13" spans="2:40" x14ac:dyDescent="0.35">
      <c r="B13" s="25" t="s">
        <v>70</v>
      </c>
      <c r="C13" s="20">
        <v>1.01233190016608E-2</v>
      </c>
      <c r="D13" s="20">
        <v>1.0289686634644401E-2</v>
      </c>
      <c r="E13" s="20">
        <v>8.1876819252164005E-3</v>
      </c>
      <c r="F13" s="20"/>
      <c r="G13" s="20" t="s">
        <v>76</v>
      </c>
      <c r="H13" s="20" t="s">
        <v>76</v>
      </c>
      <c r="I13" s="20">
        <v>1.01233190016608E-2</v>
      </c>
      <c r="J13" s="20"/>
      <c r="K13" s="20" t="s">
        <v>76</v>
      </c>
      <c r="L13" s="20">
        <v>1.1596990467450699E-2</v>
      </c>
      <c r="M13" s="20">
        <v>7.4989723383494999E-3</v>
      </c>
      <c r="N13" s="20"/>
      <c r="O13" s="20">
        <v>1.0907016229215799E-2</v>
      </c>
      <c r="P13" s="20">
        <v>7.4716944752273202E-3</v>
      </c>
      <c r="Q13" s="20"/>
      <c r="R13" s="20">
        <v>0</v>
      </c>
      <c r="S13" s="20">
        <v>1.16569112976081E-2</v>
      </c>
      <c r="T13" s="20">
        <v>2.24379428113641E-2</v>
      </c>
      <c r="U13" s="20">
        <v>2.0122764269163301E-2</v>
      </c>
      <c r="V13" s="20">
        <v>9.6741611031689496E-3</v>
      </c>
      <c r="W13" s="20">
        <v>8.9749083808140905E-3</v>
      </c>
      <c r="X13" s="20">
        <v>1.85452550690446E-2</v>
      </c>
      <c r="Y13" s="20">
        <v>0</v>
      </c>
      <c r="Z13" s="20">
        <v>5.4001460050890999E-3</v>
      </c>
      <c r="AA13" s="20"/>
      <c r="AB13" s="20">
        <v>0</v>
      </c>
      <c r="AC13" s="20">
        <v>0</v>
      </c>
      <c r="AD13" s="20">
        <v>4.8168346921726897E-3</v>
      </c>
      <c r="AE13" s="20">
        <v>1.3058508937292299E-2</v>
      </c>
      <c r="AF13" s="20"/>
      <c r="AG13" s="20">
        <v>1.52454114866684E-2</v>
      </c>
      <c r="AH13" s="20">
        <v>0</v>
      </c>
      <c r="AI13" s="20"/>
      <c r="AJ13" s="20">
        <v>1.04639466945128E-2</v>
      </c>
      <c r="AK13" s="20">
        <v>5.5073977520081804E-3</v>
      </c>
      <c r="AL13" s="20"/>
      <c r="AM13" s="20">
        <v>5.4617506114066298E-3</v>
      </c>
      <c r="AN13" s="20">
        <v>7.3840026480981097E-3</v>
      </c>
    </row>
    <row r="14" spans="2:40" x14ac:dyDescent="0.35">
      <c r="B14" s="31" t="s">
        <v>267</v>
      </c>
    </row>
    <row r="15" spans="2:40" x14ac:dyDescent="0.35">
      <c r="B15" t="s">
        <v>72</v>
      </c>
    </row>
    <row r="16" spans="2:40" x14ac:dyDescent="0.35">
      <c r="B16" t="s">
        <v>73</v>
      </c>
    </row>
    <row r="18" spans="2:2" x14ac:dyDescent="0.35">
      <c r="B18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B2:AN18"/>
  <sheetViews>
    <sheetView showGridLines="0" workbookViewId="0">
      <pane xSplit="2" topLeftCell="C1" activePane="topRight" state="frozen"/>
      <selection pane="topRight" activeCell="B15" sqref="B15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258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895</v>
      </c>
      <c r="D7" s="10">
        <v>465</v>
      </c>
      <c r="E7" s="10">
        <v>426</v>
      </c>
      <c r="F7" s="10"/>
      <c r="G7" s="10" t="s">
        <v>75</v>
      </c>
      <c r="H7" s="10" t="s">
        <v>75</v>
      </c>
      <c r="I7" s="10">
        <v>895</v>
      </c>
      <c r="J7" s="10"/>
      <c r="K7" s="10" t="s">
        <v>75</v>
      </c>
      <c r="L7" s="10">
        <v>671</v>
      </c>
      <c r="M7" s="10">
        <v>224</v>
      </c>
      <c r="N7" s="10"/>
      <c r="O7" s="10">
        <v>743</v>
      </c>
      <c r="P7" s="10">
        <v>131</v>
      </c>
      <c r="Q7" s="10"/>
      <c r="R7" s="10">
        <v>145</v>
      </c>
      <c r="S7" s="10">
        <v>158</v>
      </c>
      <c r="T7" s="10">
        <v>78</v>
      </c>
      <c r="U7" s="10">
        <v>82</v>
      </c>
      <c r="V7" s="10">
        <v>84</v>
      </c>
      <c r="W7" s="10">
        <v>106</v>
      </c>
      <c r="X7" s="10">
        <v>42</v>
      </c>
      <c r="Y7" s="10">
        <v>49</v>
      </c>
      <c r="Z7" s="10">
        <v>151</v>
      </c>
      <c r="AA7" s="10"/>
      <c r="AB7" s="10">
        <v>116</v>
      </c>
      <c r="AC7" s="10">
        <v>116</v>
      </c>
      <c r="AD7" s="10">
        <v>115</v>
      </c>
      <c r="AE7" s="10">
        <v>86</v>
      </c>
      <c r="AF7" s="10"/>
      <c r="AG7" s="10">
        <v>77</v>
      </c>
      <c r="AH7" s="10">
        <v>32</v>
      </c>
      <c r="AI7" s="10"/>
      <c r="AJ7" s="10">
        <v>109</v>
      </c>
      <c r="AK7" s="10">
        <v>101</v>
      </c>
      <c r="AL7" s="10"/>
      <c r="AM7" s="10">
        <v>484</v>
      </c>
      <c r="AN7" s="10">
        <v>214</v>
      </c>
    </row>
    <row r="8" spans="2:40" ht="30" customHeight="1" x14ac:dyDescent="0.35">
      <c r="B8" s="11" t="s">
        <v>20</v>
      </c>
      <c r="C8" s="11">
        <v>837</v>
      </c>
      <c r="D8" s="11">
        <v>414</v>
      </c>
      <c r="E8" s="11">
        <v>420</v>
      </c>
      <c r="F8" s="11"/>
      <c r="G8" s="11" t="s">
        <v>75</v>
      </c>
      <c r="H8" s="11" t="s">
        <v>75</v>
      </c>
      <c r="I8" s="11">
        <v>837</v>
      </c>
      <c r="J8" s="11"/>
      <c r="K8" s="11" t="s">
        <v>75</v>
      </c>
      <c r="L8" s="11">
        <v>536</v>
      </c>
      <c r="M8" s="11">
        <v>301</v>
      </c>
      <c r="N8" s="11"/>
      <c r="O8" s="11">
        <v>690</v>
      </c>
      <c r="P8" s="11">
        <v>127</v>
      </c>
      <c r="Q8" s="11"/>
      <c r="R8" s="11">
        <v>149</v>
      </c>
      <c r="S8" s="11">
        <v>141</v>
      </c>
      <c r="T8" s="11">
        <v>84</v>
      </c>
      <c r="U8" s="11">
        <v>86</v>
      </c>
      <c r="V8" s="11">
        <v>80</v>
      </c>
      <c r="W8" s="11">
        <v>78</v>
      </c>
      <c r="X8" s="11">
        <v>61</v>
      </c>
      <c r="Y8" s="11">
        <v>44</v>
      </c>
      <c r="Z8" s="11">
        <v>114</v>
      </c>
      <c r="AA8" s="11"/>
      <c r="AB8" s="11">
        <v>89</v>
      </c>
      <c r="AC8" s="11">
        <v>91</v>
      </c>
      <c r="AD8" s="11">
        <v>161</v>
      </c>
      <c r="AE8" s="11">
        <v>113</v>
      </c>
      <c r="AF8" s="11"/>
      <c r="AG8" s="11">
        <v>97</v>
      </c>
      <c r="AH8" s="11">
        <v>44</v>
      </c>
      <c r="AI8" s="11"/>
      <c r="AJ8" s="11">
        <v>142</v>
      </c>
      <c r="AK8" s="11">
        <v>141</v>
      </c>
      <c r="AL8" s="11"/>
      <c r="AM8" s="11">
        <v>441</v>
      </c>
      <c r="AN8" s="11">
        <v>213</v>
      </c>
    </row>
    <row r="9" spans="2:40" x14ac:dyDescent="0.35">
      <c r="B9" s="15" t="s">
        <v>242</v>
      </c>
      <c r="C9" s="14">
        <v>0.229248410007799</v>
      </c>
      <c r="D9" s="14">
        <v>0.259210533088715</v>
      </c>
      <c r="E9" s="14">
        <v>0.19739999556424201</v>
      </c>
      <c r="F9" s="14"/>
      <c r="G9" s="14" t="s">
        <v>76</v>
      </c>
      <c r="H9" s="14" t="s">
        <v>76</v>
      </c>
      <c r="I9" s="14">
        <v>0.229248410007799</v>
      </c>
      <c r="J9" s="14"/>
      <c r="K9" s="14" t="s">
        <v>76</v>
      </c>
      <c r="L9" s="14">
        <v>0.23465909056512199</v>
      </c>
      <c r="M9" s="14">
        <v>0.21961295068292</v>
      </c>
      <c r="N9" s="14"/>
      <c r="O9" s="14">
        <v>0.198484923986055</v>
      </c>
      <c r="P9" s="14">
        <v>0.395613843950542</v>
      </c>
      <c r="Q9" s="14"/>
      <c r="R9" s="14">
        <v>0.36745658151211302</v>
      </c>
      <c r="S9" s="14">
        <v>0.22247013344695199</v>
      </c>
      <c r="T9" s="14">
        <v>0.137269332286237</v>
      </c>
      <c r="U9" s="14">
        <v>0.247928380933743</v>
      </c>
      <c r="V9" s="14">
        <v>0.223124072424562</v>
      </c>
      <c r="W9" s="14">
        <v>0.16129725784573601</v>
      </c>
      <c r="X9" s="14">
        <v>0.14175571273573601</v>
      </c>
      <c r="Y9" s="14">
        <v>0.204830874719345</v>
      </c>
      <c r="Z9" s="14">
        <v>0.21748736000202101</v>
      </c>
      <c r="AA9" s="14"/>
      <c r="AB9" s="14">
        <v>0.19341707182061799</v>
      </c>
      <c r="AC9" s="14">
        <v>0.33115831498451398</v>
      </c>
      <c r="AD9" s="14">
        <v>0.171236623077998</v>
      </c>
      <c r="AE9" s="14">
        <v>0.30676525775435798</v>
      </c>
      <c r="AF9" s="14"/>
      <c r="AG9" s="14">
        <v>0.38514027451169902</v>
      </c>
      <c r="AH9" s="14">
        <v>0.139266441826328</v>
      </c>
      <c r="AI9" s="14"/>
      <c r="AJ9" s="14">
        <v>0.30802611624017601</v>
      </c>
      <c r="AK9" s="14">
        <v>0.125656531112283</v>
      </c>
      <c r="AL9" s="14"/>
      <c r="AM9" s="14">
        <v>0.33429877348547699</v>
      </c>
      <c r="AN9" s="14">
        <v>7.8503851347923606E-2</v>
      </c>
    </row>
    <row r="10" spans="2:40" x14ac:dyDescent="0.35">
      <c r="B10" s="15" t="s">
        <v>243</v>
      </c>
      <c r="C10" s="14">
        <v>0.54692096686767699</v>
      </c>
      <c r="D10" s="14">
        <v>0.51962816782903498</v>
      </c>
      <c r="E10" s="14">
        <v>0.57617699428242597</v>
      </c>
      <c r="F10" s="14"/>
      <c r="G10" s="14" t="s">
        <v>76</v>
      </c>
      <c r="H10" s="14" t="s">
        <v>76</v>
      </c>
      <c r="I10" s="14">
        <v>0.54692096686767699</v>
      </c>
      <c r="J10" s="14"/>
      <c r="K10" s="14" t="s">
        <v>76</v>
      </c>
      <c r="L10" s="14">
        <v>0.53732834507391303</v>
      </c>
      <c r="M10" s="14">
        <v>0.564003719422281</v>
      </c>
      <c r="N10" s="14"/>
      <c r="O10" s="14">
        <v>0.558417945250826</v>
      </c>
      <c r="P10" s="14">
        <v>0.51136836106456196</v>
      </c>
      <c r="Q10" s="14"/>
      <c r="R10" s="14">
        <v>0.48373691291055299</v>
      </c>
      <c r="S10" s="14">
        <v>0.57327997830288002</v>
      </c>
      <c r="T10" s="14">
        <v>0.57515931217526906</v>
      </c>
      <c r="U10" s="14">
        <v>0.496404102044329</v>
      </c>
      <c r="V10" s="14">
        <v>0.51285948789513702</v>
      </c>
      <c r="W10" s="14">
        <v>0.56631959887987304</v>
      </c>
      <c r="X10" s="14">
        <v>0.65745799758483603</v>
      </c>
      <c r="Y10" s="14">
        <v>0.488025551307807</v>
      </c>
      <c r="Z10" s="14">
        <v>0.58867462106733703</v>
      </c>
      <c r="AA10" s="14"/>
      <c r="AB10" s="14">
        <v>0.455221142856019</v>
      </c>
      <c r="AC10" s="14">
        <v>0.60589443668671805</v>
      </c>
      <c r="AD10" s="14">
        <v>0.56556695664872203</v>
      </c>
      <c r="AE10" s="14">
        <v>0.54620869110331205</v>
      </c>
      <c r="AF10" s="14"/>
      <c r="AG10" s="14">
        <v>0.48295923004269897</v>
      </c>
      <c r="AH10" s="14">
        <v>0.51487316441779896</v>
      </c>
      <c r="AI10" s="14"/>
      <c r="AJ10" s="14">
        <v>0.49296849438608198</v>
      </c>
      <c r="AK10" s="14">
        <v>0.64514340178327001</v>
      </c>
      <c r="AL10" s="14"/>
      <c r="AM10" s="14">
        <v>0.56409417653826799</v>
      </c>
      <c r="AN10" s="14">
        <v>0.466816013458491</v>
      </c>
    </row>
    <row r="11" spans="2:40" x14ac:dyDescent="0.35">
      <c r="B11" s="15" t="s">
        <v>244</v>
      </c>
      <c r="C11" s="14">
        <v>0.15260679734127</v>
      </c>
      <c r="D11" s="14">
        <v>0.15464972659609399</v>
      </c>
      <c r="E11" s="14">
        <v>0.150004976279146</v>
      </c>
      <c r="F11" s="14"/>
      <c r="G11" s="14" t="s">
        <v>76</v>
      </c>
      <c r="H11" s="14" t="s">
        <v>76</v>
      </c>
      <c r="I11" s="14">
        <v>0.15260679734127</v>
      </c>
      <c r="J11" s="14"/>
      <c r="K11" s="14" t="s">
        <v>76</v>
      </c>
      <c r="L11" s="14">
        <v>0.15746947669816699</v>
      </c>
      <c r="M11" s="14">
        <v>0.14394723064593201</v>
      </c>
      <c r="N11" s="14"/>
      <c r="O11" s="14">
        <v>0.15955574439116099</v>
      </c>
      <c r="P11" s="14">
        <v>8.5546100509668294E-2</v>
      </c>
      <c r="Q11" s="14"/>
      <c r="R11" s="14">
        <v>9.1426016530628096E-2</v>
      </c>
      <c r="S11" s="14">
        <v>0.13929340729711501</v>
      </c>
      <c r="T11" s="14">
        <v>0.170919176013962</v>
      </c>
      <c r="U11" s="14">
        <v>0.18642632452260599</v>
      </c>
      <c r="V11" s="14">
        <v>0.18579138724400701</v>
      </c>
      <c r="W11" s="14">
        <v>0.191428595579509</v>
      </c>
      <c r="X11" s="14">
        <v>0.18212636335433899</v>
      </c>
      <c r="Y11" s="14">
        <v>0.17791137813368499</v>
      </c>
      <c r="Z11" s="14">
        <v>0.134832742969863</v>
      </c>
      <c r="AA11" s="14"/>
      <c r="AB11" s="14">
        <v>0.27266629503621298</v>
      </c>
      <c r="AC11" s="14">
        <v>5.6455295245318698E-2</v>
      </c>
      <c r="AD11" s="14">
        <v>0.174225818166831</v>
      </c>
      <c r="AE11" s="14">
        <v>0.10554983007240799</v>
      </c>
      <c r="AF11" s="14"/>
      <c r="AG11" s="14">
        <v>0.12300471462580299</v>
      </c>
      <c r="AH11" s="14">
        <v>0.269472890418885</v>
      </c>
      <c r="AI11" s="14"/>
      <c r="AJ11" s="14">
        <v>0.16894197426214</v>
      </c>
      <c r="AK11" s="14">
        <v>0.11896723723022801</v>
      </c>
      <c r="AL11" s="14"/>
      <c r="AM11" s="14">
        <v>6.7995585683928397E-2</v>
      </c>
      <c r="AN11" s="14">
        <v>0.327387895323485</v>
      </c>
    </row>
    <row r="12" spans="2:40" x14ac:dyDescent="0.35">
      <c r="B12" s="15" t="s">
        <v>245</v>
      </c>
      <c r="C12" s="14">
        <v>2.7029726247958699E-2</v>
      </c>
      <c r="D12" s="14">
        <v>2.3684439949652001E-2</v>
      </c>
      <c r="E12" s="14">
        <v>3.0538567295659499E-2</v>
      </c>
      <c r="F12" s="14"/>
      <c r="G12" s="14" t="s">
        <v>76</v>
      </c>
      <c r="H12" s="14" t="s">
        <v>76</v>
      </c>
      <c r="I12" s="14">
        <v>2.7029726247958699E-2</v>
      </c>
      <c r="J12" s="14"/>
      <c r="K12" s="14" t="s">
        <v>76</v>
      </c>
      <c r="L12" s="14">
        <v>2.39903911468171E-2</v>
      </c>
      <c r="M12" s="14">
        <v>3.2442241259973602E-2</v>
      </c>
      <c r="N12" s="14"/>
      <c r="O12" s="14">
        <v>3.1312308666549903E-2</v>
      </c>
      <c r="P12" s="14">
        <v>0</v>
      </c>
      <c r="Q12" s="14"/>
      <c r="R12" s="14">
        <v>1.9602835271903402E-2</v>
      </c>
      <c r="S12" s="14">
        <v>2.5996610301586402E-2</v>
      </c>
      <c r="T12" s="14">
        <v>1.88650342240409E-2</v>
      </c>
      <c r="U12" s="14">
        <v>4.9118428230158398E-2</v>
      </c>
      <c r="V12" s="14">
        <v>4.4452772809038803E-2</v>
      </c>
      <c r="W12" s="14">
        <v>1.55032270500624E-2</v>
      </c>
      <c r="X12" s="14">
        <v>1.86599263250894E-2</v>
      </c>
      <c r="Y12" s="14">
        <v>3.9364830837333498E-2</v>
      </c>
      <c r="Z12" s="14">
        <v>2.2829214153300401E-2</v>
      </c>
      <c r="AA12" s="14"/>
      <c r="AB12" s="14">
        <v>6.2298543612696398E-2</v>
      </c>
      <c r="AC12" s="14">
        <v>0</v>
      </c>
      <c r="AD12" s="14">
        <v>4.5878987396192603E-2</v>
      </c>
      <c r="AE12" s="14">
        <v>2.0974015661942399E-2</v>
      </c>
      <c r="AF12" s="14"/>
      <c r="AG12" s="14">
        <v>0</v>
      </c>
      <c r="AH12" s="14">
        <v>1.4656195348057E-2</v>
      </c>
      <c r="AI12" s="14"/>
      <c r="AJ12" s="14">
        <v>4.5966671417803102E-3</v>
      </c>
      <c r="AK12" s="14">
        <v>6.4738341991264894E-2</v>
      </c>
      <c r="AL12" s="14"/>
      <c r="AM12" s="14">
        <v>1.6980104683779701E-3</v>
      </c>
      <c r="AN12" s="14">
        <v>7.4106974280558097E-2</v>
      </c>
    </row>
    <row r="13" spans="2:40" x14ac:dyDescent="0.35">
      <c r="B13" s="15" t="s">
        <v>70</v>
      </c>
      <c r="C13" s="20">
        <v>4.41940995352951E-2</v>
      </c>
      <c r="D13" s="20">
        <v>4.2827132536503998E-2</v>
      </c>
      <c r="E13" s="20">
        <v>4.5879466578526498E-2</v>
      </c>
      <c r="F13" s="20"/>
      <c r="G13" s="20" t="s">
        <v>76</v>
      </c>
      <c r="H13" s="20" t="s">
        <v>76</v>
      </c>
      <c r="I13" s="20">
        <v>4.41940995352951E-2</v>
      </c>
      <c r="J13" s="20"/>
      <c r="K13" s="20" t="s">
        <v>76</v>
      </c>
      <c r="L13" s="20">
        <v>4.6552696515980201E-2</v>
      </c>
      <c r="M13" s="20">
        <v>3.9993857988893801E-2</v>
      </c>
      <c r="N13" s="20"/>
      <c r="O13" s="20">
        <v>5.2229077705408002E-2</v>
      </c>
      <c r="P13" s="20">
        <v>7.4716944752273202E-3</v>
      </c>
      <c r="Q13" s="20"/>
      <c r="R13" s="20">
        <v>3.77776537748018E-2</v>
      </c>
      <c r="S13" s="20">
        <v>3.8959870651466597E-2</v>
      </c>
      <c r="T13" s="20">
        <v>9.7787145300490805E-2</v>
      </c>
      <c r="U13" s="20">
        <v>2.0122764269163301E-2</v>
      </c>
      <c r="V13" s="20">
        <v>3.3772279627255299E-2</v>
      </c>
      <c r="W13" s="20">
        <v>6.5451320644819094E-2</v>
      </c>
      <c r="X13" s="20">
        <v>0</v>
      </c>
      <c r="Y13" s="20">
        <v>8.9867365001829902E-2</v>
      </c>
      <c r="Z13" s="20">
        <v>3.6176061807479003E-2</v>
      </c>
      <c r="AA13" s="20"/>
      <c r="AB13" s="20">
        <v>1.6396946674453801E-2</v>
      </c>
      <c r="AC13" s="20">
        <v>6.4919530834488303E-3</v>
      </c>
      <c r="AD13" s="20">
        <v>4.3091614710256097E-2</v>
      </c>
      <c r="AE13" s="20">
        <v>2.0502205407979601E-2</v>
      </c>
      <c r="AF13" s="20"/>
      <c r="AG13" s="20">
        <v>8.8957808197979698E-3</v>
      </c>
      <c r="AH13" s="20">
        <v>6.1731307988930097E-2</v>
      </c>
      <c r="AI13" s="20"/>
      <c r="AJ13" s="20">
        <v>2.54667479698222E-2</v>
      </c>
      <c r="AK13" s="20">
        <v>4.5494487882954598E-2</v>
      </c>
      <c r="AL13" s="20"/>
      <c r="AM13" s="20">
        <v>3.19134538239478E-2</v>
      </c>
      <c r="AN13" s="20">
        <v>5.31852655895418E-2</v>
      </c>
    </row>
    <row r="14" spans="2:40" x14ac:dyDescent="0.35">
      <c r="B14" s="32" t="s">
        <v>267</v>
      </c>
    </row>
    <row r="15" spans="2:40" x14ac:dyDescent="0.35">
      <c r="B15" t="s">
        <v>72</v>
      </c>
    </row>
    <row r="16" spans="2:40" x14ac:dyDescent="0.35">
      <c r="B16" t="s">
        <v>73</v>
      </c>
    </row>
    <row r="18" spans="2:2" x14ac:dyDescent="0.35">
      <c r="B18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B2:AN16"/>
  <sheetViews>
    <sheetView showGridLines="0" workbookViewId="0">
      <pane xSplit="2" topLeftCell="C1" activePane="topRight" state="frozen"/>
      <selection pane="topRight" activeCell="B15" sqref="B15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259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1216</v>
      </c>
      <c r="D7" s="10">
        <v>613</v>
      </c>
      <c r="E7" s="10">
        <v>598</v>
      </c>
      <c r="F7" s="10"/>
      <c r="G7" s="10" t="s">
        <v>75</v>
      </c>
      <c r="H7" s="10" t="s">
        <v>75</v>
      </c>
      <c r="I7" s="10">
        <v>1216</v>
      </c>
      <c r="J7" s="10"/>
      <c r="K7" s="10" t="s">
        <v>75</v>
      </c>
      <c r="L7" s="10">
        <v>924</v>
      </c>
      <c r="M7" s="10">
        <v>292</v>
      </c>
      <c r="N7" s="10"/>
      <c r="O7" s="10">
        <v>1020</v>
      </c>
      <c r="P7" s="10">
        <v>166</v>
      </c>
      <c r="Q7" s="10"/>
      <c r="R7" s="10">
        <v>177</v>
      </c>
      <c r="S7" s="10">
        <v>216</v>
      </c>
      <c r="T7" s="10">
        <v>97</v>
      </c>
      <c r="U7" s="10">
        <v>116</v>
      </c>
      <c r="V7" s="10">
        <v>104</v>
      </c>
      <c r="W7" s="10">
        <v>152</v>
      </c>
      <c r="X7" s="10">
        <v>76</v>
      </c>
      <c r="Y7" s="10">
        <v>70</v>
      </c>
      <c r="Z7" s="10">
        <v>208</v>
      </c>
      <c r="AA7" s="10"/>
      <c r="AB7" s="10">
        <v>152</v>
      </c>
      <c r="AC7" s="10">
        <v>147</v>
      </c>
      <c r="AD7" s="10">
        <v>152</v>
      </c>
      <c r="AE7" s="10">
        <v>106</v>
      </c>
      <c r="AF7" s="10"/>
      <c r="AG7" s="10">
        <v>95</v>
      </c>
      <c r="AH7" s="10">
        <v>46</v>
      </c>
      <c r="AI7" s="10"/>
      <c r="AJ7" s="10">
        <v>141</v>
      </c>
      <c r="AK7" s="10">
        <v>131</v>
      </c>
      <c r="AL7" s="10"/>
      <c r="AM7" s="10">
        <v>626</v>
      </c>
      <c r="AN7" s="10">
        <v>310</v>
      </c>
    </row>
    <row r="8" spans="2:40" ht="30" customHeight="1" x14ac:dyDescent="0.35">
      <c r="B8" s="11" t="s">
        <v>20</v>
      </c>
      <c r="C8" s="11">
        <v>1136</v>
      </c>
      <c r="D8" s="11">
        <v>540</v>
      </c>
      <c r="E8" s="11">
        <v>591</v>
      </c>
      <c r="F8" s="11"/>
      <c r="G8" s="11" t="s">
        <v>75</v>
      </c>
      <c r="H8" s="11" t="s">
        <v>75</v>
      </c>
      <c r="I8" s="11">
        <v>1136</v>
      </c>
      <c r="J8" s="11"/>
      <c r="K8" s="11" t="s">
        <v>75</v>
      </c>
      <c r="L8" s="11">
        <v>745</v>
      </c>
      <c r="M8" s="11">
        <v>391</v>
      </c>
      <c r="N8" s="11"/>
      <c r="O8" s="11">
        <v>946</v>
      </c>
      <c r="P8" s="11">
        <v>161</v>
      </c>
      <c r="Q8" s="11"/>
      <c r="R8" s="11">
        <v>183</v>
      </c>
      <c r="S8" s="11">
        <v>192</v>
      </c>
      <c r="T8" s="11">
        <v>104</v>
      </c>
      <c r="U8" s="11">
        <v>121</v>
      </c>
      <c r="V8" s="11">
        <v>99</v>
      </c>
      <c r="W8" s="11">
        <v>112</v>
      </c>
      <c r="X8" s="11">
        <v>107</v>
      </c>
      <c r="Y8" s="11">
        <v>62</v>
      </c>
      <c r="Z8" s="11">
        <v>157</v>
      </c>
      <c r="AA8" s="11"/>
      <c r="AB8" s="11">
        <v>117</v>
      </c>
      <c r="AC8" s="11">
        <v>117</v>
      </c>
      <c r="AD8" s="11">
        <v>211</v>
      </c>
      <c r="AE8" s="11">
        <v>141</v>
      </c>
      <c r="AF8" s="11"/>
      <c r="AG8" s="11">
        <v>117</v>
      </c>
      <c r="AH8" s="11">
        <v>63</v>
      </c>
      <c r="AI8" s="11"/>
      <c r="AJ8" s="11">
        <v>180</v>
      </c>
      <c r="AK8" s="11">
        <v>185</v>
      </c>
      <c r="AL8" s="11"/>
      <c r="AM8" s="11">
        <v>567</v>
      </c>
      <c r="AN8" s="11">
        <v>311</v>
      </c>
    </row>
    <row r="9" spans="2:40" x14ac:dyDescent="0.35">
      <c r="B9" s="15" t="s">
        <v>44</v>
      </c>
      <c r="C9" s="14">
        <v>0.79077608427644297</v>
      </c>
      <c r="D9" s="14">
        <v>0.80239999416051699</v>
      </c>
      <c r="E9" s="14">
        <v>0.77986642708390597</v>
      </c>
      <c r="F9" s="14"/>
      <c r="G9" s="14" t="s">
        <v>76</v>
      </c>
      <c r="H9" s="14" t="s">
        <v>76</v>
      </c>
      <c r="I9" s="14">
        <v>0.79077608427644297</v>
      </c>
      <c r="J9" s="14"/>
      <c r="K9" s="14" t="s">
        <v>76</v>
      </c>
      <c r="L9" s="14">
        <v>0.77383514881229798</v>
      </c>
      <c r="M9" s="14">
        <v>0.82299326050000299</v>
      </c>
      <c r="N9" s="14"/>
      <c r="O9" s="14">
        <v>0.783958194916762</v>
      </c>
      <c r="P9" s="14">
        <v>0.85152874794571398</v>
      </c>
      <c r="Q9" s="14"/>
      <c r="R9" s="14">
        <v>0.84440827819014996</v>
      </c>
      <c r="S9" s="14">
        <v>0.76047212564672195</v>
      </c>
      <c r="T9" s="14">
        <v>0.82338334735310803</v>
      </c>
      <c r="U9" s="14">
        <v>0.79498250711449403</v>
      </c>
      <c r="V9" s="14">
        <v>0.76746516958292998</v>
      </c>
      <c r="W9" s="14">
        <v>0.84100474146596105</v>
      </c>
      <c r="X9" s="14">
        <v>0.69057001440745203</v>
      </c>
      <c r="Y9" s="14">
        <v>0.78245635559663196</v>
      </c>
      <c r="Z9" s="14">
        <v>0.79080445443424097</v>
      </c>
      <c r="AA9" s="14"/>
      <c r="AB9" s="14">
        <v>0.73593091025353796</v>
      </c>
      <c r="AC9" s="14">
        <v>0.84768128851552504</v>
      </c>
      <c r="AD9" s="14">
        <v>0.76121736393203698</v>
      </c>
      <c r="AE9" s="14">
        <v>0.93096637455722298</v>
      </c>
      <c r="AF9" s="14"/>
      <c r="AG9" s="14">
        <v>0.83744050828744998</v>
      </c>
      <c r="AH9" s="14">
        <v>0.80568442435557996</v>
      </c>
      <c r="AI9" s="14"/>
      <c r="AJ9" s="14">
        <v>0.82634175897657403</v>
      </c>
      <c r="AK9" s="14">
        <v>0.82843049567148996</v>
      </c>
      <c r="AL9" s="14"/>
      <c r="AM9" s="14">
        <v>0.81926228774232301</v>
      </c>
      <c r="AN9" s="14">
        <v>0.76087820804099904</v>
      </c>
    </row>
    <row r="10" spans="2:40" x14ac:dyDescent="0.35">
      <c r="B10" s="15" t="s">
        <v>45</v>
      </c>
      <c r="C10" s="14">
        <v>0.155365770584354</v>
      </c>
      <c r="D10" s="14">
        <v>0.136352435398747</v>
      </c>
      <c r="E10" s="14">
        <v>0.17258762929190199</v>
      </c>
      <c r="F10" s="14"/>
      <c r="G10" s="14" t="s">
        <v>76</v>
      </c>
      <c r="H10" s="14" t="s">
        <v>76</v>
      </c>
      <c r="I10" s="14">
        <v>0.155365770584354</v>
      </c>
      <c r="J10" s="14"/>
      <c r="K10" s="14" t="s">
        <v>76</v>
      </c>
      <c r="L10" s="14">
        <v>0.16718087042601401</v>
      </c>
      <c r="M10" s="14">
        <v>0.13289657728016199</v>
      </c>
      <c r="N10" s="14"/>
      <c r="O10" s="14">
        <v>0.16212720557843199</v>
      </c>
      <c r="P10" s="14">
        <v>0.107709179795068</v>
      </c>
      <c r="Q10" s="14"/>
      <c r="R10" s="14">
        <v>0.10635906829906699</v>
      </c>
      <c r="S10" s="14">
        <v>0.15657613338092699</v>
      </c>
      <c r="T10" s="14">
        <v>0.14975198387399</v>
      </c>
      <c r="U10" s="14">
        <v>0.144481198253233</v>
      </c>
      <c r="V10" s="14">
        <v>0.161064599154043</v>
      </c>
      <c r="W10" s="14">
        <v>0.10780290098376499</v>
      </c>
      <c r="X10" s="14">
        <v>0.25325524546558498</v>
      </c>
      <c r="Y10" s="14">
        <v>0.166450227722756</v>
      </c>
      <c r="Z10" s="14">
        <v>0.18250453630847299</v>
      </c>
      <c r="AA10" s="14"/>
      <c r="AB10" s="14">
        <v>0.224152714226348</v>
      </c>
      <c r="AC10" s="14">
        <v>0.111079206758394</v>
      </c>
      <c r="AD10" s="14">
        <v>0.177249031970346</v>
      </c>
      <c r="AE10" s="14">
        <v>4.37446844743982E-2</v>
      </c>
      <c r="AF10" s="14"/>
      <c r="AG10" s="14">
        <v>0.124255513793765</v>
      </c>
      <c r="AH10" s="14">
        <v>0.18396787217542401</v>
      </c>
      <c r="AI10" s="14"/>
      <c r="AJ10" s="14">
        <v>0.14512497924363199</v>
      </c>
      <c r="AK10" s="14">
        <v>0.1142894916607</v>
      </c>
      <c r="AL10" s="14"/>
      <c r="AM10" s="14">
        <v>0.14631579664364799</v>
      </c>
      <c r="AN10" s="14">
        <v>0.16319617639718501</v>
      </c>
    </row>
    <row r="11" spans="2:40" x14ac:dyDescent="0.35">
      <c r="B11" s="15" t="s">
        <v>70</v>
      </c>
      <c r="C11" s="20">
        <v>5.3858145139202999E-2</v>
      </c>
      <c r="D11" s="20">
        <v>6.12475704407369E-2</v>
      </c>
      <c r="E11" s="20">
        <v>4.7545943624192302E-2</v>
      </c>
      <c r="F11" s="20"/>
      <c r="G11" s="20" t="s">
        <v>76</v>
      </c>
      <c r="H11" s="20" t="s">
        <v>76</v>
      </c>
      <c r="I11" s="20">
        <v>5.3858145139202999E-2</v>
      </c>
      <c r="J11" s="20"/>
      <c r="K11" s="20" t="s">
        <v>76</v>
      </c>
      <c r="L11" s="20">
        <v>5.8983980761687801E-2</v>
      </c>
      <c r="M11" s="20">
        <v>4.4110162219835498E-2</v>
      </c>
      <c r="N11" s="20"/>
      <c r="O11" s="20">
        <v>5.3914599504805601E-2</v>
      </c>
      <c r="P11" s="20">
        <v>4.07620722592184E-2</v>
      </c>
      <c r="Q11" s="20"/>
      <c r="R11" s="20">
        <v>4.9232653510782501E-2</v>
      </c>
      <c r="S11" s="20">
        <v>8.2951740972351404E-2</v>
      </c>
      <c r="T11" s="20">
        <v>2.6864668772901199E-2</v>
      </c>
      <c r="U11" s="20">
        <v>6.0536294632273099E-2</v>
      </c>
      <c r="V11" s="20">
        <v>7.1470231263027401E-2</v>
      </c>
      <c r="W11" s="20">
        <v>5.1192357550273897E-2</v>
      </c>
      <c r="X11" s="20">
        <v>5.6174740126962497E-2</v>
      </c>
      <c r="Y11" s="20">
        <v>5.1093416680611403E-2</v>
      </c>
      <c r="Z11" s="20">
        <v>2.6691009257286E-2</v>
      </c>
      <c r="AA11" s="20"/>
      <c r="AB11" s="20">
        <v>3.9916375520114102E-2</v>
      </c>
      <c r="AC11" s="20">
        <v>4.1239504726081302E-2</v>
      </c>
      <c r="AD11" s="20">
        <v>6.1533604097616899E-2</v>
      </c>
      <c r="AE11" s="20">
        <v>2.5288940968379199E-2</v>
      </c>
      <c r="AF11" s="20"/>
      <c r="AG11" s="20">
        <v>3.83039779187841E-2</v>
      </c>
      <c r="AH11" s="20">
        <v>1.03477034689966E-2</v>
      </c>
      <c r="AI11" s="20"/>
      <c r="AJ11" s="20">
        <v>2.85332617797939E-2</v>
      </c>
      <c r="AK11" s="20">
        <v>5.7280012667809702E-2</v>
      </c>
      <c r="AL11" s="20"/>
      <c r="AM11" s="20">
        <v>3.4421915614027902E-2</v>
      </c>
      <c r="AN11" s="20">
        <v>7.5925615561815901E-2</v>
      </c>
    </row>
    <row r="12" spans="2:40" x14ac:dyDescent="0.35">
      <c r="B12" s="27" t="s">
        <v>390</v>
      </c>
    </row>
    <row r="13" spans="2:40" x14ac:dyDescent="0.35">
      <c r="B13" t="s">
        <v>72</v>
      </c>
    </row>
    <row r="14" spans="2:40" x14ac:dyDescent="0.35">
      <c r="B14" t="s">
        <v>73</v>
      </c>
    </row>
    <row r="16" spans="2:40" x14ac:dyDescent="0.35">
      <c r="B16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B2:AN18"/>
  <sheetViews>
    <sheetView showGridLines="0" workbookViewId="0">
      <pane xSplit="2" topLeftCell="C1" activePane="topRight" state="frozen"/>
      <selection pane="topRight" activeCell="I11" sqref="I11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260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961</v>
      </c>
      <c r="D7" s="10">
        <v>489</v>
      </c>
      <c r="E7" s="10">
        <v>468</v>
      </c>
      <c r="F7" s="10"/>
      <c r="G7" s="35" t="s">
        <v>75</v>
      </c>
      <c r="H7" s="35" t="s">
        <v>75</v>
      </c>
      <c r="I7" s="10">
        <v>961</v>
      </c>
      <c r="J7" s="10"/>
      <c r="K7" s="10" t="s">
        <v>75</v>
      </c>
      <c r="L7" s="10">
        <v>722</v>
      </c>
      <c r="M7" s="10">
        <v>239</v>
      </c>
      <c r="N7" s="10"/>
      <c r="O7" s="10">
        <v>799</v>
      </c>
      <c r="P7" s="10">
        <v>141</v>
      </c>
      <c r="Q7" s="10"/>
      <c r="R7" s="10">
        <v>148</v>
      </c>
      <c r="S7" s="10">
        <v>165</v>
      </c>
      <c r="T7" s="10">
        <v>81</v>
      </c>
      <c r="U7" s="10">
        <v>90</v>
      </c>
      <c r="V7" s="10">
        <v>80</v>
      </c>
      <c r="W7" s="10">
        <v>126</v>
      </c>
      <c r="X7" s="10">
        <v>50</v>
      </c>
      <c r="Y7" s="10">
        <v>54</v>
      </c>
      <c r="Z7" s="10">
        <v>167</v>
      </c>
      <c r="AA7" s="10"/>
      <c r="AB7" s="10">
        <v>112</v>
      </c>
      <c r="AC7" s="10">
        <v>127</v>
      </c>
      <c r="AD7" s="10">
        <v>116</v>
      </c>
      <c r="AE7" s="10">
        <v>97</v>
      </c>
      <c r="AF7" s="10"/>
      <c r="AG7" s="10">
        <v>80</v>
      </c>
      <c r="AH7" s="10">
        <v>35</v>
      </c>
      <c r="AI7" s="10"/>
      <c r="AJ7" s="10">
        <v>115</v>
      </c>
      <c r="AK7" s="10">
        <v>109</v>
      </c>
      <c r="AL7" s="10"/>
      <c r="AM7" s="10">
        <v>515</v>
      </c>
      <c r="AN7" s="10">
        <v>238</v>
      </c>
    </row>
    <row r="8" spans="2:40" ht="30" customHeight="1" x14ac:dyDescent="0.35">
      <c r="B8" s="11" t="s">
        <v>20</v>
      </c>
      <c r="C8" s="11">
        <v>898</v>
      </c>
      <c r="D8" s="11">
        <v>434</v>
      </c>
      <c r="E8" s="11">
        <v>461</v>
      </c>
      <c r="F8" s="11"/>
      <c r="G8" s="36" t="s">
        <v>75</v>
      </c>
      <c r="H8" s="36" t="s">
        <v>75</v>
      </c>
      <c r="I8" s="11">
        <v>898</v>
      </c>
      <c r="J8" s="11"/>
      <c r="K8" s="11" t="s">
        <v>75</v>
      </c>
      <c r="L8" s="11">
        <v>576</v>
      </c>
      <c r="M8" s="11">
        <v>322</v>
      </c>
      <c r="N8" s="11"/>
      <c r="O8" s="11">
        <v>742</v>
      </c>
      <c r="P8" s="11">
        <v>137</v>
      </c>
      <c r="Q8" s="11"/>
      <c r="R8" s="11">
        <v>154</v>
      </c>
      <c r="S8" s="11">
        <v>146</v>
      </c>
      <c r="T8" s="11">
        <v>85</v>
      </c>
      <c r="U8" s="11">
        <v>96</v>
      </c>
      <c r="V8" s="11">
        <v>76</v>
      </c>
      <c r="W8" s="11">
        <v>94</v>
      </c>
      <c r="X8" s="11">
        <v>74</v>
      </c>
      <c r="Y8" s="11">
        <v>49</v>
      </c>
      <c r="Z8" s="11">
        <v>124</v>
      </c>
      <c r="AA8" s="11"/>
      <c r="AB8" s="11">
        <v>86</v>
      </c>
      <c r="AC8" s="11">
        <v>99</v>
      </c>
      <c r="AD8" s="11">
        <v>161</v>
      </c>
      <c r="AE8" s="11">
        <v>131</v>
      </c>
      <c r="AF8" s="11"/>
      <c r="AG8" s="11">
        <v>98</v>
      </c>
      <c r="AH8" s="11">
        <v>51</v>
      </c>
      <c r="AI8" s="11"/>
      <c r="AJ8" s="11">
        <v>149</v>
      </c>
      <c r="AK8" s="11">
        <v>153</v>
      </c>
      <c r="AL8" s="11"/>
      <c r="AM8" s="11">
        <v>464</v>
      </c>
      <c r="AN8" s="11">
        <v>237</v>
      </c>
    </row>
    <row r="9" spans="2:40" x14ac:dyDescent="0.35">
      <c r="B9" s="15" t="s">
        <v>155</v>
      </c>
      <c r="C9" s="14">
        <v>0.14373580514161599</v>
      </c>
      <c r="D9" s="14">
        <v>0.153792031464526</v>
      </c>
      <c r="E9" s="14">
        <v>0.130012417128227</v>
      </c>
      <c r="F9" s="14"/>
      <c r="G9" s="14" t="s">
        <v>76</v>
      </c>
      <c r="H9" s="14" t="s">
        <v>76</v>
      </c>
      <c r="I9" s="14">
        <v>0.14373580514161599</v>
      </c>
      <c r="J9" s="14"/>
      <c r="K9" s="14" t="s">
        <v>76</v>
      </c>
      <c r="L9" s="14">
        <v>0.134729483171286</v>
      </c>
      <c r="M9" s="14">
        <v>0.15984039713945</v>
      </c>
      <c r="N9" s="14"/>
      <c r="O9" s="14">
        <v>0.124265127089671</v>
      </c>
      <c r="P9" s="14">
        <v>0.24641444498547099</v>
      </c>
      <c r="Q9" s="14"/>
      <c r="R9" s="14">
        <v>0.18347068264132901</v>
      </c>
      <c r="S9" s="14">
        <v>0.10001467420610299</v>
      </c>
      <c r="T9" s="14">
        <v>0.16111118449386999</v>
      </c>
      <c r="U9" s="14">
        <v>0.128648022341045</v>
      </c>
      <c r="V9" s="14">
        <v>0.15598879569094601</v>
      </c>
      <c r="W9" s="14">
        <v>0.15338470717393399</v>
      </c>
      <c r="X9" s="14">
        <v>0.145918239809984</v>
      </c>
      <c r="Y9" s="14">
        <v>0.11427447918677699</v>
      </c>
      <c r="Z9" s="14">
        <v>0.14089053559240999</v>
      </c>
      <c r="AA9" s="14"/>
      <c r="AB9" s="14">
        <v>0.105808438983441</v>
      </c>
      <c r="AC9" s="14">
        <v>0.19715625125313199</v>
      </c>
      <c r="AD9" s="14">
        <v>0.14206036911914599</v>
      </c>
      <c r="AE9" s="14">
        <v>0.18586440241480501</v>
      </c>
      <c r="AF9" s="14"/>
      <c r="AG9" s="14">
        <v>0.26770086893274497</v>
      </c>
      <c r="AH9" s="14">
        <v>0.173717233337359</v>
      </c>
      <c r="AI9" s="14"/>
      <c r="AJ9" s="14">
        <v>0.235674728074482</v>
      </c>
      <c r="AK9" s="14">
        <v>8.3778088634924502E-2</v>
      </c>
      <c r="AL9" s="14"/>
      <c r="AM9" s="14">
        <v>0.20937557087582001</v>
      </c>
      <c r="AN9" s="14">
        <v>8.5394665459276403E-2</v>
      </c>
    </row>
    <row r="10" spans="2:40" x14ac:dyDescent="0.35">
      <c r="B10" s="15" t="s">
        <v>156</v>
      </c>
      <c r="C10" s="14">
        <v>0.57654459311383799</v>
      </c>
      <c r="D10" s="14">
        <v>0.57235154814966005</v>
      </c>
      <c r="E10" s="14">
        <v>0.58556009759027405</v>
      </c>
      <c r="F10" s="14"/>
      <c r="G10" s="14" t="s">
        <v>76</v>
      </c>
      <c r="H10" s="14" t="s">
        <v>76</v>
      </c>
      <c r="I10" s="14">
        <v>0.57654459311383799</v>
      </c>
      <c r="J10" s="14"/>
      <c r="K10" s="14" t="s">
        <v>76</v>
      </c>
      <c r="L10" s="14">
        <v>0.59427657111999299</v>
      </c>
      <c r="M10" s="14">
        <v>0.54483727995709896</v>
      </c>
      <c r="N10" s="14"/>
      <c r="O10" s="14">
        <v>0.58482093645530597</v>
      </c>
      <c r="P10" s="14">
        <v>0.56402494956724103</v>
      </c>
      <c r="Q10" s="14"/>
      <c r="R10" s="14">
        <v>0.58083311677551996</v>
      </c>
      <c r="S10" s="14">
        <v>0.61068335712797295</v>
      </c>
      <c r="T10" s="14">
        <v>0.60542092453375895</v>
      </c>
      <c r="U10" s="14">
        <v>0.57327158383975496</v>
      </c>
      <c r="V10" s="14">
        <v>0.55760397908118198</v>
      </c>
      <c r="W10" s="14">
        <v>0.57907779805714599</v>
      </c>
      <c r="X10" s="14">
        <v>0.50823181332246004</v>
      </c>
      <c r="Y10" s="14">
        <v>0.51742105023076301</v>
      </c>
      <c r="Z10" s="14">
        <v>0.58716019332394997</v>
      </c>
      <c r="AA10" s="14"/>
      <c r="AB10" s="14">
        <v>0.63730659335295503</v>
      </c>
      <c r="AC10" s="14">
        <v>0.63886275105443802</v>
      </c>
      <c r="AD10" s="14">
        <v>0.56136775370996705</v>
      </c>
      <c r="AE10" s="14">
        <v>0.55155840810281798</v>
      </c>
      <c r="AF10" s="14"/>
      <c r="AG10" s="14">
        <v>0.56047475243386602</v>
      </c>
      <c r="AH10" s="14">
        <v>0.51507584482795099</v>
      </c>
      <c r="AI10" s="14"/>
      <c r="AJ10" s="14">
        <v>0.54500448677977098</v>
      </c>
      <c r="AK10" s="14">
        <v>0.56190830869963804</v>
      </c>
      <c r="AL10" s="14"/>
      <c r="AM10" s="14">
        <v>0.57661794478060102</v>
      </c>
      <c r="AN10" s="14">
        <v>0.51366237416451099</v>
      </c>
    </row>
    <row r="11" spans="2:40" x14ac:dyDescent="0.35">
      <c r="B11" s="15" t="s">
        <v>157</v>
      </c>
      <c r="C11" s="14">
        <v>0.22248060061963401</v>
      </c>
      <c r="D11" s="14">
        <v>0.225045398317201</v>
      </c>
      <c r="E11" s="14">
        <v>0.21875193968843601</v>
      </c>
      <c r="F11" s="14"/>
      <c r="G11" s="14" t="s">
        <v>76</v>
      </c>
      <c r="H11" s="14" t="s">
        <v>76</v>
      </c>
      <c r="I11" s="14">
        <v>0.22248060061963401</v>
      </c>
      <c r="J11" s="14"/>
      <c r="K11" s="14" t="s">
        <v>76</v>
      </c>
      <c r="L11" s="14">
        <v>0.21239168312463799</v>
      </c>
      <c r="M11" s="14">
        <v>0.24052102827611399</v>
      </c>
      <c r="N11" s="14"/>
      <c r="O11" s="14">
        <v>0.22872438936550701</v>
      </c>
      <c r="P11" s="14">
        <v>0.17102075023555599</v>
      </c>
      <c r="Q11" s="14"/>
      <c r="R11" s="14">
        <v>0.19770414306914799</v>
      </c>
      <c r="S11" s="14">
        <v>0.232328707993812</v>
      </c>
      <c r="T11" s="14">
        <v>0.17989473144551199</v>
      </c>
      <c r="U11" s="14">
        <v>0.23864798065731899</v>
      </c>
      <c r="V11" s="14">
        <v>0.22842268417791001</v>
      </c>
      <c r="W11" s="14">
        <v>0.18315467674511901</v>
      </c>
      <c r="X11" s="14">
        <v>0.31158702392008603</v>
      </c>
      <c r="Y11" s="14">
        <v>0.28449782552554398</v>
      </c>
      <c r="Z11" s="14">
        <v>0.20750344944671201</v>
      </c>
      <c r="AA11" s="14"/>
      <c r="AB11" s="14">
        <v>0.232111790236601</v>
      </c>
      <c r="AC11" s="14">
        <v>0.148201710054854</v>
      </c>
      <c r="AD11" s="14">
        <v>0.241255765151417</v>
      </c>
      <c r="AE11" s="14">
        <v>0.22264162531047599</v>
      </c>
      <c r="AF11" s="14"/>
      <c r="AG11" s="14">
        <v>0.15834675761906</v>
      </c>
      <c r="AH11" s="14">
        <v>0.24388448431763901</v>
      </c>
      <c r="AI11" s="14"/>
      <c r="AJ11" s="14">
        <v>0.187494845651513</v>
      </c>
      <c r="AK11" s="14">
        <v>0.28823435520540203</v>
      </c>
      <c r="AL11" s="14"/>
      <c r="AM11" s="14">
        <v>0.17848795540631199</v>
      </c>
      <c r="AN11" s="14">
        <v>0.29520299353485802</v>
      </c>
    </row>
    <row r="12" spans="2:40" x14ac:dyDescent="0.35">
      <c r="B12" s="15" t="s">
        <v>158</v>
      </c>
      <c r="C12" s="14">
        <v>4.3831306772887997E-2</v>
      </c>
      <c r="D12" s="14">
        <v>3.91071302178818E-2</v>
      </c>
      <c r="E12" s="14">
        <v>4.8663554040847101E-2</v>
      </c>
      <c r="F12" s="14"/>
      <c r="G12" s="14" t="s">
        <v>76</v>
      </c>
      <c r="H12" s="14" t="s">
        <v>76</v>
      </c>
      <c r="I12" s="14">
        <v>4.3831306772887997E-2</v>
      </c>
      <c r="J12" s="14"/>
      <c r="K12" s="14" t="s">
        <v>76</v>
      </c>
      <c r="L12" s="14">
        <v>4.56796479759803E-2</v>
      </c>
      <c r="M12" s="14">
        <v>4.0526208304651097E-2</v>
      </c>
      <c r="N12" s="14"/>
      <c r="O12" s="14">
        <v>4.6960358187468E-2</v>
      </c>
      <c r="P12" s="14">
        <v>1.30871603468389E-2</v>
      </c>
      <c r="Q12" s="14"/>
      <c r="R12" s="14">
        <v>2.4863750739404999E-2</v>
      </c>
      <c r="S12" s="14">
        <v>2.5609417603323099E-2</v>
      </c>
      <c r="T12" s="14">
        <v>4.4287443931184098E-2</v>
      </c>
      <c r="U12" s="14">
        <v>5.9432413161881303E-2</v>
      </c>
      <c r="V12" s="14">
        <v>5.7984541049962597E-2</v>
      </c>
      <c r="W12" s="14">
        <v>7.6954516537215301E-2</v>
      </c>
      <c r="X12" s="14">
        <v>3.4262922947470402E-2</v>
      </c>
      <c r="Y12" s="14">
        <v>4.6383967841534403E-2</v>
      </c>
      <c r="Z12" s="14">
        <v>4.7350434073616297E-2</v>
      </c>
      <c r="AA12" s="14"/>
      <c r="AB12" s="14">
        <v>7.4918105110507501E-3</v>
      </c>
      <c r="AC12" s="14">
        <v>8.2092800200575505E-3</v>
      </c>
      <c r="AD12" s="14">
        <v>5.0663090935716797E-2</v>
      </c>
      <c r="AE12" s="14">
        <v>2.5999987942974902E-2</v>
      </c>
      <c r="AF12" s="14"/>
      <c r="AG12" s="14">
        <v>1.34776210143293E-2</v>
      </c>
      <c r="AH12" s="14">
        <v>6.7322437517050998E-2</v>
      </c>
      <c r="AI12" s="14"/>
      <c r="AJ12" s="14">
        <v>3.18259394942342E-2</v>
      </c>
      <c r="AK12" s="14">
        <v>4.92847797791846E-2</v>
      </c>
      <c r="AL12" s="14"/>
      <c r="AM12" s="14">
        <v>3.2331002553029398E-2</v>
      </c>
      <c r="AN12" s="14">
        <v>6.8843260438607098E-2</v>
      </c>
    </row>
    <row r="13" spans="2:40" x14ac:dyDescent="0.35">
      <c r="B13" s="15" t="s">
        <v>70</v>
      </c>
      <c r="C13" s="20">
        <v>1.34076943520234E-2</v>
      </c>
      <c r="D13" s="20">
        <v>9.7038918507310595E-3</v>
      </c>
      <c r="E13" s="20">
        <v>1.7011991552216599E-2</v>
      </c>
      <c r="F13" s="20"/>
      <c r="G13" s="20" t="s">
        <v>76</v>
      </c>
      <c r="H13" s="20" t="s">
        <v>76</v>
      </c>
      <c r="I13" s="20">
        <v>1.34076943520234E-2</v>
      </c>
      <c r="J13" s="20"/>
      <c r="K13" s="20" t="s">
        <v>76</v>
      </c>
      <c r="L13" s="20">
        <v>1.2922614608102401E-2</v>
      </c>
      <c r="M13" s="20">
        <v>1.4275086322685499E-2</v>
      </c>
      <c r="N13" s="20"/>
      <c r="O13" s="20">
        <v>1.5229188902048101E-2</v>
      </c>
      <c r="P13" s="20">
        <v>5.4526948648935102E-3</v>
      </c>
      <c r="Q13" s="20"/>
      <c r="R13" s="20">
        <v>1.3128306774597301E-2</v>
      </c>
      <c r="S13" s="20">
        <v>3.1363843068788699E-2</v>
      </c>
      <c r="T13" s="20">
        <v>9.2857155956748896E-3</v>
      </c>
      <c r="U13" s="20">
        <v>0</v>
      </c>
      <c r="V13" s="20">
        <v>0</v>
      </c>
      <c r="W13" s="20">
        <v>7.4283014865850596E-3</v>
      </c>
      <c r="X13" s="20">
        <v>0</v>
      </c>
      <c r="Y13" s="20">
        <v>3.74226772153805E-2</v>
      </c>
      <c r="Z13" s="20">
        <v>1.7095387563311901E-2</v>
      </c>
      <c r="AA13" s="20"/>
      <c r="AB13" s="20">
        <v>1.72813669159518E-2</v>
      </c>
      <c r="AC13" s="20">
        <v>7.5700076175174201E-3</v>
      </c>
      <c r="AD13" s="20">
        <v>4.6530210837531097E-3</v>
      </c>
      <c r="AE13" s="20">
        <v>1.39355762289264E-2</v>
      </c>
      <c r="AF13" s="20"/>
      <c r="AG13" s="20">
        <v>0</v>
      </c>
      <c r="AH13" s="20">
        <v>0</v>
      </c>
      <c r="AI13" s="20"/>
      <c r="AJ13" s="20">
        <v>0</v>
      </c>
      <c r="AK13" s="20">
        <v>1.67944676808508E-2</v>
      </c>
      <c r="AL13" s="20"/>
      <c r="AM13" s="20">
        <v>3.1875263842382701E-3</v>
      </c>
      <c r="AN13" s="20">
        <v>3.6896706402748003E-2</v>
      </c>
    </row>
    <row r="14" spans="2:40" x14ac:dyDescent="0.35">
      <c r="B14" s="27" t="s">
        <v>273</v>
      </c>
    </row>
    <row r="15" spans="2:40" x14ac:dyDescent="0.35">
      <c r="B15" t="s">
        <v>72</v>
      </c>
    </row>
    <row r="16" spans="2:40" x14ac:dyDescent="0.35">
      <c r="B16" t="s">
        <v>73</v>
      </c>
    </row>
    <row r="18" spans="2:2" x14ac:dyDescent="0.35">
      <c r="B18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B2:AN19"/>
  <sheetViews>
    <sheetView showGridLines="0" workbookViewId="0">
      <pane xSplit="2" topLeftCell="C1" activePane="topRight" state="frozen"/>
      <selection pane="topRight" activeCell="B15" sqref="B15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262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961</v>
      </c>
      <c r="D7" s="10">
        <v>489</v>
      </c>
      <c r="E7" s="10">
        <v>468</v>
      </c>
      <c r="F7" s="10"/>
      <c r="G7" s="10" t="s">
        <v>75</v>
      </c>
      <c r="H7" s="10" t="s">
        <v>75</v>
      </c>
      <c r="I7" s="10">
        <v>961</v>
      </c>
      <c r="J7" s="10"/>
      <c r="K7" s="10" t="s">
        <v>75</v>
      </c>
      <c r="L7" s="10">
        <v>722</v>
      </c>
      <c r="M7" s="10">
        <v>239</v>
      </c>
      <c r="N7" s="10"/>
      <c r="O7" s="10">
        <v>799</v>
      </c>
      <c r="P7" s="10">
        <v>141</v>
      </c>
      <c r="Q7" s="10"/>
      <c r="R7" s="10">
        <v>148</v>
      </c>
      <c r="S7" s="10">
        <v>165</v>
      </c>
      <c r="T7" s="10">
        <v>81</v>
      </c>
      <c r="U7" s="10">
        <v>90</v>
      </c>
      <c r="V7" s="10">
        <v>80</v>
      </c>
      <c r="W7" s="10">
        <v>126</v>
      </c>
      <c r="X7" s="10">
        <v>50</v>
      </c>
      <c r="Y7" s="10">
        <v>54</v>
      </c>
      <c r="Z7" s="10">
        <v>167</v>
      </c>
      <c r="AA7" s="10"/>
      <c r="AB7" s="10">
        <v>112</v>
      </c>
      <c r="AC7" s="10">
        <v>127</v>
      </c>
      <c r="AD7" s="10">
        <v>116</v>
      </c>
      <c r="AE7" s="10">
        <v>97</v>
      </c>
      <c r="AF7" s="10"/>
      <c r="AG7" s="10">
        <v>80</v>
      </c>
      <c r="AH7" s="10">
        <v>35</v>
      </c>
      <c r="AI7" s="10"/>
      <c r="AJ7" s="10">
        <v>115</v>
      </c>
      <c r="AK7" s="10">
        <v>109</v>
      </c>
      <c r="AL7" s="10"/>
      <c r="AM7" s="10">
        <v>515</v>
      </c>
      <c r="AN7" s="10">
        <v>238</v>
      </c>
    </row>
    <row r="8" spans="2:40" ht="30" customHeight="1" x14ac:dyDescent="0.35">
      <c r="B8" s="11" t="s">
        <v>20</v>
      </c>
      <c r="C8" s="11">
        <v>898</v>
      </c>
      <c r="D8" s="11">
        <v>434</v>
      </c>
      <c r="E8" s="11">
        <v>461</v>
      </c>
      <c r="F8" s="11"/>
      <c r="G8" s="11" t="s">
        <v>75</v>
      </c>
      <c r="H8" s="11" t="s">
        <v>75</v>
      </c>
      <c r="I8" s="11">
        <v>898</v>
      </c>
      <c r="J8" s="11"/>
      <c r="K8" s="11" t="s">
        <v>75</v>
      </c>
      <c r="L8" s="11">
        <v>576</v>
      </c>
      <c r="M8" s="11">
        <v>322</v>
      </c>
      <c r="N8" s="11"/>
      <c r="O8" s="11">
        <v>742</v>
      </c>
      <c r="P8" s="11">
        <v>137</v>
      </c>
      <c r="Q8" s="11"/>
      <c r="R8" s="11">
        <v>154</v>
      </c>
      <c r="S8" s="11">
        <v>146</v>
      </c>
      <c r="T8" s="11">
        <v>85</v>
      </c>
      <c r="U8" s="11">
        <v>96</v>
      </c>
      <c r="V8" s="11">
        <v>76</v>
      </c>
      <c r="W8" s="11">
        <v>94</v>
      </c>
      <c r="X8" s="11">
        <v>74</v>
      </c>
      <c r="Y8" s="11">
        <v>49</v>
      </c>
      <c r="Z8" s="11">
        <v>124</v>
      </c>
      <c r="AA8" s="11"/>
      <c r="AB8" s="11">
        <v>86</v>
      </c>
      <c r="AC8" s="11">
        <v>99</v>
      </c>
      <c r="AD8" s="11">
        <v>161</v>
      </c>
      <c r="AE8" s="11">
        <v>131</v>
      </c>
      <c r="AF8" s="11"/>
      <c r="AG8" s="11">
        <v>98</v>
      </c>
      <c r="AH8" s="11">
        <v>51</v>
      </c>
      <c r="AI8" s="11"/>
      <c r="AJ8" s="11">
        <v>149</v>
      </c>
      <c r="AK8" s="11">
        <v>153</v>
      </c>
      <c r="AL8" s="11"/>
      <c r="AM8" s="11">
        <v>464</v>
      </c>
      <c r="AN8" s="11">
        <v>237</v>
      </c>
    </row>
    <row r="9" spans="2:40" x14ac:dyDescent="0.35">
      <c r="B9" s="15" t="s">
        <v>160</v>
      </c>
      <c r="C9" s="14">
        <v>0.147916856604525</v>
      </c>
      <c r="D9" s="14">
        <v>0.14326666342967101</v>
      </c>
      <c r="E9" s="14">
        <v>0.14983554526399601</v>
      </c>
      <c r="F9" s="14"/>
      <c r="G9" s="14" t="s">
        <v>76</v>
      </c>
      <c r="H9" s="14" t="s">
        <v>76</v>
      </c>
      <c r="I9" s="14">
        <v>0.147916856604525</v>
      </c>
      <c r="J9" s="14"/>
      <c r="K9" s="14" t="s">
        <v>76</v>
      </c>
      <c r="L9" s="14">
        <v>0.14923717067917999</v>
      </c>
      <c r="M9" s="14">
        <v>0.145555946173901</v>
      </c>
      <c r="N9" s="14"/>
      <c r="O9" s="14">
        <v>0.12467486109921599</v>
      </c>
      <c r="P9" s="14">
        <v>0.27121390583053601</v>
      </c>
      <c r="Q9" s="14"/>
      <c r="R9" s="14">
        <v>0.17915910767770199</v>
      </c>
      <c r="S9" s="14">
        <v>0.13947215977824801</v>
      </c>
      <c r="T9" s="14">
        <v>0.14110567335275701</v>
      </c>
      <c r="U9" s="14">
        <v>8.7154888955582197E-2</v>
      </c>
      <c r="V9" s="14">
        <v>0.13850841165758601</v>
      </c>
      <c r="W9" s="14">
        <v>0.118333290206694</v>
      </c>
      <c r="X9" s="14">
        <v>0.16693137114148399</v>
      </c>
      <c r="Y9" s="14">
        <v>0.180638138628679</v>
      </c>
      <c r="Z9" s="14">
        <v>0.17473245975079699</v>
      </c>
      <c r="AA9" s="14"/>
      <c r="AB9" s="14">
        <v>7.9958796751823394E-2</v>
      </c>
      <c r="AC9" s="14">
        <v>0.26572478614953099</v>
      </c>
      <c r="AD9" s="14">
        <v>0.114822553252782</v>
      </c>
      <c r="AE9" s="14">
        <v>0.168289713352402</v>
      </c>
      <c r="AF9" s="14"/>
      <c r="AG9" s="14">
        <v>0.29255712130197398</v>
      </c>
      <c r="AH9" s="14">
        <v>6.6443909006212706E-2</v>
      </c>
      <c r="AI9" s="14"/>
      <c r="AJ9" s="14">
        <v>0.21550611618791099</v>
      </c>
      <c r="AK9" s="14">
        <v>6.9389106432313802E-2</v>
      </c>
      <c r="AL9" s="14"/>
      <c r="AM9" s="14">
        <v>0.246606127270104</v>
      </c>
      <c r="AN9" s="14">
        <v>3.7958905300269297E-2</v>
      </c>
    </row>
    <row r="10" spans="2:40" x14ac:dyDescent="0.35">
      <c r="B10" s="15" t="s">
        <v>161</v>
      </c>
      <c r="C10" s="14">
        <v>0.551497012036819</v>
      </c>
      <c r="D10" s="14">
        <v>0.56082013456262603</v>
      </c>
      <c r="E10" s="14">
        <v>0.54412409633268799</v>
      </c>
      <c r="F10" s="14"/>
      <c r="G10" s="14" t="s">
        <v>76</v>
      </c>
      <c r="H10" s="14" t="s">
        <v>76</v>
      </c>
      <c r="I10" s="14">
        <v>0.551497012036819</v>
      </c>
      <c r="J10" s="14"/>
      <c r="K10" s="14" t="s">
        <v>76</v>
      </c>
      <c r="L10" s="14">
        <v>0.55174093391912304</v>
      </c>
      <c r="M10" s="14">
        <v>0.55106084481930395</v>
      </c>
      <c r="N10" s="14"/>
      <c r="O10" s="14">
        <v>0.55050423471468701</v>
      </c>
      <c r="P10" s="14">
        <v>0.57510980044488502</v>
      </c>
      <c r="Q10" s="14"/>
      <c r="R10" s="14">
        <v>0.61354358089040995</v>
      </c>
      <c r="S10" s="14">
        <v>0.57342802930793502</v>
      </c>
      <c r="T10" s="14">
        <v>0.44912130597050998</v>
      </c>
      <c r="U10" s="14">
        <v>0.54931708502216303</v>
      </c>
      <c r="V10" s="14">
        <v>0.49716683527279498</v>
      </c>
      <c r="W10" s="14">
        <v>0.57455579408694801</v>
      </c>
      <c r="X10" s="14">
        <v>0.53631744641832102</v>
      </c>
      <c r="Y10" s="14">
        <v>0.53587187274827297</v>
      </c>
      <c r="Z10" s="14">
        <v>0.55140609206122104</v>
      </c>
      <c r="AA10" s="14"/>
      <c r="AB10" s="14">
        <v>0.56970403967352001</v>
      </c>
      <c r="AC10" s="14">
        <v>0.585830027400286</v>
      </c>
      <c r="AD10" s="14">
        <v>0.52887404163223595</v>
      </c>
      <c r="AE10" s="14">
        <v>0.64893154652970397</v>
      </c>
      <c r="AF10" s="14"/>
      <c r="AG10" s="14">
        <v>0.58996831243785497</v>
      </c>
      <c r="AH10" s="14">
        <v>0.352322884954819</v>
      </c>
      <c r="AI10" s="14"/>
      <c r="AJ10" s="14">
        <v>0.50898755566377396</v>
      </c>
      <c r="AK10" s="14">
        <v>0.60884905997252703</v>
      </c>
      <c r="AL10" s="14"/>
      <c r="AM10" s="14">
        <v>0.62453387739997201</v>
      </c>
      <c r="AN10" s="14">
        <v>0.35015745299101197</v>
      </c>
    </row>
    <row r="11" spans="2:40" x14ac:dyDescent="0.35">
      <c r="B11" s="15" t="s">
        <v>162</v>
      </c>
      <c r="C11" s="14">
        <v>0.24084588804224999</v>
      </c>
      <c r="D11" s="14">
        <v>0.24038149610182999</v>
      </c>
      <c r="E11" s="14">
        <v>0.24181338469397001</v>
      </c>
      <c r="F11" s="14"/>
      <c r="G11" s="14" t="s">
        <v>76</v>
      </c>
      <c r="H11" s="14" t="s">
        <v>76</v>
      </c>
      <c r="I11" s="14">
        <v>0.24084588804224999</v>
      </c>
      <c r="J11" s="14"/>
      <c r="K11" s="14" t="s">
        <v>76</v>
      </c>
      <c r="L11" s="14">
        <v>0.243289592905713</v>
      </c>
      <c r="M11" s="14">
        <v>0.23647619418511001</v>
      </c>
      <c r="N11" s="14"/>
      <c r="O11" s="14">
        <v>0.256494226692349</v>
      </c>
      <c r="P11" s="14">
        <v>0.146783858888136</v>
      </c>
      <c r="Q11" s="14"/>
      <c r="R11" s="14">
        <v>0.14635056993571699</v>
      </c>
      <c r="S11" s="14">
        <v>0.23885893116176601</v>
      </c>
      <c r="T11" s="14">
        <v>0.33478540095439802</v>
      </c>
      <c r="U11" s="14">
        <v>0.311329429545803</v>
      </c>
      <c r="V11" s="14">
        <v>0.34010485656172201</v>
      </c>
      <c r="W11" s="14">
        <v>0.25711231368610699</v>
      </c>
      <c r="X11" s="14">
        <v>0.21186080005288199</v>
      </c>
      <c r="Y11" s="14">
        <v>0.14725512041639999</v>
      </c>
      <c r="Z11" s="14">
        <v>0.22266839100065799</v>
      </c>
      <c r="AA11" s="14"/>
      <c r="AB11" s="14">
        <v>0.300326903661714</v>
      </c>
      <c r="AC11" s="14">
        <v>0.112509750113073</v>
      </c>
      <c r="AD11" s="14">
        <v>0.28394706507994499</v>
      </c>
      <c r="AE11" s="14">
        <v>0.14161614459652999</v>
      </c>
      <c r="AF11" s="14"/>
      <c r="AG11" s="14">
        <v>9.1324615398787501E-2</v>
      </c>
      <c r="AH11" s="14">
        <v>0.433814274613951</v>
      </c>
      <c r="AI11" s="14"/>
      <c r="AJ11" s="14">
        <v>0.20803240180263399</v>
      </c>
      <c r="AK11" s="14">
        <v>0.27388527892833497</v>
      </c>
      <c r="AL11" s="14"/>
      <c r="AM11" s="14">
        <v>0.117640865463807</v>
      </c>
      <c r="AN11" s="14">
        <v>0.448351515376193</v>
      </c>
    </row>
    <row r="12" spans="2:40" x14ac:dyDescent="0.35">
      <c r="B12" s="15" t="s">
        <v>163</v>
      </c>
      <c r="C12" s="14">
        <v>5.3713872864755201E-2</v>
      </c>
      <c r="D12" s="14">
        <v>5.55317059058726E-2</v>
      </c>
      <c r="E12" s="14">
        <v>5.2474940417966902E-2</v>
      </c>
      <c r="F12" s="14"/>
      <c r="G12" s="14" t="s">
        <v>76</v>
      </c>
      <c r="H12" s="14" t="s">
        <v>76</v>
      </c>
      <c r="I12" s="14">
        <v>5.3713872864755201E-2</v>
      </c>
      <c r="J12" s="14"/>
      <c r="K12" s="14" t="s">
        <v>76</v>
      </c>
      <c r="L12" s="14">
        <v>4.9501487676249199E-2</v>
      </c>
      <c r="M12" s="14">
        <v>6.1246220145042003E-2</v>
      </c>
      <c r="N12" s="14"/>
      <c r="O12" s="14">
        <v>6.3671640495512397E-2</v>
      </c>
      <c r="P12" s="14">
        <v>0</v>
      </c>
      <c r="Q12" s="14"/>
      <c r="R12" s="14">
        <v>4.8564741472185702E-2</v>
      </c>
      <c r="S12" s="14">
        <v>4.8240879752051498E-2</v>
      </c>
      <c r="T12" s="14">
        <v>6.3909106335343302E-2</v>
      </c>
      <c r="U12" s="14">
        <v>5.2198596476452003E-2</v>
      </c>
      <c r="V12" s="14">
        <v>2.4219896507896899E-2</v>
      </c>
      <c r="W12" s="14">
        <v>4.9998602020251401E-2</v>
      </c>
      <c r="X12" s="14">
        <v>8.4890382387313001E-2</v>
      </c>
      <c r="Y12" s="14">
        <v>9.8812190991266799E-2</v>
      </c>
      <c r="Z12" s="14">
        <v>4.5290429337374899E-2</v>
      </c>
      <c r="AA12" s="14"/>
      <c r="AB12" s="14">
        <v>5.0010259912942098E-2</v>
      </c>
      <c r="AC12" s="14">
        <v>3.59354363371093E-2</v>
      </c>
      <c r="AD12" s="14">
        <v>7.2356340035036895E-2</v>
      </c>
      <c r="AE12" s="14">
        <v>2.72270192924376E-2</v>
      </c>
      <c r="AF12" s="14"/>
      <c r="AG12" s="14">
        <v>2.6149950861384198E-2</v>
      </c>
      <c r="AH12" s="14">
        <v>0.147418931425017</v>
      </c>
      <c r="AI12" s="14"/>
      <c r="AJ12" s="14">
        <v>6.7473926345681196E-2</v>
      </c>
      <c r="AK12" s="14">
        <v>3.5968959461878898E-2</v>
      </c>
      <c r="AL12" s="14"/>
      <c r="AM12" s="14">
        <v>9.6432926161835898E-3</v>
      </c>
      <c r="AN12" s="14">
        <v>0.15924858174012299</v>
      </c>
    </row>
    <row r="13" spans="2:40" x14ac:dyDescent="0.35">
      <c r="B13" s="15" t="s">
        <v>70</v>
      </c>
      <c r="C13" s="21">
        <v>6.0263704516507997E-3</v>
      </c>
      <c r="D13" s="21">
        <v>0</v>
      </c>
      <c r="E13" s="21">
        <v>1.17520332913786E-2</v>
      </c>
      <c r="F13" s="21"/>
      <c r="G13" s="21" t="s">
        <v>76</v>
      </c>
      <c r="H13" s="21" t="s">
        <v>76</v>
      </c>
      <c r="I13" s="21">
        <v>6.0263704516507997E-3</v>
      </c>
      <c r="J13" s="21"/>
      <c r="K13" s="21" t="s">
        <v>76</v>
      </c>
      <c r="L13" s="21">
        <v>6.2308148197358099E-3</v>
      </c>
      <c r="M13" s="21">
        <v>5.6607946766440197E-3</v>
      </c>
      <c r="N13" s="21"/>
      <c r="O13" s="21">
        <v>4.6550369982364202E-3</v>
      </c>
      <c r="P13" s="21">
        <v>6.8924348364426402E-3</v>
      </c>
      <c r="Q13" s="21"/>
      <c r="R13" s="21">
        <v>1.2382000023985699E-2</v>
      </c>
      <c r="S13" s="21">
        <v>0</v>
      </c>
      <c r="T13" s="21">
        <v>1.1078513386992001E-2</v>
      </c>
      <c r="U13" s="21">
        <v>0</v>
      </c>
      <c r="V13" s="21">
        <v>0</v>
      </c>
      <c r="W13" s="21">
        <v>0</v>
      </c>
      <c r="X13" s="21">
        <v>0</v>
      </c>
      <c r="Y13" s="21">
        <v>3.74226772153805E-2</v>
      </c>
      <c r="Z13" s="21">
        <v>5.90262784994858E-3</v>
      </c>
      <c r="AA13" s="21"/>
      <c r="AB13" s="21">
        <v>0</v>
      </c>
      <c r="AC13" s="21">
        <v>0</v>
      </c>
      <c r="AD13" s="21">
        <v>0</v>
      </c>
      <c r="AE13" s="21">
        <v>1.39355762289264E-2</v>
      </c>
      <c r="AF13" s="21"/>
      <c r="AG13" s="21">
        <v>0</v>
      </c>
      <c r="AH13" s="21">
        <v>0</v>
      </c>
      <c r="AI13" s="21"/>
      <c r="AJ13" s="21">
        <v>0</v>
      </c>
      <c r="AK13" s="21">
        <v>1.1907595204945E-2</v>
      </c>
      <c r="AL13" s="21"/>
      <c r="AM13" s="21">
        <v>1.5758372499337101E-3</v>
      </c>
      <c r="AN13" s="21">
        <v>4.2835445924021501E-3</v>
      </c>
    </row>
    <row r="14" spans="2:40" x14ac:dyDescent="0.35">
      <c r="B14" s="15" t="s">
        <v>164</v>
      </c>
      <c r="C14" s="30">
        <v>0.69941386864134403</v>
      </c>
      <c r="D14" s="30">
        <v>0.70408679799229701</v>
      </c>
      <c r="E14" s="30">
        <v>0.693959641596684</v>
      </c>
      <c r="F14" s="30"/>
      <c r="G14" s="30" t="s">
        <v>76</v>
      </c>
      <c r="H14" s="30" t="s">
        <v>76</v>
      </c>
      <c r="I14" s="30">
        <v>0.69941386864134403</v>
      </c>
      <c r="J14" s="30"/>
      <c r="K14" s="30" t="s">
        <v>76</v>
      </c>
      <c r="L14" s="30">
        <v>0.70097810459830201</v>
      </c>
      <c r="M14" s="30">
        <v>0.69661679099320395</v>
      </c>
      <c r="N14" s="30"/>
      <c r="O14" s="30">
        <v>0.67517909581390201</v>
      </c>
      <c r="P14" s="30">
        <v>0.84632370627542097</v>
      </c>
      <c r="Q14" s="30"/>
      <c r="R14" s="30">
        <v>0.79270268856811199</v>
      </c>
      <c r="S14" s="30">
        <v>0.71290018908618202</v>
      </c>
      <c r="T14" s="30">
        <v>0.59022697932326695</v>
      </c>
      <c r="U14" s="30">
        <v>0.63647197397774502</v>
      </c>
      <c r="V14" s="30">
        <v>0.63567524693038102</v>
      </c>
      <c r="W14" s="30">
        <v>0.69288908429364204</v>
      </c>
      <c r="X14" s="30">
        <v>0.70324881755980495</v>
      </c>
      <c r="Y14" s="30">
        <v>0.71651001137695203</v>
      </c>
      <c r="Z14" s="30">
        <v>0.72613855181201903</v>
      </c>
      <c r="AA14" s="30"/>
      <c r="AB14" s="30">
        <v>0.64966283642534395</v>
      </c>
      <c r="AC14" s="30">
        <v>0.85155481354981799</v>
      </c>
      <c r="AD14" s="30">
        <v>0.64369659488501796</v>
      </c>
      <c r="AE14" s="30">
        <v>0.81722125988210603</v>
      </c>
      <c r="AF14" s="30"/>
      <c r="AG14" s="30">
        <v>0.88252543373982795</v>
      </c>
      <c r="AH14" s="30">
        <v>0.418766793961031</v>
      </c>
      <c r="AI14" s="30"/>
      <c r="AJ14" s="30">
        <v>0.72449367185168501</v>
      </c>
      <c r="AK14" s="30">
        <v>0.67823816640484103</v>
      </c>
      <c r="AL14" s="30"/>
      <c r="AM14" s="30">
        <v>0.87114000467007602</v>
      </c>
      <c r="AN14" s="30">
        <v>0.38811635829128199</v>
      </c>
    </row>
    <row r="15" spans="2:40" x14ac:dyDescent="0.35">
      <c r="B15" s="27" t="s">
        <v>273</v>
      </c>
    </row>
    <row r="16" spans="2:40" x14ac:dyDescent="0.35">
      <c r="B16" t="s">
        <v>72</v>
      </c>
    </row>
    <row r="17" spans="2:2" x14ac:dyDescent="0.35">
      <c r="B17" t="s">
        <v>73</v>
      </c>
    </row>
    <row r="19" spans="2:2" x14ac:dyDescent="0.35">
      <c r="B19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B2:AN18"/>
  <sheetViews>
    <sheetView showGridLines="0" workbookViewId="0">
      <pane xSplit="2" topLeftCell="C1" activePane="topRight" state="frozen"/>
      <selection pane="topRight" activeCell="B17" sqref="B17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263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961</v>
      </c>
      <c r="D7" s="10">
        <v>489</v>
      </c>
      <c r="E7" s="10">
        <v>468</v>
      </c>
      <c r="F7" s="10"/>
      <c r="G7" s="10" t="s">
        <v>75</v>
      </c>
      <c r="H7" s="10" t="s">
        <v>75</v>
      </c>
      <c r="I7" s="10">
        <v>961</v>
      </c>
      <c r="J7" s="10"/>
      <c r="K7" s="10" t="s">
        <v>75</v>
      </c>
      <c r="L7" s="10">
        <v>722</v>
      </c>
      <c r="M7" s="10">
        <v>239</v>
      </c>
      <c r="N7" s="10"/>
      <c r="O7" s="10">
        <v>799</v>
      </c>
      <c r="P7" s="10">
        <v>141</v>
      </c>
      <c r="Q7" s="10"/>
      <c r="R7" s="10">
        <v>148</v>
      </c>
      <c r="S7" s="10">
        <v>165</v>
      </c>
      <c r="T7" s="10">
        <v>81</v>
      </c>
      <c r="U7" s="10">
        <v>90</v>
      </c>
      <c r="V7" s="10">
        <v>80</v>
      </c>
      <c r="W7" s="10">
        <v>126</v>
      </c>
      <c r="X7" s="10">
        <v>50</v>
      </c>
      <c r="Y7" s="10">
        <v>54</v>
      </c>
      <c r="Z7" s="10">
        <v>167</v>
      </c>
      <c r="AA7" s="10"/>
      <c r="AB7" s="10">
        <v>112</v>
      </c>
      <c r="AC7" s="10">
        <v>127</v>
      </c>
      <c r="AD7" s="10">
        <v>116</v>
      </c>
      <c r="AE7" s="10">
        <v>97</v>
      </c>
      <c r="AF7" s="10"/>
      <c r="AG7" s="10">
        <v>80</v>
      </c>
      <c r="AH7" s="10">
        <v>35</v>
      </c>
      <c r="AI7" s="10"/>
      <c r="AJ7" s="10">
        <v>115</v>
      </c>
      <c r="AK7" s="10">
        <v>109</v>
      </c>
      <c r="AL7" s="10"/>
      <c r="AM7" s="10">
        <v>515</v>
      </c>
      <c r="AN7" s="10">
        <v>238</v>
      </c>
    </row>
    <row r="8" spans="2:40" ht="30" customHeight="1" x14ac:dyDescent="0.35">
      <c r="B8" s="11" t="s">
        <v>20</v>
      </c>
      <c r="C8" s="11">
        <v>898</v>
      </c>
      <c r="D8" s="11">
        <v>434</v>
      </c>
      <c r="E8" s="11">
        <v>461</v>
      </c>
      <c r="F8" s="11"/>
      <c r="G8" s="11" t="s">
        <v>75</v>
      </c>
      <c r="H8" s="11" t="s">
        <v>75</v>
      </c>
      <c r="I8" s="11">
        <v>898</v>
      </c>
      <c r="J8" s="11"/>
      <c r="K8" s="11" t="s">
        <v>75</v>
      </c>
      <c r="L8" s="11">
        <v>576</v>
      </c>
      <c r="M8" s="11">
        <v>322</v>
      </c>
      <c r="N8" s="11"/>
      <c r="O8" s="11">
        <v>742</v>
      </c>
      <c r="P8" s="11">
        <v>137</v>
      </c>
      <c r="Q8" s="11"/>
      <c r="R8" s="11">
        <v>154</v>
      </c>
      <c r="S8" s="11">
        <v>146</v>
      </c>
      <c r="T8" s="11">
        <v>85</v>
      </c>
      <c r="U8" s="11">
        <v>96</v>
      </c>
      <c r="V8" s="11">
        <v>76</v>
      </c>
      <c r="W8" s="11">
        <v>94</v>
      </c>
      <c r="X8" s="11">
        <v>74</v>
      </c>
      <c r="Y8" s="11">
        <v>49</v>
      </c>
      <c r="Z8" s="11">
        <v>124</v>
      </c>
      <c r="AA8" s="11"/>
      <c r="AB8" s="11">
        <v>86</v>
      </c>
      <c r="AC8" s="11">
        <v>99</v>
      </c>
      <c r="AD8" s="11">
        <v>161</v>
      </c>
      <c r="AE8" s="11">
        <v>131</v>
      </c>
      <c r="AF8" s="11"/>
      <c r="AG8" s="11">
        <v>98</v>
      </c>
      <c r="AH8" s="11">
        <v>51</v>
      </c>
      <c r="AI8" s="11"/>
      <c r="AJ8" s="11">
        <v>149</v>
      </c>
      <c r="AK8" s="11">
        <v>153</v>
      </c>
      <c r="AL8" s="11"/>
      <c r="AM8" s="11">
        <v>464</v>
      </c>
      <c r="AN8" s="11">
        <v>237</v>
      </c>
    </row>
    <row r="9" spans="2:40" x14ac:dyDescent="0.35">
      <c r="B9" s="15" t="s">
        <v>166</v>
      </c>
      <c r="C9" s="14">
        <v>0.116222209550062</v>
      </c>
      <c r="D9" s="14">
        <v>0.124812856733942</v>
      </c>
      <c r="E9" s="14">
        <v>0.1036365070606</v>
      </c>
      <c r="F9" s="14"/>
      <c r="G9" s="14" t="s">
        <v>76</v>
      </c>
      <c r="H9" s="14" t="s">
        <v>76</v>
      </c>
      <c r="I9" s="14">
        <v>0.116222209550062</v>
      </c>
      <c r="J9" s="14"/>
      <c r="K9" s="14" t="s">
        <v>76</v>
      </c>
      <c r="L9" s="14">
        <v>0.122857233361438</v>
      </c>
      <c r="M9" s="14">
        <v>0.104357837864247</v>
      </c>
      <c r="N9" s="14"/>
      <c r="O9" s="14">
        <v>8.5395990115097395E-2</v>
      </c>
      <c r="P9" s="14">
        <v>0.28229852611839101</v>
      </c>
      <c r="Q9" s="14"/>
      <c r="R9" s="14">
        <v>0.189882562839088</v>
      </c>
      <c r="S9" s="14">
        <v>6.1858692518947898E-2</v>
      </c>
      <c r="T9" s="14">
        <v>8.0640721097019794E-2</v>
      </c>
      <c r="U9" s="14">
        <v>6.9170210535195301E-2</v>
      </c>
      <c r="V9" s="14">
        <v>6.3052266758446496E-2</v>
      </c>
      <c r="W9" s="14">
        <v>7.5077483246693805E-2</v>
      </c>
      <c r="X9" s="14">
        <v>0.13561139998264499</v>
      </c>
      <c r="Y9" s="14">
        <v>0.22902024273014401</v>
      </c>
      <c r="Z9" s="14">
        <v>0.157343180616276</v>
      </c>
      <c r="AA9" s="14"/>
      <c r="AB9" s="14">
        <v>8.7370184074469295E-2</v>
      </c>
      <c r="AC9" s="14">
        <v>0.16846190401330799</v>
      </c>
      <c r="AD9" s="14">
        <v>0.100812588973728</v>
      </c>
      <c r="AE9" s="14">
        <v>9.0861302332095106E-2</v>
      </c>
      <c r="AF9" s="14"/>
      <c r="AG9" s="14">
        <v>0.214544675354058</v>
      </c>
      <c r="AH9" s="14">
        <v>0</v>
      </c>
      <c r="AI9" s="14"/>
      <c r="AJ9" s="14">
        <v>0.14143579900817799</v>
      </c>
      <c r="AK9" s="14">
        <v>5.0798148493791301E-2</v>
      </c>
      <c r="AL9" s="14"/>
      <c r="AM9" s="14">
        <v>0.19958365872530801</v>
      </c>
      <c r="AN9" s="14">
        <v>1.8184914461326699E-2</v>
      </c>
    </row>
    <row r="10" spans="2:40" x14ac:dyDescent="0.35">
      <c r="B10" s="15" t="s">
        <v>167</v>
      </c>
      <c r="C10" s="14">
        <v>0.36953791668696701</v>
      </c>
      <c r="D10" s="14">
        <v>0.41378511331902601</v>
      </c>
      <c r="E10" s="14">
        <v>0.33113628362986203</v>
      </c>
      <c r="F10" s="14"/>
      <c r="G10" s="14" t="s">
        <v>76</v>
      </c>
      <c r="H10" s="14" t="s">
        <v>76</v>
      </c>
      <c r="I10" s="14">
        <v>0.36953791668696701</v>
      </c>
      <c r="J10" s="14"/>
      <c r="K10" s="14" t="s">
        <v>76</v>
      </c>
      <c r="L10" s="14">
        <v>0.40055239407356003</v>
      </c>
      <c r="M10" s="14">
        <v>0.31407959463468699</v>
      </c>
      <c r="N10" s="14"/>
      <c r="O10" s="14">
        <v>0.36328878384775598</v>
      </c>
      <c r="P10" s="14">
        <v>0.41492190517077598</v>
      </c>
      <c r="Q10" s="14"/>
      <c r="R10" s="14">
        <v>0.41174896911938502</v>
      </c>
      <c r="S10" s="14">
        <v>0.38290906154354898</v>
      </c>
      <c r="T10" s="14">
        <v>0.283781121229778</v>
      </c>
      <c r="U10" s="14">
        <v>0.44260528203958699</v>
      </c>
      <c r="V10" s="14">
        <v>0.39184385351223899</v>
      </c>
      <c r="W10" s="14">
        <v>0.39369311760589998</v>
      </c>
      <c r="X10" s="14">
        <v>0.197936794339755</v>
      </c>
      <c r="Y10" s="14">
        <v>0.30087437569815101</v>
      </c>
      <c r="Z10" s="14">
        <v>0.40085693390751198</v>
      </c>
      <c r="AA10" s="14"/>
      <c r="AB10" s="14">
        <v>0.36004344390884901</v>
      </c>
      <c r="AC10" s="14">
        <v>0.482606915409658</v>
      </c>
      <c r="AD10" s="14">
        <v>0.23630835839501901</v>
      </c>
      <c r="AE10" s="14">
        <v>0.45496632847650798</v>
      </c>
      <c r="AF10" s="14"/>
      <c r="AG10" s="14">
        <v>0.44167672552022702</v>
      </c>
      <c r="AH10" s="14">
        <v>0.216880384463814</v>
      </c>
      <c r="AI10" s="14"/>
      <c r="AJ10" s="14">
        <v>0.36507446133362897</v>
      </c>
      <c r="AK10" s="14">
        <v>0.29205422563788003</v>
      </c>
      <c r="AL10" s="14"/>
      <c r="AM10" s="14">
        <v>0.50360155473078305</v>
      </c>
      <c r="AN10" s="14">
        <v>0.17417300401356101</v>
      </c>
    </row>
    <row r="11" spans="2:40" x14ac:dyDescent="0.35">
      <c r="B11" s="15" t="s">
        <v>168</v>
      </c>
      <c r="C11" s="14">
        <v>0.35227218841741698</v>
      </c>
      <c r="D11" s="14">
        <v>0.30799346381723602</v>
      </c>
      <c r="E11" s="14">
        <v>0.397049113608899</v>
      </c>
      <c r="F11" s="14"/>
      <c r="G11" s="14" t="s">
        <v>76</v>
      </c>
      <c r="H11" s="14" t="s">
        <v>76</v>
      </c>
      <c r="I11" s="14">
        <v>0.35227218841741698</v>
      </c>
      <c r="J11" s="14"/>
      <c r="K11" s="14" t="s">
        <v>76</v>
      </c>
      <c r="L11" s="14">
        <v>0.33123565283837703</v>
      </c>
      <c r="M11" s="14">
        <v>0.389888523216949</v>
      </c>
      <c r="N11" s="14"/>
      <c r="O11" s="14">
        <v>0.36934178667215001</v>
      </c>
      <c r="P11" s="14">
        <v>0.27217073396526698</v>
      </c>
      <c r="Q11" s="14"/>
      <c r="R11" s="14">
        <v>0.28418979681845202</v>
      </c>
      <c r="S11" s="14">
        <v>0.41690470648449401</v>
      </c>
      <c r="T11" s="14">
        <v>0.43678937758910102</v>
      </c>
      <c r="U11" s="14">
        <v>0.309906794119988</v>
      </c>
      <c r="V11" s="14">
        <v>0.32602130437358301</v>
      </c>
      <c r="W11" s="14">
        <v>0.393756898644197</v>
      </c>
      <c r="X11" s="14">
        <v>0.47364983553652101</v>
      </c>
      <c r="Y11" s="14">
        <v>0.23218467147250399</v>
      </c>
      <c r="Z11" s="14">
        <v>0.29491730039014802</v>
      </c>
      <c r="AA11" s="14"/>
      <c r="AB11" s="14">
        <v>0.34614964881875399</v>
      </c>
      <c r="AC11" s="14">
        <v>0.26084360453600403</v>
      </c>
      <c r="AD11" s="14">
        <v>0.432547097040129</v>
      </c>
      <c r="AE11" s="14">
        <v>0.34260110996105497</v>
      </c>
      <c r="AF11" s="14"/>
      <c r="AG11" s="14">
        <v>0.27276390956545099</v>
      </c>
      <c r="AH11" s="14">
        <v>0.45538032215176499</v>
      </c>
      <c r="AI11" s="14"/>
      <c r="AJ11" s="14">
        <v>0.33499281692224497</v>
      </c>
      <c r="AK11" s="14">
        <v>0.45673648420588497</v>
      </c>
      <c r="AL11" s="14"/>
      <c r="AM11" s="14">
        <v>0.24981254438806499</v>
      </c>
      <c r="AN11" s="14">
        <v>0.40182909471293798</v>
      </c>
    </row>
    <row r="12" spans="2:40" x14ac:dyDescent="0.35">
      <c r="B12" s="15" t="s">
        <v>169</v>
      </c>
      <c r="C12" s="14">
        <v>0.155691531295504</v>
      </c>
      <c r="D12" s="14">
        <v>0.14811018591828601</v>
      </c>
      <c r="E12" s="14">
        <v>0.16092637798850801</v>
      </c>
      <c r="F12" s="14"/>
      <c r="G12" s="14" t="s">
        <v>76</v>
      </c>
      <c r="H12" s="14" t="s">
        <v>76</v>
      </c>
      <c r="I12" s="14">
        <v>0.155691531295504</v>
      </c>
      <c r="J12" s="14"/>
      <c r="K12" s="14" t="s">
        <v>76</v>
      </c>
      <c r="L12" s="14">
        <v>0.14134571101335899</v>
      </c>
      <c r="M12" s="14">
        <v>0.18134391006669201</v>
      </c>
      <c r="N12" s="14"/>
      <c r="O12" s="14">
        <v>0.17437225675766699</v>
      </c>
      <c r="P12" s="14">
        <v>3.0608834745565899E-2</v>
      </c>
      <c r="Q12" s="14"/>
      <c r="R12" s="14">
        <v>0.114178671223075</v>
      </c>
      <c r="S12" s="14">
        <v>0.13832753945300999</v>
      </c>
      <c r="T12" s="14">
        <v>0.18950306474654699</v>
      </c>
      <c r="U12" s="14">
        <v>0.17831771330523</v>
      </c>
      <c r="V12" s="14">
        <v>0.20885729807977499</v>
      </c>
      <c r="W12" s="14">
        <v>0.137472500503209</v>
      </c>
      <c r="X12" s="14">
        <v>0.192801970141079</v>
      </c>
      <c r="Y12" s="14">
        <v>0.167756605024482</v>
      </c>
      <c r="Z12" s="14">
        <v>0.141632157010083</v>
      </c>
      <c r="AA12" s="14"/>
      <c r="AB12" s="14">
        <v>0.206436723197927</v>
      </c>
      <c r="AC12" s="14">
        <v>8.1503789955689396E-2</v>
      </c>
      <c r="AD12" s="14">
        <v>0.22551821448529399</v>
      </c>
      <c r="AE12" s="14">
        <v>9.7635683001414703E-2</v>
      </c>
      <c r="AF12" s="14"/>
      <c r="AG12" s="14">
        <v>6.3569633396444905E-2</v>
      </c>
      <c r="AH12" s="14">
        <v>0.32773929338441998</v>
      </c>
      <c r="AI12" s="14"/>
      <c r="AJ12" s="14">
        <v>0.153588865868758</v>
      </c>
      <c r="AK12" s="14">
        <v>0.183447876497534</v>
      </c>
      <c r="AL12" s="14"/>
      <c r="AM12" s="14">
        <v>4.1858806622875701E-2</v>
      </c>
      <c r="AN12" s="14">
        <v>0.40581298681217398</v>
      </c>
    </row>
    <row r="13" spans="2:40" x14ac:dyDescent="0.35">
      <c r="B13" s="15" t="s">
        <v>70</v>
      </c>
      <c r="C13" s="20">
        <v>6.2761540500497603E-3</v>
      </c>
      <c r="D13" s="20">
        <v>5.2983802115093596E-3</v>
      </c>
      <c r="E13" s="20">
        <v>7.25171771212997E-3</v>
      </c>
      <c r="F13" s="20"/>
      <c r="G13" s="20" t="s">
        <v>76</v>
      </c>
      <c r="H13" s="20" t="s">
        <v>76</v>
      </c>
      <c r="I13" s="20">
        <v>6.2761540500497603E-3</v>
      </c>
      <c r="J13" s="20"/>
      <c r="K13" s="20" t="s">
        <v>76</v>
      </c>
      <c r="L13" s="20">
        <v>4.0090087132651098E-3</v>
      </c>
      <c r="M13" s="20">
        <v>1.0330134217424101E-2</v>
      </c>
      <c r="N13" s="20"/>
      <c r="O13" s="20">
        <v>7.6011826073297097E-3</v>
      </c>
      <c r="P13" s="20">
        <v>0</v>
      </c>
      <c r="Q13" s="20"/>
      <c r="R13" s="20">
        <v>0</v>
      </c>
      <c r="S13" s="20">
        <v>0</v>
      </c>
      <c r="T13" s="20">
        <v>9.2857153375549596E-3</v>
      </c>
      <c r="U13" s="20">
        <v>0</v>
      </c>
      <c r="V13" s="20">
        <v>1.02252772759564E-2</v>
      </c>
      <c r="W13" s="20">
        <v>0</v>
      </c>
      <c r="X13" s="20">
        <v>0</v>
      </c>
      <c r="Y13" s="20">
        <v>7.0164105074719998E-2</v>
      </c>
      <c r="Z13" s="20">
        <v>5.2504280759810198E-3</v>
      </c>
      <c r="AA13" s="20"/>
      <c r="AB13" s="20">
        <v>0</v>
      </c>
      <c r="AC13" s="20">
        <v>6.5837860853410601E-3</v>
      </c>
      <c r="AD13" s="20">
        <v>4.8137411058295498E-3</v>
      </c>
      <c r="AE13" s="20">
        <v>1.39355762289264E-2</v>
      </c>
      <c r="AF13" s="20"/>
      <c r="AG13" s="20">
        <v>7.4450561638186499E-3</v>
      </c>
      <c r="AH13" s="20">
        <v>0</v>
      </c>
      <c r="AI13" s="20"/>
      <c r="AJ13" s="20">
        <v>4.9080568671896301E-3</v>
      </c>
      <c r="AK13" s="20">
        <v>1.6963265164910001E-2</v>
      </c>
      <c r="AL13" s="20"/>
      <c r="AM13" s="20">
        <v>5.1434355329682199E-3</v>
      </c>
      <c r="AN13" s="20">
        <v>0</v>
      </c>
    </row>
    <row r="14" spans="2:40" x14ac:dyDescent="0.35">
      <c r="B14" s="27" t="s">
        <v>273</v>
      </c>
    </row>
    <row r="15" spans="2:40" x14ac:dyDescent="0.35">
      <c r="B15" t="s">
        <v>72</v>
      </c>
    </row>
    <row r="16" spans="2:40" x14ac:dyDescent="0.35">
      <c r="B16" t="s">
        <v>73</v>
      </c>
    </row>
    <row r="18" spans="2:2" x14ac:dyDescent="0.35">
      <c r="B18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B2:AN18"/>
  <sheetViews>
    <sheetView showGridLines="0" workbookViewId="0">
      <pane xSplit="2" topLeftCell="C1" activePane="topRight" state="frozen"/>
      <selection pane="topRight" activeCell="B17" sqref="B17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264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961</v>
      </c>
      <c r="D7" s="10">
        <v>489</v>
      </c>
      <c r="E7" s="10">
        <v>468</v>
      </c>
      <c r="F7" s="10"/>
      <c r="G7" s="10" t="s">
        <v>75</v>
      </c>
      <c r="H7" s="10" t="s">
        <v>75</v>
      </c>
      <c r="I7" s="10">
        <v>961</v>
      </c>
      <c r="J7" s="10"/>
      <c r="K7" s="10" t="s">
        <v>75</v>
      </c>
      <c r="L7" s="10">
        <v>722</v>
      </c>
      <c r="M7" s="10">
        <v>239</v>
      </c>
      <c r="N7" s="10"/>
      <c r="O7" s="10">
        <v>799</v>
      </c>
      <c r="P7" s="10">
        <v>141</v>
      </c>
      <c r="Q7" s="10"/>
      <c r="R7" s="10">
        <v>148</v>
      </c>
      <c r="S7" s="10">
        <v>165</v>
      </c>
      <c r="T7" s="10">
        <v>81</v>
      </c>
      <c r="U7" s="10">
        <v>90</v>
      </c>
      <c r="V7" s="10">
        <v>80</v>
      </c>
      <c r="W7" s="10">
        <v>126</v>
      </c>
      <c r="X7" s="10">
        <v>50</v>
      </c>
      <c r="Y7" s="10">
        <v>54</v>
      </c>
      <c r="Z7" s="10">
        <v>167</v>
      </c>
      <c r="AA7" s="10"/>
      <c r="AB7" s="10">
        <v>112</v>
      </c>
      <c r="AC7" s="10">
        <v>127</v>
      </c>
      <c r="AD7" s="10">
        <v>116</v>
      </c>
      <c r="AE7" s="10">
        <v>97</v>
      </c>
      <c r="AF7" s="10"/>
      <c r="AG7" s="10">
        <v>80</v>
      </c>
      <c r="AH7" s="10">
        <v>35</v>
      </c>
      <c r="AI7" s="10"/>
      <c r="AJ7" s="10">
        <v>115</v>
      </c>
      <c r="AK7" s="10">
        <v>109</v>
      </c>
      <c r="AL7" s="10"/>
      <c r="AM7" s="10">
        <v>515</v>
      </c>
      <c r="AN7" s="10">
        <v>238</v>
      </c>
    </row>
    <row r="8" spans="2:40" ht="30" customHeight="1" x14ac:dyDescent="0.35">
      <c r="B8" s="11" t="s">
        <v>20</v>
      </c>
      <c r="C8" s="11">
        <v>898</v>
      </c>
      <c r="D8" s="11">
        <v>434</v>
      </c>
      <c r="E8" s="11">
        <v>461</v>
      </c>
      <c r="F8" s="11"/>
      <c r="G8" s="11" t="s">
        <v>75</v>
      </c>
      <c r="H8" s="11" t="s">
        <v>75</v>
      </c>
      <c r="I8" s="11">
        <v>898</v>
      </c>
      <c r="J8" s="11"/>
      <c r="K8" s="11" t="s">
        <v>75</v>
      </c>
      <c r="L8" s="11">
        <v>576</v>
      </c>
      <c r="M8" s="11">
        <v>322</v>
      </c>
      <c r="N8" s="11"/>
      <c r="O8" s="11">
        <v>742</v>
      </c>
      <c r="P8" s="11">
        <v>137</v>
      </c>
      <c r="Q8" s="11"/>
      <c r="R8" s="11">
        <v>154</v>
      </c>
      <c r="S8" s="11">
        <v>146</v>
      </c>
      <c r="T8" s="11">
        <v>85</v>
      </c>
      <c r="U8" s="11">
        <v>96</v>
      </c>
      <c r="V8" s="11">
        <v>76</v>
      </c>
      <c r="W8" s="11">
        <v>94</v>
      </c>
      <c r="X8" s="11">
        <v>74</v>
      </c>
      <c r="Y8" s="11">
        <v>49</v>
      </c>
      <c r="Z8" s="11">
        <v>124</v>
      </c>
      <c r="AA8" s="11"/>
      <c r="AB8" s="11">
        <v>86</v>
      </c>
      <c r="AC8" s="11">
        <v>99</v>
      </c>
      <c r="AD8" s="11">
        <v>161</v>
      </c>
      <c r="AE8" s="11">
        <v>131</v>
      </c>
      <c r="AF8" s="11"/>
      <c r="AG8" s="11">
        <v>98</v>
      </c>
      <c r="AH8" s="11">
        <v>51</v>
      </c>
      <c r="AI8" s="11"/>
      <c r="AJ8" s="11">
        <v>149</v>
      </c>
      <c r="AK8" s="11">
        <v>153</v>
      </c>
      <c r="AL8" s="11"/>
      <c r="AM8" s="11">
        <v>464</v>
      </c>
      <c r="AN8" s="11">
        <v>237</v>
      </c>
    </row>
    <row r="9" spans="2:40" x14ac:dyDescent="0.35">
      <c r="B9" s="15" t="s">
        <v>242</v>
      </c>
      <c r="C9" s="14">
        <v>0.127847820789699</v>
      </c>
      <c r="D9" s="14">
        <v>0.13792873656952201</v>
      </c>
      <c r="E9" s="14">
        <v>0.11572353554671699</v>
      </c>
      <c r="F9" s="14"/>
      <c r="G9" s="14" t="s">
        <v>76</v>
      </c>
      <c r="H9" s="14" t="s">
        <v>76</v>
      </c>
      <c r="I9" s="14">
        <v>0.127847820789699</v>
      </c>
      <c r="J9" s="14"/>
      <c r="K9" s="14" t="s">
        <v>76</v>
      </c>
      <c r="L9" s="14">
        <v>0.140030904863643</v>
      </c>
      <c r="M9" s="14">
        <v>0.10606272372870899</v>
      </c>
      <c r="N9" s="14"/>
      <c r="O9" s="14">
        <v>0.114001342898452</v>
      </c>
      <c r="P9" s="14">
        <v>0.20381467094485001</v>
      </c>
      <c r="Q9" s="14"/>
      <c r="R9" s="14">
        <v>0.179366827951634</v>
      </c>
      <c r="S9" s="14">
        <v>0.112275638087226</v>
      </c>
      <c r="T9" s="14">
        <v>5.1198601326293801E-2</v>
      </c>
      <c r="U9" s="14">
        <v>0.106669733587475</v>
      </c>
      <c r="V9" s="14">
        <v>0.13521333637836699</v>
      </c>
      <c r="W9" s="14">
        <v>9.2917229592072895E-2</v>
      </c>
      <c r="X9" s="14">
        <v>0.119434939065412</v>
      </c>
      <c r="Y9" s="14">
        <v>0.19177243303538399</v>
      </c>
      <c r="Z9" s="14">
        <v>0.153184356237106</v>
      </c>
      <c r="AA9" s="14"/>
      <c r="AB9" s="14">
        <v>0.13093190195267801</v>
      </c>
      <c r="AC9" s="14">
        <v>0.180306400624267</v>
      </c>
      <c r="AD9" s="14">
        <v>8.3815644148016802E-2</v>
      </c>
      <c r="AE9" s="14">
        <v>0.106999895692184</v>
      </c>
      <c r="AF9" s="14"/>
      <c r="AG9" s="14">
        <v>0.19243743011492101</v>
      </c>
      <c r="AH9" s="14">
        <v>0</v>
      </c>
      <c r="AI9" s="14"/>
      <c r="AJ9" s="14">
        <v>0.12686188385923799</v>
      </c>
      <c r="AK9" s="14">
        <v>7.2465402330733703E-2</v>
      </c>
      <c r="AL9" s="14"/>
      <c r="AM9" s="14">
        <v>0.19446077038672899</v>
      </c>
      <c r="AN9" s="14">
        <v>3.59448477610795E-2</v>
      </c>
    </row>
    <row r="10" spans="2:40" x14ac:dyDescent="0.35">
      <c r="B10" s="15" t="s">
        <v>243</v>
      </c>
      <c r="C10" s="14">
        <v>0.431107874351637</v>
      </c>
      <c r="D10" s="14">
        <v>0.45489351467052902</v>
      </c>
      <c r="E10" s="14">
        <v>0.41074616987499302</v>
      </c>
      <c r="F10" s="14"/>
      <c r="G10" s="14" t="s">
        <v>76</v>
      </c>
      <c r="H10" s="14" t="s">
        <v>76</v>
      </c>
      <c r="I10" s="14">
        <v>0.431107874351637</v>
      </c>
      <c r="J10" s="14"/>
      <c r="K10" s="14" t="s">
        <v>76</v>
      </c>
      <c r="L10" s="14">
        <v>0.42419159224082997</v>
      </c>
      <c r="M10" s="14">
        <v>0.44347517610960102</v>
      </c>
      <c r="N10" s="14"/>
      <c r="O10" s="14">
        <v>0.41915394024441999</v>
      </c>
      <c r="P10" s="14">
        <v>0.50692344050508398</v>
      </c>
      <c r="Q10" s="14"/>
      <c r="R10" s="14">
        <v>0.49504255065438901</v>
      </c>
      <c r="S10" s="14">
        <v>0.45627164839884399</v>
      </c>
      <c r="T10" s="14">
        <v>0.385516625373309</v>
      </c>
      <c r="U10" s="14">
        <v>0.49988493097277698</v>
      </c>
      <c r="V10" s="14">
        <v>0.34981827989019798</v>
      </c>
      <c r="W10" s="14">
        <v>0.378645283957107</v>
      </c>
      <c r="X10" s="14">
        <v>0.39977325182526202</v>
      </c>
      <c r="Y10" s="14">
        <v>0.38360045583728603</v>
      </c>
      <c r="Z10" s="14">
        <v>0.42700593816676802</v>
      </c>
      <c r="AA10" s="14"/>
      <c r="AB10" s="14">
        <v>0.32683463509629501</v>
      </c>
      <c r="AC10" s="14">
        <v>0.51337448849178402</v>
      </c>
      <c r="AD10" s="14">
        <v>0.41989785759757597</v>
      </c>
      <c r="AE10" s="14">
        <v>0.507730178315004</v>
      </c>
      <c r="AF10" s="14"/>
      <c r="AG10" s="14">
        <v>0.46812495543712002</v>
      </c>
      <c r="AH10" s="14">
        <v>0.53939693373686504</v>
      </c>
      <c r="AI10" s="14"/>
      <c r="AJ10" s="14">
        <v>0.492411804970176</v>
      </c>
      <c r="AK10" s="14">
        <v>0.431623861103128</v>
      </c>
      <c r="AL10" s="14"/>
      <c r="AM10" s="14">
        <v>0.51982109597466397</v>
      </c>
      <c r="AN10" s="14">
        <v>0.26904914670970198</v>
      </c>
    </row>
    <row r="11" spans="2:40" x14ac:dyDescent="0.35">
      <c r="B11" s="15" t="s">
        <v>244</v>
      </c>
      <c r="C11" s="14">
        <v>0.29679235203047599</v>
      </c>
      <c r="D11" s="14">
        <v>0.25563250305805801</v>
      </c>
      <c r="E11" s="14">
        <v>0.334875436876171</v>
      </c>
      <c r="F11" s="14"/>
      <c r="G11" s="14" t="s">
        <v>76</v>
      </c>
      <c r="H11" s="14" t="s">
        <v>76</v>
      </c>
      <c r="I11" s="14">
        <v>0.29679235203047599</v>
      </c>
      <c r="J11" s="14"/>
      <c r="K11" s="14" t="s">
        <v>76</v>
      </c>
      <c r="L11" s="14">
        <v>0.294125133030396</v>
      </c>
      <c r="M11" s="14">
        <v>0.30156172113660601</v>
      </c>
      <c r="N11" s="14"/>
      <c r="O11" s="14">
        <v>0.30918920278204998</v>
      </c>
      <c r="P11" s="14">
        <v>0.21740353366153101</v>
      </c>
      <c r="Q11" s="14"/>
      <c r="R11" s="14">
        <v>0.21629697084196201</v>
      </c>
      <c r="S11" s="14">
        <v>0.32205695177885701</v>
      </c>
      <c r="T11" s="14">
        <v>0.44713418573563801</v>
      </c>
      <c r="U11" s="14">
        <v>0.294510013109619</v>
      </c>
      <c r="V11" s="14">
        <v>0.38889626822078899</v>
      </c>
      <c r="W11" s="14">
        <v>0.29348482840286699</v>
      </c>
      <c r="X11" s="14">
        <v>0.22979789639527201</v>
      </c>
      <c r="Y11" s="14">
        <v>0.252053849406913</v>
      </c>
      <c r="Z11" s="14">
        <v>0.26918695786353197</v>
      </c>
      <c r="AA11" s="14"/>
      <c r="AB11" s="14">
        <v>0.39776827193817899</v>
      </c>
      <c r="AC11" s="14">
        <v>0.21896302952787899</v>
      </c>
      <c r="AD11" s="14">
        <v>0.328395743071691</v>
      </c>
      <c r="AE11" s="14">
        <v>0.27627862641876</v>
      </c>
      <c r="AF11" s="14"/>
      <c r="AG11" s="14">
        <v>0.231309044128714</v>
      </c>
      <c r="AH11" s="14">
        <v>0.23042052596531901</v>
      </c>
      <c r="AI11" s="14"/>
      <c r="AJ11" s="14">
        <v>0.23100627005878399</v>
      </c>
      <c r="AK11" s="14">
        <v>0.36740647986491898</v>
      </c>
      <c r="AL11" s="14"/>
      <c r="AM11" s="14">
        <v>0.20107506680529399</v>
      </c>
      <c r="AN11" s="14">
        <v>0.42362024584025698</v>
      </c>
    </row>
    <row r="12" spans="2:40" x14ac:dyDescent="0.35">
      <c r="B12" s="15" t="s">
        <v>245</v>
      </c>
      <c r="C12" s="14">
        <v>9.0349861431471098E-2</v>
      </c>
      <c r="D12" s="14">
        <v>9.1253499910779301E-2</v>
      </c>
      <c r="E12" s="14">
        <v>9.0293545786380505E-2</v>
      </c>
      <c r="F12" s="14"/>
      <c r="G12" s="14" t="s">
        <v>76</v>
      </c>
      <c r="H12" s="14" t="s">
        <v>76</v>
      </c>
      <c r="I12" s="14">
        <v>9.0349861431471098E-2</v>
      </c>
      <c r="J12" s="14"/>
      <c r="K12" s="14" t="s">
        <v>76</v>
      </c>
      <c r="L12" s="14">
        <v>8.7244242062487001E-2</v>
      </c>
      <c r="M12" s="14">
        <v>9.5903153108453307E-2</v>
      </c>
      <c r="N12" s="14"/>
      <c r="O12" s="14">
        <v>0.100189681285383</v>
      </c>
      <c r="P12" s="14">
        <v>4.4567218343718101E-2</v>
      </c>
      <c r="Q12" s="14"/>
      <c r="R12" s="14">
        <v>6.7985830865226901E-2</v>
      </c>
      <c r="S12" s="14">
        <v>6.7658066141025597E-2</v>
      </c>
      <c r="T12" s="14">
        <v>4.0012495826746902E-2</v>
      </c>
      <c r="U12" s="14">
        <v>6.0059271617332703E-2</v>
      </c>
      <c r="V12" s="14">
        <v>6.6736824457113195E-2</v>
      </c>
      <c r="W12" s="14">
        <v>0.11203218829512</v>
      </c>
      <c r="X12" s="14">
        <v>0.23280803184418</v>
      </c>
      <c r="Y12" s="14">
        <v>0.139831833861077</v>
      </c>
      <c r="Z12" s="14">
        <v>9.6727164439947694E-2</v>
      </c>
      <c r="AA12" s="14"/>
      <c r="AB12" s="14">
        <v>0.102991624268622</v>
      </c>
      <c r="AC12" s="14">
        <v>7.1700300254662397E-2</v>
      </c>
      <c r="AD12" s="14">
        <v>0.125376107398111</v>
      </c>
      <c r="AE12" s="14">
        <v>8.1988341627988098E-2</v>
      </c>
      <c r="AF12" s="14"/>
      <c r="AG12" s="14">
        <v>7.8932005549386494E-2</v>
      </c>
      <c r="AH12" s="14">
        <v>0.15938236261470901</v>
      </c>
      <c r="AI12" s="14"/>
      <c r="AJ12" s="14">
        <v>0.10634650650106101</v>
      </c>
      <c r="AK12" s="14">
        <v>8.4353503384471798E-2</v>
      </c>
      <c r="AL12" s="14"/>
      <c r="AM12" s="14">
        <v>4.4517023543295099E-2</v>
      </c>
      <c r="AN12" s="14">
        <v>0.212726099985698</v>
      </c>
    </row>
    <row r="13" spans="2:40" x14ac:dyDescent="0.35">
      <c r="B13" s="15" t="s">
        <v>70</v>
      </c>
      <c r="C13" s="20">
        <v>5.39020913967172E-2</v>
      </c>
      <c r="D13" s="20">
        <v>6.0291745791110997E-2</v>
      </c>
      <c r="E13" s="20">
        <v>4.8361311915738697E-2</v>
      </c>
      <c r="F13" s="20"/>
      <c r="G13" s="20" t="s">
        <v>76</v>
      </c>
      <c r="H13" s="20" t="s">
        <v>76</v>
      </c>
      <c r="I13" s="20">
        <v>5.39020913967172E-2</v>
      </c>
      <c r="J13" s="20"/>
      <c r="K13" s="20" t="s">
        <v>76</v>
      </c>
      <c r="L13" s="20">
        <v>5.4408127802643598E-2</v>
      </c>
      <c r="M13" s="20">
        <v>5.2997225916631002E-2</v>
      </c>
      <c r="N13" s="20"/>
      <c r="O13" s="20">
        <v>5.7465832789694603E-2</v>
      </c>
      <c r="P13" s="20">
        <v>2.7291136544818101E-2</v>
      </c>
      <c r="Q13" s="20"/>
      <c r="R13" s="20">
        <v>4.1307819686788302E-2</v>
      </c>
      <c r="S13" s="20">
        <v>4.1737695594048101E-2</v>
      </c>
      <c r="T13" s="20">
        <v>7.6138091738012198E-2</v>
      </c>
      <c r="U13" s="20">
        <v>3.8876050712796997E-2</v>
      </c>
      <c r="V13" s="20">
        <v>5.93352910535331E-2</v>
      </c>
      <c r="W13" s="20">
        <v>0.12292046975283299</v>
      </c>
      <c r="X13" s="20">
        <v>1.8185880869874299E-2</v>
      </c>
      <c r="Y13" s="20">
        <v>3.2741427859339603E-2</v>
      </c>
      <c r="Z13" s="20">
        <v>5.3895583292646702E-2</v>
      </c>
      <c r="AA13" s="20"/>
      <c r="AB13" s="20">
        <v>4.14735667442259E-2</v>
      </c>
      <c r="AC13" s="20">
        <v>1.5655781101407501E-2</v>
      </c>
      <c r="AD13" s="20">
        <v>4.25146477846053E-2</v>
      </c>
      <c r="AE13" s="20">
        <v>2.70029579460641E-2</v>
      </c>
      <c r="AF13" s="20"/>
      <c r="AG13" s="20">
        <v>2.91965647698584E-2</v>
      </c>
      <c r="AH13" s="20">
        <v>7.08001776831063E-2</v>
      </c>
      <c r="AI13" s="20"/>
      <c r="AJ13" s="20">
        <v>4.3373534610741303E-2</v>
      </c>
      <c r="AK13" s="20">
        <v>4.4150753316748198E-2</v>
      </c>
      <c r="AL13" s="20"/>
      <c r="AM13" s="20">
        <v>4.0126043290017697E-2</v>
      </c>
      <c r="AN13" s="20">
        <v>5.8659659703263103E-2</v>
      </c>
    </row>
    <row r="14" spans="2:40" x14ac:dyDescent="0.35">
      <c r="B14" s="27" t="s">
        <v>273</v>
      </c>
    </row>
    <row r="15" spans="2:40" x14ac:dyDescent="0.35">
      <c r="B15" t="s">
        <v>72</v>
      </c>
    </row>
    <row r="16" spans="2:40" x14ac:dyDescent="0.35">
      <c r="B16" t="s">
        <v>73</v>
      </c>
    </row>
    <row r="18" spans="2:2" x14ac:dyDescent="0.35">
      <c r="B18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B2:AN16"/>
  <sheetViews>
    <sheetView showGridLines="0" workbookViewId="0">
      <pane xSplit="2" topLeftCell="C1" activePane="topRight" state="frozen"/>
      <selection pane="topRight" activeCell="B15" sqref="B15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265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1216</v>
      </c>
      <c r="D7" s="10">
        <v>613</v>
      </c>
      <c r="E7" s="10">
        <v>598</v>
      </c>
      <c r="F7" s="10"/>
      <c r="G7" s="10" t="s">
        <v>75</v>
      </c>
      <c r="H7" s="10" t="s">
        <v>75</v>
      </c>
      <c r="I7" s="10">
        <v>1216</v>
      </c>
      <c r="J7" s="10"/>
      <c r="K7" s="10" t="s">
        <v>75</v>
      </c>
      <c r="L7" s="10">
        <v>924</v>
      </c>
      <c r="M7" s="10">
        <v>292</v>
      </c>
      <c r="N7" s="10"/>
      <c r="O7" s="10">
        <v>1020</v>
      </c>
      <c r="P7" s="10">
        <v>166</v>
      </c>
      <c r="Q7" s="10"/>
      <c r="R7" s="10">
        <v>177</v>
      </c>
      <c r="S7" s="10">
        <v>216</v>
      </c>
      <c r="T7" s="10">
        <v>97</v>
      </c>
      <c r="U7" s="10">
        <v>116</v>
      </c>
      <c r="V7" s="10">
        <v>104</v>
      </c>
      <c r="W7" s="10">
        <v>152</v>
      </c>
      <c r="X7" s="10">
        <v>76</v>
      </c>
      <c r="Y7" s="10">
        <v>70</v>
      </c>
      <c r="Z7" s="10">
        <v>208</v>
      </c>
      <c r="AA7" s="10"/>
      <c r="AB7" s="10">
        <v>152</v>
      </c>
      <c r="AC7" s="10">
        <v>147</v>
      </c>
      <c r="AD7" s="10">
        <v>152</v>
      </c>
      <c r="AE7" s="10">
        <v>106</v>
      </c>
      <c r="AF7" s="10"/>
      <c r="AG7" s="10">
        <v>95</v>
      </c>
      <c r="AH7" s="10">
        <v>46</v>
      </c>
      <c r="AI7" s="10"/>
      <c r="AJ7" s="10">
        <v>141</v>
      </c>
      <c r="AK7" s="10">
        <v>131</v>
      </c>
      <c r="AL7" s="10"/>
      <c r="AM7" s="10">
        <v>626</v>
      </c>
      <c r="AN7" s="10">
        <v>310</v>
      </c>
    </row>
    <row r="8" spans="2:40" ht="30" customHeight="1" x14ac:dyDescent="0.35">
      <c r="B8" s="11" t="s">
        <v>20</v>
      </c>
      <c r="C8" s="11">
        <v>1136</v>
      </c>
      <c r="D8" s="11">
        <v>540</v>
      </c>
      <c r="E8" s="11">
        <v>591</v>
      </c>
      <c r="F8" s="11"/>
      <c r="G8" s="11" t="s">
        <v>75</v>
      </c>
      <c r="H8" s="11" t="s">
        <v>75</v>
      </c>
      <c r="I8" s="11">
        <v>1136</v>
      </c>
      <c r="J8" s="11"/>
      <c r="K8" s="11" t="s">
        <v>75</v>
      </c>
      <c r="L8" s="11">
        <v>745</v>
      </c>
      <c r="M8" s="11">
        <v>391</v>
      </c>
      <c r="N8" s="11"/>
      <c r="O8" s="11">
        <v>946</v>
      </c>
      <c r="P8" s="11">
        <v>161</v>
      </c>
      <c r="Q8" s="11"/>
      <c r="R8" s="11">
        <v>183</v>
      </c>
      <c r="S8" s="11">
        <v>192</v>
      </c>
      <c r="T8" s="11">
        <v>104</v>
      </c>
      <c r="U8" s="11">
        <v>121</v>
      </c>
      <c r="V8" s="11">
        <v>99</v>
      </c>
      <c r="W8" s="11">
        <v>112</v>
      </c>
      <c r="X8" s="11">
        <v>107</v>
      </c>
      <c r="Y8" s="11">
        <v>62</v>
      </c>
      <c r="Z8" s="11">
        <v>157</v>
      </c>
      <c r="AA8" s="11"/>
      <c r="AB8" s="11">
        <v>117</v>
      </c>
      <c r="AC8" s="11">
        <v>117</v>
      </c>
      <c r="AD8" s="11">
        <v>211</v>
      </c>
      <c r="AE8" s="11">
        <v>141</v>
      </c>
      <c r="AF8" s="11"/>
      <c r="AG8" s="11">
        <v>117</v>
      </c>
      <c r="AH8" s="11">
        <v>63</v>
      </c>
      <c r="AI8" s="11"/>
      <c r="AJ8" s="11">
        <v>180</v>
      </c>
      <c r="AK8" s="11">
        <v>185</v>
      </c>
      <c r="AL8" s="11"/>
      <c r="AM8" s="11">
        <v>567</v>
      </c>
      <c r="AN8" s="11">
        <v>311</v>
      </c>
    </row>
    <row r="9" spans="2:40" x14ac:dyDescent="0.35">
      <c r="B9" s="15" t="s">
        <v>44</v>
      </c>
      <c r="C9" s="14">
        <v>0.61964350134349599</v>
      </c>
      <c r="D9" s="14">
        <v>0.65382340406623596</v>
      </c>
      <c r="E9" s="14">
        <v>0.58960525159320798</v>
      </c>
      <c r="F9" s="14"/>
      <c r="G9" s="14" t="s">
        <v>76</v>
      </c>
      <c r="H9" s="14" t="s">
        <v>76</v>
      </c>
      <c r="I9" s="14">
        <v>0.61964350134349599</v>
      </c>
      <c r="J9" s="14"/>
      <c r="K9" s="14" t="s">
        <v>76</v>
      </c>
      <c r="L9" s="14">
        <v>0.58048729025399104</v>
      </c>
      <c r="M9" s="14">
        <v>0.69410825304433399</v>
      </c>
      <c r="N9" s="14"/>
      <c r="O9" s="14">
        <v>0.61229522379296297</v>
      </c>
      <c r="P9" s="14">
        <v>0.71745743625274305</v>
      </c>
      <c r="Q9" s="14"/>
      <c r="R9" s="14">
        <v>0.66179612294186296</v>
      </c>
      <c r="S9" s="14">
        <v>0.63292463097715801</v>
      </c>
      <c r="T9" s="14">
        <v>0.555186786868483</v>
      </c>
      <c r="U9" s="14">
        <v>0.609427199841583</v>
      </c>
      <c r="V9" s="14">
        <v>0.66137387902907196</v>
      </c>
      <c r="W9" s="14">
        <v>0.59513089119234097</v>
      </c>
      <c r="X9" s="14">
        <v>0.566567100013324</v>
      </c>
      <c r="Y9" s="14">
        <v>0.639282955005124</v>
      </c>
      <c r="Z9" s="14">
        <v>0.62436625374797505</v>
      </c>
      <c r="AA9" s="14"/>
      <c r="AB9" s="14">
        <v>0.68374088366669095</v>
      </c>
      <c r="AC9" s="14">
        <v>0.76535561744007696</v>
      </c>
      <c r="AD9" s="14">
        <v>0.65607322152802205</v>
      </c>
      <c r="AE9" s="14">
        <v>0.82224521370279202</v>
      </c>
      <c r="AF9" s="14"/>
      <c r="AG9" s="14">
        <v>0.77895808214003104</v>
      </c>
      <c r="AH9" s="14">
        <v>0.69166920192149794</v>
      </c>
      <c r="AI9" s="14"/>
      <c r="AJ9" s="14">
        <v>0.74845062406519103</v>
      </c>
      <c r="AK9" s="14">
        <v>0.67232017288000201</v>
      </c>
      <c r="AL9" s="14"/>
      <c r="AM9" s="14">
        <v>0.67196016667773595</v>
      </c>
      <c r="AN9" s="14">
        <v>0.546862228399701</v>
      </c>
    </row>
    <row r="10" spans="2:40" x14ac:dyDescent="0.35">
      <c r="B10" s="15" t="s">
        <v>45</v>
      </c>
      <c r="C10" s="14">
        <v>0.29915299620178099</v>
      </c>
      <c r="D10" s="14">
        <v>0.27579255903798899</v>
      </c>
      <c r="E10" s="14">
        <v>0.32008293104440999</v>
      </c>
      <c r="F10" s="14"/>
      <c r="G10" s="14" t="s">
        <v>76</v>
      </c>
      <c r="H10" s="14" t="s">
        <v>76</v>
      </c>
      <c r="I10" s="14">
        <v>0.29915299620178099</v>
      </c>
      <c r="J10" s="14"/>
      <c r="K10" s="14" t="s">
        <v>76</v>
      </c>
      <c r="L10" s="14">
        <v>0.33740644621750199</v>
      </c>
      <c r="M10" s="14">
        <v>0.226405057168308</v>
      </c>
      <c r="N10" s="14"/>
      <c r="O10" s="14">
        <v>0.302618763400544</v>
      </c>
      <c r="P10" s="14">
        <v>0.23435890584403701</v>
      </c>
      <c r="Q10" s="14"/>
      <c r="R10" s="14">
        <v>0.31313515866599501</v>
      </c>
      <c r="S10" s="14">
        <v>0.297461179030372</v>
      </c>
      <c r="T10" s="14">
        <v>0.28146009587631299</v>
      </c>
      <c r="U10" s="14">
        <v>0.27467417162443503</v>
      </c>
      <c r="V10" s="14">
        <v>0.245831791054029</v>
      </c>
      <c r="W10" s="14">
        <v>0.30108281317577601</v>
      </c>
      <c r="X10" s="14">
        <v>0.33565096741316403</v>
      </c>
      <c r="Y10" s="14">
        <v>0.28632596581755698</v>
      </c>
      <c r="Z10" s="14">
        <v>0.32785949303289302</v>
      </c>
      <c r="AA10" s="14"/>
      <c r="AB10" s="14">
        <v>0.25696053493016202</v>
      </c>
      <c r="AC10" s="14">
        <v>0.18485239253580499</v>
      </c>
      <c r="AD10" s="14">
        <v>0.238784937734587</v>
      </c>
      <c r="AE10" s="14">
        <v>0.13855279191244799</v>
      </c>
      <c r="AF10" s="14"/>
      <c r="AG10" s="14">
        <v>0.14470029470360099</v>
      </c>
      <c r="AH10" s="14">
        <v>0.22902047299275899</v>
      </c>
      <c r="AI10" s="14"/>
      <c r="AJ10" s="14">
        <v>0.17417019164327199</v>
      </c>
      <c r="AK10" s="14">
        <v>0.24567181768789201</v>
      </c>
      <c r="AL10" s="14"/>
      <c r="AM10" s="14">
        <v>0.276194256050392</v>
      </c>
      <c r="AN10" s="14">
        <v>0.36467864072446698</v>
      </c>
    </row>
    <row r="11" spans="2:40" x14ac:dyDescent="0.35">
      <c r="B11" s="15" t="s">
        <v>70</v>
      </c>
      <c r="C11" s="20">
        <v>8.1203502454722798E-2</v>
      </c>
      <c r="D11" s="20">
        <v>7.0384036895775895E-2</v>
      </c>
      <c r="E11" s="20">
        <v>9.0311817362382502E-2</v>
      </c>
      <c r="F11" s="20"/>
      <c r="G11" s="20" t="s">
        <v>76</v>
      </c>
      <c r="H11" s="20" t="s">
        <v>76</v>
      </c>
      <c r="I11" s="20">
        <v>8.1203502454722798E-2</v>
      </c>
      <c r="J11" s="20"/>
      <c r="K11" s="20" t="s">
        <v>76</v>
      </c>
      <c r="L11" s="20">
        <v>8.2106263528506501E-2</v>
      </c>
      <c r="M11" s="20">
        <v>7.9486689787357595E-2</v>
      </c>
      <c r="N11" s="20"/>
      <c r="O11" s="20">
        <v>8.5086012806493402E-2</v>
      </c>
      <c r="P11" s="20">
        <v>4.8183657903220302E-2</v>
      </c>
      <c r="Q11" s="20"/>
      <c r="R11" s="20">
        <v>2.5068718392141798E-2</v>
      </c>
      <c r="S11" s="20">
        <v>6.9614189992470599E-2</v>
      </c>
      <c r="T11" s="20">
        <v>0.16335311725520299</v>
      </c>
      <c r="U11" s="20">
        <v>0.115898628533983</v>
      </c>
      <c r="V11" s="20">
        <v>9.2794329916899496E-2</v>
      </c>
      <c r="W11" s="20">
        <v>0.103786295631884</v>
      </c>
      <c r="X11" s="20">
        <v>9.7781932573511796E-2</v>
      </c>
      <c r="Y11" s="20">
        <v>7.4391079177319505E-2</v>
      </c>
      <c r="Z11" s="20">
        <v>4.7774253219131597E-2</v>
      </c>
      <c r="AA11" s="20"/>
      <c r="AB11" s="20">
        <v>5.9298581403147199E-2</v>
      </c>
      <c r="AC11" s="20">
        <v>4.9791990024118202E-2</v>
      </c>
      <c r="AD11" s="20">
        <v>0.105141840737391</v>
      </c>
      <c r="AE11" s="20">
        <v>3.9201994384759999E-2</v>
      </c>
      <c r="AF11" s="20"/>
      <c r="AG11" s="20">
        <v>7.6341623156367999E-2</v>
      </c>
      <c r="AH11" s="20">
        <v>7.9310325085743996E-2</v>
      </c>
      <c r="AI11" s="20"/>
      <c r="AJ11" s="20">
        <v>7.7379184291536604E-2</v>
      </c>
      <c r="AK11" s="20">
        <v>8.2008009432105899E-2</v>
      </c>
      <c r="AL11" s="20"/>
      <c r="AM11" s="20">
        <v>5.1845577271872403E-2</v>
      </c>
      <c r="AN11" s="20">
        <v>8.8459130875832195E-2</v>
      </c>
    </row>
    <row r="12" spans="2:40" x14ac:dyDescent="0.35">
      <c r="B12" s="27" t="s">
        <v>390</v>
      </c>
    </row>
    <row r="13" spans="2:40" x14ac:dyDescent="0.35">
      <c r="B13" t="s">
        <v>72</v>
      </c>
    </row>
    <row r="14" spans="2:40" x14ac:dyDescent="0.35">
      <c r="B14" t="s">
        <v>73</v>
      </c>
    </row>
    <row r="16" spans="2:40" x14ac:dyDescent="0.35">
      <c r="B16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B2:AN18"/>
  <sheetViews>
    <sheetView showGridLines="0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266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747</v>
      </c>
      <c r="D7" s="10">
        <v>399</v>
      </c>
      <c r="E7" s="10">
        <v>345</v>
      </c>
      <c r="F7" s="10"/>
      <c r="G7" s="10" t="s">
        <v>75</v>
      </c>
      <c r="H7" s="10" t="s">
        <v>75</v>
      </c>
      <c r="I7" s="10">
        <v>747</v>
      </c>
      <c r="J7" s="10"/>
      <c r="K7" s="10" t="s">
        <v>75</v>
      </c>
      <c r="L7" s="10">
        <v>542</v>
      </c>
      <c r="M7" s="10">
        <v>205</v>
      </c>
      <c r="N7" s="10"/>
      <c r="O7" s="10">
        <v>618</v>
      </c>
      <c r="P7" s="10">
        <v>119</v>
      </c>
      <c r="Q7" s="10"/>
      <c r="R7" s="10">
        <v>115</v>
      </c>
      <c r="S7" s="10">
        <v>135</v>
      </c>
      <c r="T7" s="10">
        <v>54</v>
      </c>
      <c r="U7" s="10">
        <v>69</v>
      </c>
      <c r="V7" s="10">
        <v>66</v>
      </c>
      <c r="W7" s="10">
        <v>90</v>
      </c>
      <c r="X7" s="10">
        <v>43</v>
      </c>
      <c r="Y7" s="10">
        <v>44</v>
      </c>
      <c r="Z7" s="10">
        <v>131</v>
      </c>
      <c r="AA7" s="10"/>
      <c r="AB7" s="10">
        <v>105</v>
      </c>
      <c r="AC7" s="10">
        <v>114</v>
      </c>
      <c r="AD7" s="10">
        <v>101</v>
      </c>
      <c r="AE7" s="10">
        <v>87</v>
      </c>
      <c r="AF7" s="10"/>
      <c r="AG7" s="10">
        <v>75</v>
      </c>
      <c r="AH7" s="10">
        <v>32</v>
      </c>
      <c r="AI7" s="10"/>
      <c r="AJ7" s="10">
        <v>107</v>
      </c>
      <c r="AK7" s="10">
        <v>87</v>
      </c>
      <c r="AL7" s="10"/>
      <c r="AM7" s="10">
        <v>420</v>
      </c>
      <c r="AN7" s="10">
        <v>168</v>
      </c>
    </row>
    <row r="8" spans="2:40" ht="30" customHeight="1" x14ac:dyDescent="0.35">
      <c r="B8" s="11" t="s">
        <v>20</v>
      </c>
      <c r="C8" s="11">
        <v>704</v>
      </c>
      <c r="D8" s="11">
        <v>353</v>
      </c>
      <c r="E8" s="11">
        <v>348</v>
      </c>
      <c r="F8" s="11"/>
      <c r="G8" s="11" t="s">
        <v>75</v>
      </c>
      <c r="H8" s="11" t="s">
        <v>75</v>
      </c>
      <c r="I8" s="11">
        <v>704</v>
      </c>
      <c r="J8" s="11"/>
      <c r="K8" s="11" t="s">
        <v>75</v>
      </c>
      <c r="L8" s="11">
        <v>432</v>
      </c>
      <c r="M8" s="11">
        <v>272</v>
      </c>
      <c r="N8" s="11"/>
      <c r="O8" s="11">
        <v>579</v>
      </c>
      <c r="P8" s="11">
        <v>116</v>
      </c>
      <c r="Q8" s="11"/>
      <c r="R8" s="11">
        <v>121</v>
      </c>
      <c r="S8" s="11">
        <v>122</v>
      </c>
      <c r="T8" s="11">
        <v>58</v>
      </c>
      <c r="U8" s="11">
        <v>73</v>
      </c>
      <c r="V8" s="11">
        <v>65</v>
      </c>
      <c r="W8" s="11">
        <v>67</v>
      </c>
      <c r="X8" s="11">
        <v>61</v>
      </c>
      <c r="Y8" s="11">
        <v>40</v>
      </c>
      <c r="Z8" s="11">
        <v>98</v>
      </c>
      <c r="AA8" s="11"/>
      <c r="AB8" s="11">
        <v>80</v>
      </c>
      <c r="AC8" s="11">
        <v>89</v>
      </c>
      <c r="AD8" s="11">
        <v>139</v>
      </c>
      <c r="AE8" s="11">
        <v>116</v>
      </c>
      <c r="AF8" s="11"/>
      <c r="AG8" s="11">
        <v>91</v>
      </c>
      <c r="AH8" s="11">
        <v>44</v>
      </c>
      <c r="AI8" s="11"/>
      <c r="AJ8" s="11">
        <v>135</v>
      </c>
      <c r="AK8" s="11">
        <v>124</v>
      </c>
      <c r="AL8" s="11"/>
      <c r="AM8" s="11">
        <v>381</v>
      </c>
      <c r="AN8" s="11">
        <v>170</v>
      </c>
    </row>
    <row r="9" spans="2:40" x14ac:dyDescent="0.35">
      <c r="B9" s="15" t="s">
        <v>155</v>
      </c>
      <c r="C9" s="14">
        <v>0.181861896962593</v>
      </c>
      <c r="D9" s="14">
        <v>0.186401077370316</v>
      </c>
      <c r="E9" s="14">
        <v>0.17613669799173001</v>
      </c>
      <c r="F9" s="14"/>
      <c r="G9" s="14" t="s">
        <v>76</v>
      </c>
      <c r="H9" s="14" t="s">
        <v>76</v>
      </c>
      <c r="I9" s="14">
        <v>0.181861896962593</v>
      </c>
      <c r="J9" s="14"/>
      <c r="K9" s="14" t="s">
        <v>76</v>
      </c>
      <c r="L9" s="14">
        <v>0.18403805078361599</v>
      </c>
      <c r="M9" s="14">
        <v>0.17840086841257999</v>
      </c>
      <c r="N9" s="14"/>
      <c r="O9" s="14">
        <v>0.16502936755842701</v>
      </c>
      <c r="P9" s="14">
        <v>0.27489538598590302</v>
      </c>
      <c r="Q9" s="14"/>
      <c r="R9" s="14">
        <v>0.23931843530752001</v>
      </c>
      <c r="S9" s="14">
        <v>0.17475908175729299</v>
      </c>
      <c r="T9" s="14">
        <v>0.18637626068393101</v>
      </c>
      <c r="U9" s="14">
        <v>0.13814819323373001</v>
      </c>
      <c r="V9" s="14">
        <v>0.208437291800594</v>
      </c>
      <c r="W9" s="14">
        <v>0.18137381964666</v>
      </c>
      <c r="X9" s="14">
        <v>7.9936834383761493E-2</v>
      </c>
      <c r="Y9" s="14">
        <v>0.17617348143317199</v>
      </c>
      <c r="Z9" s="14">
        <v>0.19775522755187899</v>
      </c>
      <c r="AA9" s="14"/>
      <c r="AB9" s="14">
        <v>0.18096717814676699</v>
      </c>
      <c r="AC9" s="14">
        <v>0.21047720417843499</v>
      </c>
      <c r="AD9" s="14">
        <v>0.12991500401925099</v>
      </c>
      <c r="AE9" s="14">
        <v>0.20181481454834899</v>
      </c>
      <c r="AF9" s="14"/>
      <c r="AG9" s="14">
        <v>0.322508531806668</v>
      </c>
      <c r="AH9" s="14">
        <v>0.129562390240133</v>
      </c>
      <c r="AI9" s="14"/>
      <c r="AJ9" s="14">
        <v>0.26018981784164402</v>
      </c>
      <c r="AK9" s="14">
        <v>8.6582065407845604E-2</v>
      </c>
      <c r="AL9" s="14"/>
      <c r="AM9" s="14">
        <v>0.25017445249992598</v>
      </c>
      <c r="AN9" s="14">
        <v>0.134194284947276</v>
      </c>
    </row>
    <row r="10" spans="2:40" x14ac:dyDescent="0.35">
      <c r="B10" s="15" t="s">
        <v>156</v>
      </c>
      <c r="C10" s="14">
        <v>0.53571100945523598</v>
      </c>
      <c r="D10" s="14">
        <v>0.54778319167728995</v>
      </c>
      <c r="E10" s="14">
        <v>0.52702931023636301</v>
      </c>
      <c r="F10" s="14"/>
      <c r="G10" s="14" t="s">
        <v>76</v>
      </c>
      <c r="H10" s="14" t="s">
        <v>76</v>
      </c>
      <c r="I10" s="14">
        <v>0.53571100945523598</v>
      </c>
      <c r="J10" s="14"/>
      <c r="K10" s="14" t="s">
        <v>76</v>
      </c>
      <c r="L10" s="14">
        <v>0.54144635722341605</v>
      </c>
      <c r="M10" s="14">
        <v>0.52658931861786995</v>
      </c>
      <c r="N10" s="14"/>
      <c r="O10" s="14">
        <v>0.54014516945806201</v>
      </c>
      <c r="P10" s="14">
        <v>0.52867186906485197</v>
      </c>
      <c r="Q10" s="14"/>
      <c r="R10" s="14">
        <v>0.51639066827017999</v>
      </c>
      <c r="S10" s="14">
        <v>0.54805718723380004</v>
      </c>
      <c r="T10" s="14">
        <v>0.55683302670451895</v>
      </c>
      <c r="U10" s="14">
        <v>0.58800265242349803</v>
      </c>
      <c r="V10" s="14">
        <v>0.465961478452389</v>
      </c>
      <c r="W10" s="14">
        <v>0.54332981239335099</v>
      </c>
      <c r="X10" s="14">
        <v>0.57921644902548397</v>
      </c>
      <c r="Y10" s="14">
        <v>0.57094627066458703</v>
      </c>
      <c r="Z10" s="14">
        <v>0.49265855780380502</v>
      </c>
      <c r="AA10" s="14"/>
      <c r="AB10" s="14">
        <v>0.48357120462205799</v>
      </c>
      <c r="AC10" s="14">
        <v>0.55600965664197599</v>
      </c>
      <c r="AD10" s="14">
        <v>0.57528458064716304</v>
      </c>
      <c r="AE10" s="14">
        <v>0.51455730105796904</v>
      </c>
      <c r="AF10" s="14"/>
      <c r="AG10" s="14">
        <v>0.40470400808128398</v>
      </c>
      <c r="AH10" s="14">
        <v>0.636864900036335</v>
      </c>
      <c r="AI10" s="14"/>
      <c r="AJ10" s="14">
        <v>0.47968849910113998</v>
      </c>
      <c r="AK10" s="14">
        <v>0.58257853579600805</v>
      </c>
      <c r="AL10" s="14"/>
      <c r="AM10" s="14">
        <v>0.55150751016451904</v>
      </c>
      <c r="AN10" s="14">
        <v>0.45740086724829698</v>
      </c>
    </row>
    <row r="11" spans="2:40" x14ac:dyDescent="0.35">
      <c r="B11" s="15" t="s">
        <v>157</v>
      </c>
      <c r="C11" s="14">
        <v>0.20189195593789</v>
      </c>
      <c r="D11" s="14">
        <v>0.20199362563366899</v>
      </c>
      <c r="E11" s="14">
        <v>0.20090615404789899</v>
      </c>
      <c r="F11" s="14"/>
      <c r="G11" s="14" t="s">
        <v>76</v>
      </c>
      <c r="H11" s="14" t="s">
        <v>76</v>
      </c>
      <c r="I11" s="14">
        <v>0.20189195593789</v>
      </c>
      <c r="J11" s="14"/>
      <c r="K11" s="14" t="s">
        <v>76</v>
      </c>
      <c r="L11" s="14">
        <v>0.20758392033445799</v>
      </c>
      <c r="M11" s="14">
        <v>0.192839263480277</v>
      </c>
      <c r="N11" s="14"/>
      <c r="O11" s="14">
        <v>0.21008763058122701</v>
      </c>
      <c r="P11" s="14">
        <v>0.154722769568339</v>
      </c>
      <c r="Q11" s="14"/>
      <c r="R11" s="14">
        <v>0.21343957741226999</v>
      </c>
      <c r="S11" s="14">
        <v>0.21390304311133501</v>
      </c>
      <c r="T11" s="14">
        <v>0.19364336822889699</v>
      </c>
      <c r="U11" s="14">
        <v>0.15272358420011101</v>
      </c>
      <c r="V11" s="14">
        <v>0.22003749709950901</v>
      </c>
      <c r="W11" s="14">
        <v>0.216241148972799</v>
      </c>
      <c r="X11" s="14">
        <v>0.21755873163961401</v>
      </c>
      <c r="Y11" s="14">
        <v>0.10183592673816901</v>
      </c>
      <c r="Z11" s="14">
        <v>0.22359433989313601</v>
      </c>
      <c r="AA11" s="14"/>
      <c r="AB11" s="14">
        <v>0.280468151275024</v>
      </c>
      <c r="AC11" s="14">
        <v>0.18902070713406499</v>
      </c>
      <c r="AD11" s="14">
        <v>0.21008822350747799</v>
      </c>
      <c r="AE11" s="14">
        <v>0.160921350831885</v>
      </c>
      <c r="AF11" s="14"/>
      <c r="AG11" s="14">
        <v>0.20257227965188199</v>
      </c>
      <c r="AH11" s="14">
        <v>0.18911478443181801</v>
      </c>
      <c r="AI11" s="14"/>
      <c r="AJ11" s="14">
        <v>0.19822571024916799</v>
      </c>
      <c r="AK11" s="14">
        <v>0.20671019007670399</v>
      </c>
      <c r="AL11" s="14"/>
      <c r="AM11" s="14">
        <v>0.13292089067916901</v>
      </c>
      <c r="AN11" s="14">
        <v>0.27959906151646902</v>
      </c>
    </row>
    <row r="12" spans="2:40" x14ac:dyDescent="0.35">
      <c r="B12" s="15" t="s">
        <v>158</v>
      </c>
      <c r="C12" s="14">
        <v>7.8015155086081797E-2</v>
      </c>
      <c r="D12" s="14">
        <v>6.3822105318724703E-2</v>
      </c>
      <c r="E12" s="14">
        <v>9.0834505823667505E-2</v>
      </c>
      <c r="F12" s="14"/>
      <c r="G12" s="14" t="s">
        <v>76</v>
      </c>
      <c r="H12" s="14" t="s">
        <v>76</v>
      </c>
      <c r="I12" s="14">
        <v>7.8015155086081797E-2</v>
      </c>
      <c r="J12" s="14"/>
      <c r="K12" s="14" t="s">
        <v>76</v>
      </c>
      <c r="L12" s="14">
        <v>6.2827226680053694E-2</v>
      </c>
      <c r="M12" s="14">
        <v>0.102170549489273</v>
      </c>
      <c r="N12" s="14"/>
      <c r="O12" s="14">
        <v>8.1675830110688005E-2</v>
      </c>
      <c r="P12" s="14">
        <v>4.1709975380906102E-2</v>
      </c>
      <c r="Q12" s="14"/>
      <c r="R12" s="14">
        <v>3.0851319010029798E-2</v>
      </c>
      <c r="S12" s="14">
        <v>5.7121181320843303E-2</v>
      </c>
      <c r="T12" s="14">
        <v>6.3147344382652904E-2</v>
      </c>
      <c r="U12" s="14">
        <v>0.107173654180255</v>
      </c>
      <c r="V12" s="14">
        <v>0.105563732647509</v>
      </c>
      <c r="W12" s="14">
        <v>5.9055218987189698E-2</v>
      </c>
      <c r="X12" s="14">
        <v>0.123287984951141</v>
      </c>
      <c r="Y12" s="14">
        <v>0.15104432116407199</v>
      </c>
      <c r="Z12" s="14">
        <v>8.59918747511801E-2</v>
      </c>
      <c r="AA12" s="14"/>
      <c r="AB12" s="14">
        <v>5.4993465956150803E-2</v>
      </c>
      <c r="AC12" s="14">
        <v>4.4492432045523597E-2</v>
      </c>
      <c r="AD12" s="14">
        <v>8.4712191826107799E-2</v>
      </c>
      <c r="AE12" s="14">
        <v>0.122706533561797</v>
      </c>
      <c r="AF12" s="14"/>
      <c r="AG12" s="14">
        <v>7.0215180460166102E-2</v>
      </c>
      <c r="AH12" s="14">
        <v>4.4457925291714502E-2</v>
      </c>
      <c r="AI12" s="14"/>
      <c r="AJ12" s="14">
        <v>6.1895972808048497E-2</v>
      </c>
      <c r="AK12" s="14">
        <v>0.124129208719442</v>
      </c>
      <c r="AL12" s="14"/>
      <c r="AM12" s="14">
        <v>6.5397146656384894E-2</v>
      </c>
      <c r="AN12" s="14">
        <v>0.12440929573842099</v>
      </c>
    </row>
    <row r="13" spans="2:40" x14ac:dyDescent="0.35">
      <c r="B13" s="15" t="s">
        <v>70</v>
      </c>
      <c r="C13" s="20">
        <v>2.51998255819853E-3</v>
      </c>
      <c r="D13" s="20">
        <v>0</v>
      </c>
      <c r="E13" s="20">
        <v>5.0933319003407104E-3</v>
      </c>
      <c r="F13" s="20"/>
      <c r="G13" s="20" t="s">
        <v>76</v>
      </c>
      <c r="H13" s="20" t="s">
        <v>76</v>
      </c>
      <c r="I13" s="20">
        <v>2.51998255819853E-3</v>
      </c>
      <c r="J13" s="20"/>
      <c r="K13" s="20" t="s">
        <v>76</v>
      </c>
      <c r="L13" s="20">
        <v>4.1044449784562002E-3</v>
      </c>
      <c r="M13" s="20">
        <v>0</v>
      </c>
      <c r="N13" s="20"/>
      <c r="O13" s="20">
        <v>3.0620022915952101E-3</v>
      </c>
      <c r="P13" s="20">
        <v>0</v>
      </c>
      <c r="Q13" s="20"/>
      <c r="R13" s="20">
        <v>0</v>
      </c>
      <c r="S13" s="20">
        <v>6.1595065767279704E-3</v>
      </c>
      <c r="T13" s="20">
        <v>0</v>
      </c>
      <c r="U13" s="20">
        <v>1.3951915962407E-2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/>
      <c r="AB13" s="20">
        <v>0</v>
      </c>
      <c r="AC13" s="20">
        <v>0</v>
      </c>
      <c r="AD13" s="20">
        <v>0</v>
      </c>
      <c r="AE13" s="20">
        <v>0</v>
      </c>
      <c r="AF13" s="20"/>
      <c r="AG13" s="20">
        <v>0</v>
      </c>
      <c r="AH13" s="20">
        <v>0</v>
      </c>
      <c r="AI13" s="20"/>
      <c r="AJ13" s="20">
        <v>0</v>
      </c>
      <c r="AK13" s="20">
        <v>0</v>
      </c>
      <c r="AL13" s="20"/>
      <c r="AM13" s="20">
        <v>0</v>
      </c>
      <c r="AN13" s="20">
        <v>4.3964905495377602E-3</v>
      </c>
    </row>
    <row r="14" spans="2:40" x14ac:dyDescent="0.35">
      <c r="B14" s="27" t="s">
        <v>391</v>
      </c>
    </row>
    <row r="15" spans="2:40" x14ac:dyDescent="0.35">
      <c r="B15" t="s">
        <v>72</v>
      </c>
    </row>
    <row r="16" spans="2:40" x14ac:dyDescent="0.35">
      <c r="B16" t="s">
        <v>73</v>
      </c>
    </row>
    <row r="18" spans="2:2" x14ac:dyDescent="0.35">
      <c r="B18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B2:AN19"/>
  <sheetViews>
    <sheetView showGridLines="0" workbookViewId="0">
      <pane xSplit="2" topLeftCell="C1" activePane="topRight" state="frozen"/>
      <selection pane="topRight" activeCell="B18" sqref="B18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268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747</v>
      </c>
      <c r="D7" s="10">
        <v>399</v>
      </c>
      <c r="E7" s="10">
        <v>345</v>
      </c>
      <c r="F7" s="10"/>
      <c r="G7" s="10" t="s">
        <v>75</v>
      </c>
      <c r="H7" s="10" t="s">
        <v>75</v>
      </c>
      <c r="I7" s="10">
        <v>747</v>
      </c>
      <c r="J7" s="10"/>
      <c r="K7" s="10" t="s">
        <v>75</v>
      </c>
      <c r="L7" s="10">
        <v>542</v>
      </c>
      <c r="M7" s="10">
        <v>205</v>
      </c>
      <c r="N7" s="10"/>
      <c r="O7" s="10">
        <v>618</v>
      </c>
      <c r="P7" s="10">
        <v>119</v>
      </c>
      <c r="Q7" s="10"/>
      <c r="R7" s="10">
        <v>115</v>
      </c>
      <c r="S7" s="10">
        <v>135</v>
      </c>
      <c r="T7" s="10">
        <v>54</v>
      </c>
      <c r="U7" s="10">
        <v>69</v>
      </c>
      <c r="V7" s="10">
        <v>66</v>
      </c>
      <c r="W7" s="10">
        <v>90</v>
      </c>
      <c r="X7" s="10">
        <v>43</v>
      </c>
      <c r="Y7" s="10">
        <v>44</v>
      </c>
      <c r="Z7" s="10">
        <v>131</v>
      </c>
      <c r="AA7" s="10"/>
      <c r="AB7" s="10">
        <v>105</v>
      </c>
      <c r="AC7" s="10">
        <v>114</v>
      </c>
      <c r="AD7" s="10">
        <v>101</v>
      </c>
      <c r="AE7" s="10">
        <v>87</v>
      </c>
      <c r="AF7" s="10"/>
      <c r="AG7" s="10">
        <v>75</v>
      </c>
      <c r="AH7" s="10">
        <v>32</v>
      </c>
      <c r="AI7" s="10"/>
      <c r="AJ7" s="10">
        <v>107</v>
      </c>
      <c r="AK7" s="10">
        <v>87</v>
      </c>
      <c r="AL7" s="10"/>
      <c r="AM7" s="10">
        <v>420</v>
      </c>
      <c r="AN7" s="10">
        <v>168</v>
      </c>
    </row>
    <row r="8" spans="2:40" ht="30" customHeight="1" x14ac:dyDescent="0.35">
      <c r="B8" s="11" t="s">
        <v>20</v>
      </c>
      <c r="C8" s="11">
        <v>704</v>
      </c>
      <c r="D8" s="11">
        <v>353</v>
      </c>
      <c r="E8" s="11">
        <v>348</v>
      </c>
      <c r="F8" s="11"/>
      <c r="G8" s="11" t="s">
        <v>75</v>
      </c>
      <c r="H8" s="11" t="s">
        <v>75</v>
      </c>
      <c r="I8" s="11">
        <v>704</v>
      </c>
      <c r="J8" s="11"/>
      <c r="K8" s="11" t="s">
        <v>75</v>
      </c>
      <c r="L8" s="11">
        <v>432</v>
      </c>
      <c r="M8" s="11">
        <v>272</v>
      </c>
      <c r="N8" s="11"/>
      <c r="O8" s="11">
        <v>579</v>
      </c>
      <c r="P8" s="11">
        <v>116</v>
      </c>
      <c r="Q8" s="11"/>
      <c r="R8" s="11">
        <v>121</v>
      </c>
      <c r="S8" s="11">
        <v>122</v>
      </c>
      <c r="T8" s="11">
        <v>58</v>
      </c>
      <c r="U8" s="11">
        <v>73</v>
      </c>
      <c r="V8" s="11">
        <v>65</v>
      </c>
      <c r="W8" s="11">
        <v>67</v>
      </c>
      <c r="X8" s="11">
        <v>61</v>
      </c>
      <c r="Y8" s="11">
        <v>40</v>
      </c>
      <c r="Z8" s="11">
        <v>98</v>
      </c>
      <c r="AA8" s="11"/>
      <c r="AB8" s="11">
        <v>80</v>
      </c>
      <c r="AC8" s="11">
        <v>89</v>
      </c>
      <c r="AD8" s="11">
        <v>139</v>
      </c>
      <c r="AE8" s="11">
        <v>116</v>
      </c>
      <c r="AF8" s="11"/>
      <c r="AG8" s="11">
        <v>91</v>
      </c>
      <c r="AH8" s="11">
        <v>44</v>
      </c>
      <c r="AI8" s="11"/>
      <c r="AJ8" s="11">
        <v>135</v>
      </c>
      <c r="AK8" s="11">
        <v>124</v>
      </c>
      <c r="AL8" s="11"/>
      <c r="AM8" s="11">
        <v>381</v>
      </c>
      <c r="AN8" s="11">
        <v>170</v>
      </c>
    </row>
    <row r="9" spans="2:40" x14ac:dyDescent="0.35">
      <c r="B9" s="15" t="s">
        <v>160</v>
      </c>
      <c r="C9" s="14">
        <v>0.16380203142687499</v>
      </c>
      <c r="D9" s="14">
        <v>0.166368031221512</v>
      </c>
      <c r="E9" s="14">
        <v>0.15995845652010901</v>
      </c>
      <c r="F9" s="14"/>
      <c r="G9" s="14" t="s">
        <v>76</v>
      </c>
      <c r="H9" s="14" t="s">
        <v>76</v>
      </c>
      <c r="I9" s="14">
        <v>0.16380203142687499</v>
      </c>
      <c r="J9" s="14"/>
      <c r="K9" s="14" t="s">
        <v>76</v>
      </c>
      <c r="L9" s="14">
        <v>0.180482824566193</v>
      </c>
      <c r="M9" s="14">
        <v>0.13727233452111701</v>
      </c>
      <c r="N9" s="14"/>
      <c r="O9" s="14">
        <v>0.12603272690205999</v>
      </c>
      <c r="P9" s="14">
        <v>0.36564182952181101</v>
      </c>
      <c r="Q9" s="14"/>
      <c r="R9" s="14">
        <v>0.22233743725538499</v>
      </c>
      <c r="S9" s="14">
        <v>0.16167101665817599</v>
      </c>
      <c r="T9" s="14">
        <v>0.13438133630441701</v>
      </c>
      <c r="U9" s="14">
        <v>0.116602067150299</v>
      </c>
      <c r="V9" s="14">
        <v>0.23667553721037199</v>
      </c>
      <c r="W9" s="14">
        <v>0.12341531819247099</v>
      </c>
      <c r="X9" s="14">
        <v>0.14305133830692701</v>
      </c>
      <c r="Y9" s="14">
        <v>5.7824723082964498E-2</v>
      </c>
      <c r="Z9" s="14">
        <v>0.18175226728625801</v>
      </c>
      <c r="AA9" s="14"/>
      <c r="AB9" s="14">
        <v>0.144326259225591</v>
      </c>
      <c r="AC9" s="14">
        <v>0.31069273702754502</v>
      </c>
      <c r="AD9" s="14">
        <v>7.03023233437262E-2</v>
      </c>
      <c r="AE9" s="14">
        <v>0.19606512874234699</v>
      </c>
      <c r="AF9" s="14"/>
      <c r="AG9" s="14">
        <v>0.27916293435145301</v>
      </c>
      <c r="AH9" s="14">
        <v>6.1166658331105801E-2</v>
      </c>
      <c r="AI9" s="14"/>
      <c r="AJ9" s="14">
        <v>0.208753402134569</v>
      </c>
      <c r="AK9" s="14">
        <v>5.6230601548246002E-2</v>
      </c>
      <c r="AL9" s="14"/>
      <c r="AM9" s="14">
        <v>0.27560736943370201</v>
      </c>
      <c r="AN9" s="14">
        <v>3.7068066240695599E-2</v>
      </c>
    </row>
    <row r="10" spans="2:40" x14ac:dyDescent="0.35">
      <c r="B10" s="15" t="s">
        <v>161</v>
      </c>
      <c r="C10" s="14">
        <v>0.44125851567629099</v>
      </c>
      <c r="D10" s="14">
        <v>0.47603965661543002</v>
      </c>
      <c r="E10" s="14">
        <v>0.408909402544329</v>
      </c>
      <c r="F10" s="14"/>
      <c r="G10" s="14" t="s">
        <v>76</v>
      </c>
      <c r="H10" s="14" t="s">
        <v>76</v>
      </c>
      <c r="I10" s="14">
        <v>0.44125851567629099</v>
      </c>
      <c r="J10" s="14"/>
      <c r="K10" s="14" t="s">
        <v>76</v>
      </c>
      <c r="L10" s="14">
        <v>0.448829311419779</v>
      </c>
      <c r="M10" s="14">
        <v>0.429217666375385</v>
      </c>
      <c r="N10" s="14"/>
      <c r="O10" s="14">
        <v>0.44423305999367602</v>
      </c>
      <c r="P10" s="14">
        <v>0.42113500419654198</v>
      </c>
      <c r="Q10" s="14"/>
      <c r="R10" s="14">
        <v>0.49828559816392598</v>
      </c>
      <c r="S10" s="14">
        <v>0.46801703869094002</v>
      </c>
      <c r="T10" s="14">
        <v>0.53315479306396696</v>
      </c>
      <c r="U10" s="14">
        <v>0.39128809750013899</v>
      </c>
      <c r="V10" s="14">
        <v>0.288343023482517</v>
      </c>
      <c r="W10" s="14">
        <v>0.44647875699797601</v>
      </c>
      <c r="X10" s="14">
        <v>0.496702931845384</v>
      </c>
      <c r="Y10" s="14">
        <v>0.35661685211982802</v>
      </c>
      <c r="Z10" s="14">
        <v>0.41954119997933098</v>
      </c>
      <c r="AA10" s="14"/>
      <c r="AB10" s="14">
        <v>0.32519505542257499</v>
      </c>
      <c r="AC10" s="14">
        <v>0.54244262093267204</v>
      </c>
      <c r="AD10" s="14">
        <v>0.402873962294929</v>
      </c>
      <c r="AE10" s="14">
        <v>0.49510521366768001</v>
      </c>
      <c r="AF10" s="14"/>
      <c r="AG10" s="14">
        <v>0.46562026024062297</v>
      </c>
      <c r="AH10" s="14">
        <v>0.32936209367654601</v>
      </c>
      <c r="AI10" s="14"/>
      <c r="AJ10" s="14">
        <v>0.42161091318365101</v>
      </c>
      <c r="AK10" s="14">
        <v>0.44632865931828097</v>
      </c>
      <c r="AL10" s="14"/>
      <c r="AM10" s="14">
        <v>0.55231303028336398</v>
      </c>
      <c r="AN10" s="14">
        <v>0.18596980138859401</v>
      </c>
    </row>
    <row r="11" spans="2:40" x14ac:dyDescent="0.35">
      <c r="B11" s="15" t="s">
        <v>162</v>
      </c>
      <c r="C11" s="14">
        <v>0.27829040048216702</v>
      </c>
      <c r="D11" s="14">
        <v>0.25057177303770201</v>
      </c>
      <c r="E11" s="14">
        <v>0.30603740311967098</v>
      </c>
      <c r="F11" s="14"/>
      <c r="G11" s="14" t="s">
        <v>76</v>
      </c>
      <c r="H11" s="14" t="s">
        <v>76</v>
      </c>
      <c r="I11" s="14">
        <v>0.27829040048216702</v>
      </c>
      <c r="J11" s="14"/>
      <c r="K11" s="14" t="s">
        <v>76</v>
      </c>
      <c r="L11" s="14">
        <v>0.27425813415188</v>
      </c>
      <c r="M11" s="14">
        <v>0.28470345306859801</v>
      </c>
      <c r="N11" s="14"/>
      <c r="O11" s="14">
        <v>0.30161385512843297</v>
      </c>
      <c r="P11" s="14">
        <v>0.175710802484218</v>
      </c>
      <c r="Q11" s="14"/>
      <c r="R11" s="14">
        <v>0.199703481378779</v>
      </c>
      <c r="S11" s="14">
        <v>0.26552899474108499</v>
      </c>
      <c r="T11" s="14">
        <v>0.20557965199304301</v>
      </c>
      <c r="U11" s="14">
        <v>0.37635921590941301</v>
      </c>
      <c r="V11" s="14">
        <v>0.32515349973044</v>
      </c>
      <c r="W11" s="14">
        <v>0.30464299064822897</v>
      </c>
      <c r="X11" s="14">
        <v>0.23847899563986399</v>
      </c>
      <c r="Y11" s="14">
        <v>0.40506082842888302</v>
      </c>
      <c r="Z11" s="14">
        <v>0.28423825190489999</v>
      </c>
      <c r="AA11" s="14"/>
      <c r="AB11" s="14">
        <v>0.37900785641508</v>
      </c>
      <c r="AC11" s="14">
        <v>0.121320614848374</v>
      </c>
      <c r="AD11" s="14">
        <v>0.34142891900835998</v>
      </c>
      <c r="AE11" s="14">
        <v>0.24149459574920101</v>
      </c>
      <c r="AF11" s="14"/>
      <c r="AG11" s="14">
        <v>0.21942785675628401</v>
      </c>
      <c r="AH11" s="14">
        <v>0.25402978931058601</v>
      </c>
      <c r="AI11" s="14"/>
      <c r="AJ11" s="14">
        <v>0.23060376273699501</v>
      </c>
      <c r="AK11" s="14">
        <v>0.35496600926166699</v>
      </c>
      <c r="AL11" s="14"/>
      <c r="AM11" s="14">
        <v>0.15003793391531001</v>
      </c>
      <c r="AN11" s="14">
        <v>0.40606215427073</v>
      </c>
    </row>
    <row r="12" spans="2:40" x14ac:dyDescent="0.35">
      <c r="B12" s="15" t="s">
        <v>163</v>
      </c>
      <c r="C12" s="14">
        <v>0.114381644356125</v>
      </c>
      <c r="D12" s="14">
        <v>0.104269152226558</v>
      </c>
      <c r="E12" s="14">
        <v>0.12330324431786301</v>
      </c>
      <c r="F12" s="14"/>
      <c r="G12" s="14" t="s">
        <v>76</v>
      </c>
      <c r="H12" s="14" t="s">
        <v>76</v>
      </c>
      <c r="I12" s="14">
        <v>0.114381644356125</v>
      </c>
      <c r="J12" s="14"/>
      <c r="K12" s="14" t="s">
        <v>76</v>
      </c>
      <c r="L12" s="14">
        <v>9.27366679440359E-2</v>
      </c>
      <c r="M12" s="14">
        <v>0.14880654603490001</v>
      </c>
      <c r="N12" s="14"/>
      <c r="O12" s="14">
        <v>0.12644226370672201</v>
      </c>
      <c r="P12" s="14">
        <v>3.21179502161799E-2</v>
      </c>
      <c r="Q12" s="14"/>
      <c r="R12" s="14">
        <v>7.9673483201910006E-2</v>
      </c>
      <c r="S12" s="14">
        <v>0.104782949909798</v>
      </c>
      <c r="T12" s="14">
        <v>0.12688421863857299</v>
      </c>
      <c r="U12" s="14">
        <v>0.10252257522960501</v>
      </c>
      <c r="V12" s="14">
        <v>0.14982793957667101</v>
      </c>
      <c r="W12" s="14">
        <v>0.116125559529646</v>
      </c>
      <c r="X12" s="14">
        <v>0.12176673420782499</v>
      </c>
      <c r="Y12" s="14">
        <v>0.18049759636832399</v>
      </c>
      <c r="Z12" s="14">
        <v>0.11446828082951099</v>
      </c>
      <c r="AA12" s="14"/>
      <c r="AB12" s="14">
        <v>0.14369476211514601</v>
      </c>
      <c r="AC12" s="14">
        <v>2.55440271914089E-2</v>
      </c>
      <c r="AD12" s="14">
        <v>0.185394795352984</v>
      </c>
      <c r="AE12" s="14">
        <v>6.7335061840771704E-2</v>
      </c>
      <c r="AF12" s="14"/>
      <c r="AG12" s="14">
        <v>3.5788948651640597E-2</v>
      </c>
      <c r="AH12" s="14">
        <v>0.35544145868176202</v>
      </c>
      <c r="AI12" s="14"/>
      <c r="AJ12" s="14">
        <v>0.139031921944786</v>
      </c>
      <c r="AK12" s="14">
        <v>0.14247472987180501</v>
      </c>
      <c r="AL12" s="14"/>
      <c r="AM12" s="14">
        <v>1.9489622305341001E-2</v>
      </c>
      <c r="AN12" s="14">
        <v>0.37089997809997999</v>
      </c>
    </row>
    <row r="13" spans="2:40" x14ac:dyDescent="0.35">
      <c r="B13" s="15" t="s">
        <v>70</v>
      </c>
      <c r="C13" s="21">
        <v>2.2674080585409302E-3</v>
      </c>
      <c r="D13" s="21">
        <v>2.7513868987978701E-3</v>
      </c>
      <c r="E13" s="21">
        <v>1.79149349802854E-3</v>
      </c>
      <c r="F13" s="21"/>
      <c r="G13" s="21" t="s">
        <v>76</v>
      </c>
      <c r="H13" s="21" t="s">
        <v>76</v>
      </c>
      <c r="I13" s="21">
        <v>2.2674080585409302E-3</v>
      </c>
      <c r="J13" s="21"/>
      <c r="K13" s="21" t="s">
        <v>76</v>
      </c>
      <c r="L13" s="21">
        <v>3.6930619181119902E-3</v>
      </c>
      <c r="M13" s="21">
        <v>0</v>
      </c>
      <c r="N13" s="21"/>
      <c r="O13" s="21">
        <v>1.67809426910978E-3</v>
      </c>
      <c r="P13" s="21">
        <v>5.3944135812482802E-3</v>
      </c>
      <c r="Q13" s="21"/>
      <c r="R13" s="21">
        <v>0</v>
      </c>
      <c r="S13" s="21">
        <v>0</v>
      </c>
      <c r="T13" s="21">
        <v>0</v>
      </c>
      <c r="U13" s="21">
        <v>1.3228044210543801E-2</v>
      </c>
      <c r="V13" s="21">
        <v>0</v>
      </c>
      <c r="W13" s="21">
        <v>9.3373746316768504E-3</v>
      </c>
      <c r="X13" s="21">
        <v>0</v>
      </c>
      <c r="Y13" s="21">
        <v>0</v>
      </c>
      <c r="Z13" s="21">
        <v>0</v>
      </c>
      <c r="AA13" s="21"/>
      <c r="AB13" s="21">
        <v>7.7760668216083602E-3</v>
      </c>
      <c r="AC13" s="21">
        <v>0</v>
      </c>
      <c r="AD13" s="21">
        <v>0</v>
      </c>
      <c r="AE13" s="21">
        <v>0</v>
      </c>
      <c r="AF13" s="21"/>
      <c r="AG13" s="21">
        <v>0</v>
      </c>
      <c r="AH13" s="21">
        <v>0</v>
      </c>
      <c r="AI13" s="21"/>
      <c r="AJ13" s="21">
        <v>0</v>
      </c>
      <c r="AK13" s="21">
        <v>0</v>
      </c>
      <c r="AL13" s="21"/>
      <c r="AM13" s="21">
        <v>2.5520440622834699E-3</v>
      </c>
      <c r="AN13" s="21">
        <v>0</v>
      </c>
    </row>
    <row r="14" spans="2:40" x14ac:dyDescent="0.35">
      <c r="B14" s="15" t="s">
        <v>164</v>
      </c>
      <c r="C14" s="30">
        <v>0.60506054710316604</v>
      </c>
      <c r="D14" s="30">
        <v>0.64240768783694202</v>
      </c>
      <c r="E14" s="30">
        <v>0.56886785906443804</v>
      </c>
      <c r="F14" s="30"/>
      <c r="G14" s="30" t="s">
        <v>76</v>
      </c>
      <c r="H14" s="30" t="s">
        <v>76</v>
      </c>
      <c r="I14" s="30">
        <v>0.60506054710316604</v>
      </c>
      <c r="J14" s="30"/>
      <c r="K14" s="30" t="s">
        <v>76</v>
      </c>
      <c r="L14" s="30">
        <v>0.62931213598597202</v>
      </c>
      <c r="M14" s="30">
        <v>0.56649000089650203</v>
      </c>
      <c r="N14" s="30"/>
      <c r="O14" s="30">
        <v>0.57026578689573504</v>
      </c>
      <c r="P14" s="30">
        <v>0.78677683371835405</v>
      </c>
      <c r="Q14" s="30"/>
      <c r="R14" s="30">
        <v>0.72062303541931105</v>
      </c>
      <c r="S14" s="30">
        <v>0.62968805534911698</v>
      </c>
      <c r="T14" s="30">
        <v>0.66753612936838402</v>
      </c>
      <c r="U14" s="30">
        <v>0.50789016465043801</v>
      </c>
      <c r="V14" s="30">
        <v>0.52501856069288899</v>
      </c>
      <c r="W14" s="30">
        <v>0.56989407519044699</v>
      </c>
      <c r="X14" s="30">
        <v>0.63975427015231101</v>
      </c>
      <c r="Y14" s="30">
        <v>0.41444157520279201</v>
      </c>
      <c r="Z14" s="30">
        <v>0.60129346726558897</v>
      </c>
      <c r="AA14" s="30"/>
      <c r="AB14" s="30">
        <v>0.46952131464816599</v>
      </c>
      <c r="AC14" s="30">
        <v>0.853135357960217</v>
      </c>
      <c r="AD14" s="30">
        <v>0.47317628563865499</v>
      </c>
      <c r="AE14" s="30">
        <v>0.69117034241002695</v>
      </c>
      <c r="AF14" s="30"/>
      <c r="AG14" s="30">
        <v>0.74478319459207598</v>
      </c>
      <c r="AH14" s="30">
        <v>0.39052875200765202</v>
      </c>
      <c r="AI14" s="30"/>
      <c r="AJ14" s="30">
        <v>0.63036431531821902</v>
      </c>
      <c r="AK14" s="30">
        <v>0.50255926086652702</v>
      </c>
      <c r="AL14" s="30"/>
      <c r="AM14" s="30">
        <v>0.82792039971706599</v>
      </c>
      <c r="AN14" s="30">
        <v>0.22303786762928901</v>
      </c>
    </row>
    <row r="15" spans="2:40" x14ac:dyDescent="0.35">
      <c r="B15" s="27" t="s">
        <v>391</v>
      </c>
    </row>
    <row r="16" spans="2:40" x14ac:dyDescent="0.35">
      <c r="B16" t="s">
        <v>72</v>
      </c>
    </row>
    <row r="17" spans="2:2" x14ac:dyDescent="0.35">
      <c r="B17" t="s">
        <v>73</v>
      </c>
    </row>
    <row r="19" spans="2:2" x14ac:dyDescent="0.35">
      <c r="B19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B2:AN18"/>
  <sheetViews>
    <sheetView showGridLines="0" workbookViewId="0">
      <pane xSplit="2" topLeftCell="C1" activePane="topRight" state="frozen"/>
      <selection pane="topRight" activeCell="B17" sqref="B17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269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747</v>
      </c>
      <c r="D7" s="10">
        <v>399</v>
      </c>
      <c r="E7" s="10">
        <v>345</v>
      </c>
      <c r="F7" s="10"/>
      <c r="G7" s="10" t="s">
        <v>75</v>
      </c>
      <c r="H7" s="10" t="s">
        <v>75</v>
      </c>
      <c r="I7" s="10">
        <v>747</v>
      </c>
      <c r="J7" s="10"/>
      <c r="K7" s="10" t="s">
        <v>75</v>
      </c>
      <c r="L7" s="10">
        <v>542</v>
      </c>
      <c r="M7" s="10">
        <v>205</v>
      </c>
      <c r="N7" s="10"/>
      <c r="O7" s="10">
        <v>618</v>
      </c>
      <c r="P7" s="10">
        <v>119</v>
      </c>
      <c r="Q7" s="10"/>
      <c r="R7" s="10">
        <v>115</v>
      </c>
      <c r="S7" s="10">
        <v>135</v>
      </c>
      <c r="T7" s="10">
        <v>54</v>
      </c>
      <c r="U7" s="10">
        <v>69</v>
      </c>
      <c r="V7" s="10">
        <v>66</v>
      </c>
      <c r="W7" s="10">
        <v>90</v>
      </c>
      <c r="X7" s="10">
        <v>43</v>
      </c>
      <c r="Y7" s="10">
        <v>44</v>
      </c>
      <c r="Z7" s="10">
        <v>131</v>
      </c>
      <c r="AA7" s="10"/>
      <c r="AB7" s="10">
        <v>105</v>
      </c>
      <c r="AC7" s="10">
        <v>114</v>
      </c>
      <c r="AD7" s="10">
        <v>101</v>
      </c>
      <c r="AE7" s="10">
        <v>87</v>
      </c>
      <c r="AF7" s="10"/>
      <c r="AG7" s="10">
        <v>75</v>
      </c>
      <c r="AH7" s="10">
        <v>32</v>
      </c>
      <c r="AI7" s="10"/>
      <c r="AJ7" s="10">
        <v>107</v>
      </c>
      <c r="AK7" s="10">
        <v>87</v>
      </c>
      <c r="AL7" s="10"/>
      <c r="AM7" s="10">
        <v>420</v>
      </c>
      <c r="AN7" s="10">
        <v>168</v>
      </c>
    </row>
    <row r="8" spans="2:40" ht="30" customHeight="1" x14ac:dyDescent="0.35">
      <c r="B8" s="11" t="s">
        <v>20</v>
      </c>
      <c r="C8" s="11">
        <v>704</v>
      </c>
      <c r="D8" s="11">
        <v>353</v>
      </c>
      <c r="E8" s="11">
        <v>348</v>
      </c>
      <c r="F8" s="11"/>
      <c r="G8" s="11" t="s">
        <v>75</v>
      </c>
      <c r="H8" s="11" t="s">
        <v>75</v>
      </c>
      <c r="I8" s="11">
        <v>704</v>
      </c>
      <c r="J8" s="11"/>
      <c r="K8" s="11" t="s">
        <v>75</v>
      </c>
      <c r="L8" s="11">
        <v>432</v>
      </c>
      <c r="M8" s="11">
        <v>272</v>
      </c>
      <c r="N8" s="11"/>
      <c r="O8" s="11">
        <v>579</v>
      </c>
      <c r="P8" s="11">
        <v>116</v>
      </c>
      <c r="Q8" s="11"/>
      <c r="R8" s="11">
        <v>121</v>
      </c>
      <c r="S8" s="11">
        <v>122</v>
      </c>
      <c r="T8" s="11">
        <v>58</v>
      </c>
      <c r="U8" s="11">
        <v>73</v>
      </c>
      <c r="V8" s="11">
        <v>65</v>
      </c>
      <c r="W8" s="11">
        <v>67</v>
      </c>
      <c r="X8" s="11">
        <v>61</v>
      </c>
      <c r="Y8" s="11">
        <v>40</v>
      </c>
      <c r="Z8" s="11">
        <v>98</v>
      </c>
      <c r="AA8" s="11"/>
      <c r="AB8" s="11">
        <v>80</v>
      </c>
      <c r="AC8" s="11">
        <v>89</v>
      </c>
      <c r="AD8" s="11">
        <v>139</v>
      </c>
      <c r="AE8" s="11">
        <v>116</v>
      </c>
      <c r="AF8" s="11"/>
      <c r="AG8" s="11">
        <v>91</v>
      </c>
      <c r="AH8" s="11">
        <v>44</v>
      </c>
      <c r="AI8" s="11"/>
      <c r="AJ8" s="11">
        <v>135</v>
      </c>
      <c r="AK8" s="11">
        <v>124</v>
      </c>
      <c r="AL8" s="11"/>
      <c r="AM8" s="11">
        <v>381</v>
      </c>
      <c r="AN8" s="11">
        <v>170</v>
      </c>
    </row>
    <row r="9" spans="2:40" x14ac:dyDescent="0.35">
      <c r="B9" s="15" t="s">
        <v>166</v>
      </c>
      <c r="C9" s="14">
        <v>0.14738480652904401</v>
      </c>
      <c r="D9" s="14">
        <v>0.164762882736842</v>
      </c>
      <c r="E9" s="14">
        <v>0.12840478917338999</v>
      </c>
      <c r="F9" s="14"/>
      <c r="G9" s="14" t="s">
        <v>76</v>
      </c>
      <c r="H9" s="14" t="s">
        <v>76</v>
      </c>
      <c r="I9" s="14">
        <v>0.14738480652904401</v>
      </c>
      <c r="J9" s="14"/>
      <c r="K9" s="14" t="s">
        <v>76</v>
      </c>
      <c r="L9" s="14">
        <v>0.166441348776007</v>
      </c>
      <c r="M9" s="14">
        <v>0.117076637986864</v>
      </c>
      <c r="N9" s="14"/>
      <c r="O9" s="14">
        <v>0.118899200445532</v>
      </c>
      <c r="P9" s="14">
        <v>0.301455985064219</v>
      </c>
      <c r="Q9" s="14"/>
      <c r="R9" s="14">
        <v>0.24131366027836201</v>
      </c>
      <c r="S9" s="14">
        <v>0.13012073578929301</v>
      </c>
      <c r="T9" s="14">
        <v>0.132784308462054</v>
      </c>
      <c r="U9" s="14">
        <v>0.11437778113099099</v>
      </c>
      <c r="V9" s="14">
        <v>0.138243617737109</v>
      </c>
      <c r="W9" s="14">
        <v>0.101298545818998</v>
      </c>
      <c r="X9" s="14">
        <v>0.103456130470833</v>
      </c>
      <c r="Y9" s="14">
        <v>9.8783365407729098E-2</v>
      </c>
      <c r="Z9" s="14">
        <v>0.170554450154106</v>
      </c>
      <c r="AA9" s="14"/>
      <c r="AB9" s="14">
        <v>0.130104467637566</v>
      </c>
      <c r="AC9" s="14">
        <v>0.23337733579588099</v>
      </c>
      <c r="AD9" s="14">
        <v>8.5721891125327201E-2</v>
      </c>
      <c r="AE9" s="14">
        <v>0.13200904936541399</v>
      </c>
      <c r="AF9" s="14"/>
      <c r="AG9" s="14">
        <v>0.241478093831823</v>
      </c>
      <c r="AH9" s="14">
        <v>0</v>
      </c>
      <c r="AI9" s="14"/>
      <c r="AJ9" s="14">
        <v>0.163484286149821</v>
      </c>
      <c r="AK9" s="14">
        <v>6.8276164940038298E-2</v>
      </c>
      <c r="AL9" s="14"/>
      <c r="AM9" s="14">
        <v>0.25921045186977498</v>
      </c>
      <c r="AN9" s="14">
        <v>8.4002951282811204E-3</v>
      </c>
    </row>
    <row r="10" spans="2:40" x14ac:dyDescent="0.35">
      <c r="B10" s="15" t="s">
        <v>167</v>
      </c>
      <c r="C10" s="14">
        <v>0.33480843041506497</v>
      </c>
      <c r="D10" s="14">
        <v>0.36434221417220403</v>
      </c>
      <c r="E10" s="14">
        <v>0.30707432231110499</v>
      </c>
      <c r="F10" s="14"/>
      <c r="G10" s="14" t="s">
        <v>76</v>
      </c>
      <c r="H10" s="14" t="s">
        <v>76</v>
      </c>
      <c r="I10" s="14">
        <v>0.33480843041506497</v>
      </c>
      <c r="J10" s="14"/>
      <c r="K10" s="14" t="s">
        <v>76</v>
      </c>
      <c r="L10" s="14">
        <v>0.35394059040217402</v>
      </c>
      <c r="M10" s="14">
        <v>0.30437999686449901</v>
      </c>
      <c r="N10" s="14"/>
      <c r="O10" s="14">
        <v>0.32812705856732999</v>
      </c>
      <c r="P10" s="14">
        <v>0.37500691450532903</v>
      </c>
      <c r="Q10" s="14"/>
      <c r="R10" s="14">
        <v>0.37864938011215998</v>
      </c>
      <c r="S10" s="14">
        <v>0.37485425947459899</v>
      </c>
      <c r="T10" s="14">
        <v>0.28507768859626398</v>
      </c>
      <c r="U10" s="14">
        <v>0.30772880256444002</v>
      </c>
      <c r="V10" s="14">
        <v>0.284367469670333</v>
      </c>
      <c r="W10" s="14">
        <v>0.38001802063077</v>
      </c>
      <c r="X10" s="14">
        <v>0.34525944470422198</v>
      </c>
      <c r="Y10" s="14">
        <v>0.249480207483183</v>
      </c>
      <c r="Z10" s="14">
        <v>0.31150453229395803</v>
      </c>
      <c r="AA10" s="14"/>
      <c r="AB10" s="14">
        <v>0.240560591414443</v>
      </c>
      <c r="AC10" s="14">
        <v>0.46511079348697398</v>
      </c>
      <c r="AD10" s="14">
        <v>0.21550632182132001</v>
      </c>
      <c r="AE10" s="14">
        <v>0.42445928277419298</v>
      </c>
      <c r="AF10" s="14"/>
      <c r="AG10" s="14">
        <v>0.47978096768788098</v>
      </c>
      <c r="AH10" s="14">
        <v>0.34105158647912898</v>
      </c>
      <c r="AI10" s="14"/>
      <c r="AJ10" s="14">
        <v>0.43497345531214499</v>
      </c>
      <c r="AK10" s="14">
        <v>0.15181618146853501</v>
      </c>
      <c r="AL10" s="14"/>
      <c r="AM10" s="14">
        <v>0.482242744377673</v>
      </c>
      <c r="AN10" s="14">
        <v>0.105360677662918</v>
      </c>
    </row>
    <row r="11" spans="2:40" x14ac:dyDescent="0.35">
      <c r="B11" s="15" t="s">
        <v>168</v>
      </c>
      <c r="C11" s="14">
        <v>0.26842900900310501</v>
      </c>
      <c r="D11" s="14">
        <v>0.25447953998786099</v>
      </c>
      <c r="E11" s="14">
        <v>0.28436775250990198</v>
      </c>
      <c r="F11" s="14"/>
      <c r="G11" s="14" t="s">
        <v>76</v>
      </c>
      <c r="H11" s="14" t="s">
        <v>76</v>
      </c>
      <c r="I11" s="14">
        <v>0.26842900900310501</v>
      </c>
      <c r="J11" s="14"/>
      <c r="K11" s="14" t="s">
        <v>76</v>
      </c>
      <c r="L11" s="14">
        <v>0.26285030981075203</v>
      </c>
      <c r="M11" s="14">
        <v>0.27730156065370298</v>
      </c>
      <c r="N11" s="14"/>
      <c r="O11" s="14">
        <v>0.26814686673124499</v>
      </c>
      <c r="P11" s="14">
        <v>0.27022796051166798</v>
      </c>
      <c r="Q11" s="14"/>
      <c r="R11" s="14">
        <v>0.246603248350482</v>
      </c>
      <c r="S11" s="14">
        <v>0.25205263713003301</v>
      </c>
      <c r="T11" s="14">
        <v>0.34562753684393199</v>
      </c>
      <c r="U11" s="14">
        <v>0.25035778267534797</v>
      </c>
      <c r="V11" s="14">
        <v>0.24032514802118299</v>
      </c>
      <c r="W11" s="14">
        <v>0.27422850977313201</v>
      </c>
      <c r="X11" s="14">
        <v>0.27593652419124898</v>
      </c>
      <c r="Y11" s="14">
        <v>0.24746939522775699</v>
      </c>
      <c r="Z11" s="14">
        <v>0.30255283662048599</v>
      </c>
      <c r="AA11" s="14"/>
      <c r="AB11" s="14">
        <v>0.27688834757340702</v>
      </c>
      <c r="AC11" s="14">
        <v>0.26000716649411398</v>
      </c>
      <c r="AD11" s="14">
        <v>0.28887412843699201</v>
      </c>
      <c r="AE11" s="14">
        <v>0.29925135330269298</v>
      </c>
      <c r="AF11" s="14"/>
      <c r="AG11" s="14">
        <v>0.17675794410811599</v>
      </c>
      <c r="AH11" s="14">
        <v>0.28098781036834602</v>
      </c>
      <c r="AI11" s="14"/>
      <c r="AJ11" s="14">
        <v>0.21042262985589599</v>
      </c>
      <c r="AK11" s="14">
        <v>0.37241931135543199</v>
      </c>
      <c r="AL11" s="14"/>
      <c r="AM11" s="14">
        <v>0.19728661596837399</v>
      </c>
      <c r="AN11" s="14">
        <v>0.26326856609225302</v>
      </c>
    </row>
    <row r="12" spans="2:40" x14ac:dyDescent="0.35">
      <c r="B12" s="15" t="s">
        <v>169</v>
      </c>
      <c r="C12" s="14">
        <v>0.24198204465408801</v>
      </c>
      <c r="D12" s="14">
        <v>0.209227925191353</v>
      </c>
      <c r="E12" s="14">
        <v>0.27249690361609702</v>
      </c>
      <c r="F12" s="14"/>
      <c r="G12" s="14" t="s">
        <v>76</v>
      </c>
      <c r="H12" s="14" t="s">
        <v>76</v>
      </c>
      <c r="I12" s="14">
        <v>0.24198204465408801</v>
      </c>
      <c r="J12" s="14"/>
      <c r="K12" s="14" t="s">
        <v>76</v>
      </c>
      <c r="L12" s="14">
        <v>0.21344230996136701</v>
      </c>
      <c r="M12" s="14">
        <v>0.28737260281549698</v>
      </c>
      <c r="N12" s="14"/>
      <c r="O12" s="14">
        <v>0.27705794411476697</v>
      </c>
      <c r="P12" s="14">
        <v>4.7210977929407802E-2</v>
      </c>
      <c r="Q12" s="14"/>
      <c r="R12" s="14">
        <v>0.133433711258996</v>
      </c>
      <c r="S12" s="14">
        <v>0.23716832607182001</v>
      </c>
      <c r="T12" s="14">
        <v>0.23651046609775001</v>
      </c>
      <c r="U12" s="14">
        <v>0.327535633629221</v>
      </c>
      <c r="V12" s="14">
        <v>0.27931574866081699</v>
      </c>
      <c r="W12" s="14">
        <v>0.24445492377710001</v>
      </c>
      <c r="X12" s="14">
        <v>0.27534790063369702</v>
      </c>
      <c r="Y12" s="14">
        <v>0.40426703188133101</v>
      </c>
      <c r="Z12" s="14">
        <v>0.20791208124198399</v>
      </c>
      <c r="AA12" s="14"/>
      <c r="AB12" s="14">
        <v>0.35244659337458401</v>
      </c>
      <c r="AC12" s="14">
        <v>4.1504704223031201E-2</v>
      </c>
      <c r="AD12" s="14">
        <v>0.39594443840143101</v>
      </c>
      <c r="AE12" s="14">
        <v>0.14428031455770099</v>
      </c>
      <c r="AF12" s="14"/>
      <c r="AG12" s="14">
        <v>0.10198299437218</v>
      </c>
      <c r="AH12" s="14">
        <v>0.377960603152525</v>
      </c>
      <c r="AI12" s="14"/>
      <c r="AJ12" s="14">
        <v>0.191119628682138</v>
      </c>
      <c r="AK12" s="14">
        <v>0.39192531796131402</v>
      </c>
      <c r="AL12" s="14"/>
      <c r="AM12" s="14">
        <v>6.12601877841778E-2</v>
      </c>
      <c r="AN12" s="14">
        <v>0.59669143486630905</v>
      </c>
    </row>
    <row r="13" spans="2:40" x14ac:dyDescent="0.35">
      <c r="B13" s="15" t="s">
        <v>70</v>
      </c>
      <c r="C13" s="20">
        <v>7.3957093986978502E-3</v>
      </c>
      <c r="D13" s="20">
        <v>7.1874379117394501E-3</v>
      </c>
      <c r="E13" s="20">
        <v>7.6562323895062604E-3</v>
      </c>
      <c r="F13" s="20"/>
      <c r="G13" s="20" t="s">
        <v>76</v>
      </c>
      <c r="H13" s="20" t="s">
        <v>76</v>
      </c>
      <c r="I13" s="20">
        <v>7.3957093986978502E-3</v>
      </c>
      <c r="J13" s="20"/>
      <c r="K13" s="20" t="s">
        <v>76</v>
      </c>
      <c r="L13" s="20">
        <v>3.32544104970118E-3</v>
      </c>
      <c r="M13" s="20">
        <v>1.38692016794369E-2</v>
      </c>
      <c r="N13" s="20"/>
      <c r="O13" s="20">
        <v>7.7689301411253704E-3</v>
      </c>
      <c r="P13" s="20">
        <v>6.09816198937664E-3</v>
      </c>
      <c r="Q13" s="20"/>
      <c r="R13" s="20">
        <v>0</v>
      </c>
      <c r="S13" s="20">
        <v>5.8040415342552202E-3</v>
      </c>
      <c r="T13" s="20">
        <v>0</v>
      </c>
      <c r="U13" s="20">
        <v>0</v>
      </c>
      <c r="V13" s="20">
        <v>5.7748015910557303E-2</v>
      </c>
      <c r="W13" s="20">
        <v>0</v>
      </c>
      <c r="X13" s="20">
        <v>0</v>
      </c>
      <c r="Y13" s="20">
        <v>0</v>
      </c>
      <c r="Z13" s="20">
        <v>7.4760996894659097E-3</v>
      </c>
      <c r="AA13" s="20"/>
      <c r="AB13" s="20">
        <v>0</v>
      </c>
      <c r="AC13" s="20">
        <v>0</v>
      </c>
      <c r="AD13" s="20">
        <v>1.3953220214929399E-2</v>
      </c>
      <c r="AE13" s="20">
        <v>0</v>
      </c>
      <c r="AF13" s="20"/>
      <c r="AG13" s="20">
        <v>0</v>
      </c>
      <c r="AH13" s="20">
        <v>0</v>
      </c>
      <c r="AI13" s="20"/>
      <c r="AJ13" s="20">
        <v>0</v>
      </c>
      <c r="AK13" s="20">
        <v>1.5563024274681101E-2</v>
      </c>
      <c r="AL13" s="20"/>
      <c r="AM13" s="20">
        <v>0</v>
      </c>
      <c r="AN13" s="20">
        <v>2.6279026250238698E-2</v>
      </c>
    </row>
    <row r="14" spans="2:40" x14ac:dyDescent="0.35">
      <c r="B14" s="27" t="s">
        <v>391</v>
      </c>
    </row>
    <row r="15" spans="2:40" x14ac:dyDescent="0.35">
      <c r="B15" t="s">
        <v>72</v>
      </c>
    </row>
    <row r="16" spans="2:40" x14ac:dyDescent="0.35">
      <c r="B16" t="s">
        <v>73</v>
      </c>
    </row>
    <row r="18" spans="2:2" x14ac:dyDescent="0.35">
      <c r="B18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B2:AN18"/>
  <sheetViews>
    <sheetView showGridLines="0" workbookViewId="0">
      <pane xSplit="2" topLeftCell="C1" activePane="topRight" state="frozen"/>
      <selection pane="topRight" activeCell="B17" sqref="B17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270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747</v>
      </c>
      <c r="D7" s="10">
        <v>399</v>
      </c>
      <c r="E7" s="10">
        <v>345</v>
      </c>
      <c r="F7" s="10"/>
      <c r="G7" s="10" t="s">
        <v>75</v>
      </c>
      <c r="H7" s="10" t="s">
        <v>75</v>
      </c>
      <c r="I7" s="10">
        <v>747</v>
      </c>
      <c r="J7" s="10"/>
      <c r="K7" s="10" t="s">
        <v>75</v>
      </c>
      <c r="L7" s="10">
        <v>542</v>
      </c>
      <c r="M7" s="10">
        <v>205</v>
      </c>
      <c r="N7" s="10"/>
      <c r="O7" s="10">
        <v>618</v>
      </c>
      <c r="P7" s="10">
        <v>119</v>
      </c>
      <c r="Q7" s="10"/>
      <c r="R7" s="10">
        <v>115</v>
      </c>
      <c r="S7" s="10">
        <v>135</v>
      </c>
      <c r="T7" s="10">
        <v>54</v>
      </c>
      <c r="U7" s="10">
        <v>69</v>
      </c>
      <c r="V7" s="10">
        <v>66</v>
      </c>
      <c r="W7" s="10">
        <v>90</v>
      </c>
      <c r="X7" s="10">
        <v>43</v>
      </c>
      <c r="Y7" s="10">
        <v>44</v>
      </c>
      <c r="Z7" s="10">
        <v>131</v>
      </c>
      <c r="AA7" s="10"/>
      <c r="AB7" s="10">
        <v>105</v>
      </c>
      <c r="AC7" s="10">
        <v>114</v>
      </c>
      <c r="AD7" s="10">
        <v>101</v>
      </c>
      <c r="AE7" s="10">
        <v>87</v>
      </c>
      <c r="AF7" s="10"/>
      <c r="AG7" s="10">
        <v>75</v>
      </c>
      <c r="AH7" s="10">
        <v>32</v>
      </c>
      <c r="AI7" s="10"/>
      <c r="AJ7" s="10">
        <v>107</v>
      </c>
      <c r="AK7" s="10">
        <v>87</v>
      </c>
      <c r="AL7" s="10"/>
      <c r="AM7" s="10">
        <v>420</v>
      </c>
      <c r="AN7" s="10">
        <v>168</v>
      </c>
    </row>
    <row r="8" spans="2:40" ht="30" customHeight="1" x14ac:dyDescent="0.35">
      <c r="B8" s="11" t="s">
        <v>20</v>
      </c>
      <c r="C8" s="11">
        <v>704</v>
      </c>
      <c r="D8" s="11">
        <v>353</v>
      </c>
      <c r="E8" s="11">
        <v>348</v>
      </c>
      <c r="F8" s="11"/>
      <c r="G8" s="11" t="s">
        <v>75</v>
      </c>
      <c r="H8" s="11" t="s">
        <v>75</v>
      </c>
      <c r="I8" s="11">
        <v>704</v>
      </c>
      <c r="J8" s="11"/>
      <c r="K8" s="11" t="s">
        <v>75</v>
      </c>
      <c r="L8" s="11">
        <v>432</v>
      </c>
      <c r="M8" s="11">
        <v>272</v>
      </c>
      <c r="N8" s="11"/>
      <c r="O8" s="11">
        <v>579</v>
      </c>
      <c r="P8" s="11">
        <v>116</v>
      </c>
      <c r="Q8" s="11"/>
      <c r="R8" s="11">
        <v>121</v>
      </c>
      <c r="S8" s="11">
        <v>122</v>
      </c>
      <c r="T8" s="11">
        <v>58</v>
      </c>
      <c r="U8" s="11">
        <v>73</v>
      </c>
      <c r="V8" s="11">
        <v>65</v>
      </c>
      <c r="W8" s="11">
        <v>67</v>
      </c>
      <c r="X8" s="11">
        <v>61</v>
      </c>
      <c r="Y8" s="11">
        <v>40</v>
      </c>
      <c r="Z8" s="11">
        <v>98</v>
      </c>
      <c r="AA8" s="11"/>
      <c r="AB8" s="11">
        <v>80</v>
      </c>
      <c r="AC8" s="11">
        <v>89</v>
      </c>
      <c r="AD8" s="11">
        <v>139</v>
      </c>
      <c r="AE8" s="11">
        <v>116</v>
      </c>
      <c r="AF8" s="11"/>
      <c r="AG8" s="11">
        <v>91</v>
      </c>
      <c r="AH8" s="11">
        <v>44</v>
      </c>
      <c r="AI8" s="11"/>
      <c r="AJ8" s="11">
        <v>135</v>
      </c>
      <c r="AK8" s="11">
        <v>124</v>
      </c>
      <c r="AL8" s="11"/>
      <c r="AM8" s="11">
        <v>381</v>
      </c>
      <c r="AN8" s="11">
        <v>170</v>
      </c>
    </row>
    <row r="9" spans="2:40" x14ac:dyDescent="0.35">
      <c r="B9" s="15" t="s">
        <v>242</v>
      </c>
      <c r="C9" s="14">
        <v>0.186581338621951</v>
      </c>
      <c r="D9" s="14">
        <v>0.18277207752779601</v>
      </c>
      <c r="E9" s="14">
        <v>0.18935722452788201</v>
      </c>
      <c r="F9" s="14"/>
      <c r="G9" s="14" t="s">
        <v>76</v>
      </c>
      <c r="H9" s="14" t="s">
        <v>76</v>
      </c>
      <c r="I9" s="14">
        <v>0.186581338621951</v>
      </c>
      <c r="J9" s="14"/>
      <c r="K9" s="14" t="s">
        <v>76</v>
      </c>
      <c r="L9" s="14">
        <v>0.179714351051944</v>
      </c>
      <c r="M9" s="14">
        <v>0.19750282762827701</v>
      </c>
      <c r="N9" s="14"/>
      <c r="O9" s="14">
        <v>0.15142427214734699</v>
      </c>
      <c r="P9" s="14">
        <v>0.37709840702289099</v>
      </c>
      <c r="Q9" s="14"/>
      <c r="R9" s="14">
        <v>0.29900973767333</v>
      </c>
      <c r="S9" s="14">
        <v>0.16976237321780799</v>
      </c>
      <c r="T9" s="14">
        <v>0.174475725909396</v>
      </c>
      <c r="U9" s="14">
        <v>0.112836189992255</v>
      </c>
      <c r="V9" s="14">
        <v>0.20313264038299</v>
      </c>
      <c r="W9" s="14">
        <v>0.16807891949545001</v>
      </c>
      <c r="X9" s="14">
        <v>0.16988921226930601</v>
      </c>
      <c r="Y9" s="14">
        <v>0.101252084143282</v>
      </c>
      <c r="Z9" s="14">
        <v>0.17759296781979</v>
      </c>
      <c r="AA9" s="14"/>
      <c r="AB9" s="14">
        <v>0.13292914691216201</v>
      </c>
      <c r="AC9" s="14">
        <v>0.20879138823878199</v>
      </c>
      <c r="AD9" s="14">
        <v>0.166496799376567</v>
      </c>
      <c r="AE9" s="14">
        <v>0.222275411870312</v>
      </c>
      <c r="AF9" s="14"/>
      <c r="AG9" s="14">
        <v>0.35638197017574602</v>
      </c>
      <c r="AH9" s="14">
        <v>9.5088277919030795E-2</v>
      </c>
      <c r="AI9" s="14"/>
      <c r="AJ9" s="14">
        <v>0.27198802098140001</v>
      </c>
      <c r="AK9" s="14">
        <v>0.119360918473217</v>
      </c>
      <c r="AL9" s="14"/>
      <c r="AM9" s="14">
        <v>0.29832673063311799</v>
      </c>
      <c r="AN9" s="14">
        <v>5.3780276714610699E-2</v>
      </c>
    </row>
    <row r="10" spans="2:40" x14ac:dyDescent="0.35">
      <c r="B10" s="15" t="s">
        <v>243</v>
      </c>
      <c r="C10" s="14">
        <v>0.41811136109193803</v>
      </c>
      <c r="D10" s="14">
        <v>0.43030967317260399</v>
      </c>
      <c r="E10" s="14">
        <v>0.406292452508833</v>
      </c>
      <c r="F10" s="14"/>
      <c r="G10" s="14" t="s">
        <v>76</v>
      </c>
      <c r="H10" s="14" t="s">
        <v>76</v>
      </c>
      <c r="I10" s="14">
        <v>0.41811136109193803</v>
      </c>
      <c r="J10" s="14"/>
      <c r="K10" s="14" t="s">
        <v>76</v>
      </c>
      <c r="L10" s="14">
        <v>0.42818720396286197</v>
      </c>
      <c r="M10" s="14">
        <v>0.40208640021609299</v>
      </c>
      <c r="N10" s="14"/>
      <c r="O10" s="14">
        <v>0.422323974592694</v>
      </c>
      <c r="P10" s="14">
        <v>0.39871335964724203</v>
      </c>
      <c r="Q10" s="14"/>
      <c r="R10" s="14">
        <v>0.41699064378283202</v>
      </c>
      <c r="S10" s="14">
        <v>0.43095161888102401</v>
      </c>
      <c r="T10" s="14">
        <v>0.40986106552988399</v>
      </c>
      <c r="U10" s="14">
        <v>0.49213000840078602</v>
      </c>
      <c r="V10" s="14">
        <v>0.31875854541296</v>
      </c>
      <c r="W10" s="14">
        <v>0.45950551640343501</v>
      </c>
      <c r="X10" s="14">
        <v>0.3695662070338</v>
      </c>
      <c r="Y10" s="14">
        <v>0.33283727610286801</v>
      </c>
      <c r="Z10" s="14">
        <v>0.45551834996246898</v>
      </c>
      <c r="AA10" s="14"/>
      <c r="AB10" s="14">
        <v>0.39035798575506098</v>
      </c>
      <c r="AC10" s="14">
        <v>0.47649575146666701</v>
      </c>
      <c r="AD10" s="14">
        <v>0.36702519265755001</v>
      </c>
      <c r="AE10" s="14">
        <v>0.45423665800180701</v>
      </c>
      <c r="AF10" s="14"/>
      <c r="AG10" s="14">
        <v>0.414168991887093</v>
      </c>
      <c r="AH10" s="14">
        <v>0.35919409488923199</v>
      </c>
      <c r="AI10" s="14"/>
      <c r="AJ10" s="14">
        <v>0.39641292351769802</v>
      </c>
      <c r="AK10" s="14">
        <v>0.40861995452322097</v>
      </c>
      <c r="AL10" s="14"/>
      <c r="AM10" s="14">
        <v>0.46257948991853398</v>
      </c>
      <c r="AN10" s="14">
        <v>0.28633345349304901</v>
      </c>
    </row>
    <row r="11" spans="2:40" x14ac:dyDescent="0.35">
      <c r="B11" s="15" t="s">
        <v>244</v>
      </c>
      <c r="C11" s="14">
        <v>0.24364219240898299</v>
      </c>
      <c r="D11" s="14">
        <v>0.22929809253420999</v>
      </c>
      <c r="E11" s="14">
        <v>0.25981631191929899</v>
      </c>
      <c r="F11" s="14"/>
      <c r="G11" s="14" t="s">
        <v>76</v>
      </c>
      <c r="H11" s="14" t="s">
        <v>76</v>
      </c>
      <c r="I11" s="14">
        <v>0.24364219240898299</v>
      </c>
      <c r="J11" s="14"/>
      <c r="K11" s="14" t="s">
        <v>76</v>
      </c>
      <c r="L11" s="14">
        <v>0.233826680447213</v>
      </c>
      <c r="M11" s="14">
        <v>0.25925311421262398</v>
      </c>
      <c r="N11" s="14"/>
      <c r="O11" s="14">
        <v>0.25536699236253602</v>
      </c>
      <c r="P11" s="14">
        <v>0.17919027259991799</v>
      </c>
      <c r="Q11" s="14"/>
      <c r="R11" s="14">
        <v>0.25496368372178102</v>
      </c>
      <c r="S11" s="14">
        <v>0.275537430079209</v>
      </c>
      <c r="T11" s="14">
        <v>0.17932772315564699</v>
      </c>
      <c r="U11" s="14">
        <v>0.189670198619627</v>
      </c>
      <c r="V11" s="14">
        <v>0.32949859772395901</v>
      </c>
      <c r="W11" s="14">
        <v>0.23340924214425399</v>
      </c>
      <c r="X11" s="14">
        <v>0.271033428402914</v>
      </c>
      <c r="Y11" s="14">
        <v>0.22489736843347799</v>
      </c>
      <c r="Z11" s="14">
        <v>0.20884477743022201</v>
      </c>
      <c r="AA11" s="14"/>
      <c r="AB11" s="14">
        <v>0.28609686686043501</v>
      </c>
      <c r="AC11" s="14">
        <v>0.26351048202119098</v>
      </c>
      <c r="AD11" s="14">
        <v>0.30419369386192702</v>
      </c>
      <c r="AE11" s="14">
        <v>0.22136044913991301</v>
      </c>
      <c r="AF11" s="14"/>
      <c r="AG11" s="14">
        <v>0.146310817168395</v>
      </c>
      <c r="AH11" s="14">
        <v>0.35640019324009897</v>
      </c>
      <c r="AI11" s="14"/>
      <c r="AJ11" s="14">
        <v>0.214166539123779</v>
      </c>
      <c r="AK11" s="14">
        <v>0.322854998955246</v>
      </c>
      <c r="AL11" s="14"/>
      <c r="AM11" s="14">
        <v>0.155186322247889</v>
      </c>
      <c r="AN11" s="14">
        <v>0.37218726209900199</v>
      </c>
    </row>
    <row r="12" spans="2:40" x14ac:dyDescent="0.35">
      <c r="B12" s="15" t="s">
        <v>245</v>
      </c>
      <c r="C12" s="14">
        <v>0.10445278882078</v>
      </c>
      <c r="D12" s="14">
        <v>0.10346669176739701</v>
      </c>
      <c r="E12" s="14">
        <v>0.104049378688363</v>
      </c>
      <c r="F12" s="14"/>
      <c r="G12" s="14" t="s">
        <v>76</v>
      </c>
      <c r="H12" s="14" t="s">
        <v>76</v>
      </c>
      <c r="I12" s="14">
        <v>0.10445278882078</v>
      </c>
      <c r="J12" s="14"/>
      <c r="K12" s="14" t="s">
        <v>76</v>
      </c>
      <c r="L12" s="14">
        <v>0.108505255077854</v>
      </c>
      <c r="M12" s="14">
        <v>9.8007609588410899E-2</v>
      </c>
      <c r="N12" s="14"/>
      <c r="O12" s="14">
        <v>0.12121741890021299</v>
      </c>
      <c r="P12" s="14">
        <v>6.4318691442378801E-3</v>
      </c>
      <c r="Q12" s="14"/>
      <c r="R12" s="14">
        <v>2.2007433260300201E-2</v>
      </c>
      <c r="S12" s="14">
        <v>9.9415630493630003E-2</v>
      </c>
      <c r="T12" s="14">
        <v>0.14235748763088801</v>
      </c>
      <c r="U12" s="14">
        <v>0.13191407961715201</v>
      </c>
      <c r="V12" s="14">
        <v>4.06198508759694E-2</v>
      </c>
      <c r="W12" s="14">
        <v>9.8272176876137998E-2</v>
      </c>
      <c r="X12" s="14">
        <v>0.16849504215335601</v>
      </c>
      <c r="Y12" s="14">
        <v>0.28183291630836899</v>
      </c>
      <c r="Z12" s="14">
        <v>0.104736890937615</v>
      </c>
      <c r="AA12" s="14"/>
      <c r="AB12" s="14">
        <v>0.172062710482733</v>
      </c>
      <c r="AC12" s="14">
        <v>2.6905554842460599E-2</v>
      </c>
      <c r="AD12" s="14">
        <v>0.118454798161269</v>
      </c>
      <c r="AE12" s="14">
        <v>7.6194793586822698E-2</v>
      </c>
      <c r="AF12" s="14"/>
      <c r="AG12" s="14">
        <v>2.0109216249426701E-2</v>
      </c>
      <c r="AH12" s="14">
        <v>0.155355445263584</v>
      </c>
      <c r="AI12" s="14"/>
      <c r="AJ12" s="14">
        <v>6.3791722633598003E-2</v>
      </c>
      <c r="AK12" s="14">
        <v>0.12772975614898199</v>
      </c>
      <c r="AL12" s="14"/>
      <c r="AM12" s="14">
        <v>4.2677075715218102E-2</v>
      </c>
      <c r="AN12" s="14">
        <v>0.23910754095216499</v>
      </c>
    </row>
    <row r="13" spans="2:40" x14ac:dyDescent="0.35">
      <c r="B13" s="15" t="s">
        <v>70</v>
      </c>
      <c r="C13" s="20">
        <v>4.72123190563477E-2</v>
      </c>
      <c r="D13" s="20">
        <v>5.4153464997992999E-2</v>
      </c>
      <c r="E13" s="20">
        <v>4.0484632355622899E-2</v>
      </c>
      <c r="F13" s="20"/>
      <c r="G13" s="20" t="s">
        <v>76</v>
      </c>
      <c r="H13" s="20" t="s">
        <v>76</v>
      </c>
      <c r="I13" s="20">
        <v>4.72123190563477E-2</v>
      </c>
      <c r="J13" s="20"/>
      <c r="K13" s="20" t="s">
        <v>76</v>
      </c>
      <c r="L13" s="20">
        <v>4.9766509460126798E-2</v>
      </c>
      <c r="M13" s="20">
        <v>4.3150048354594697E-2</v>
      </c>
      <c r="N13" s="20"/>
      <c r="O13" s="20">
        <v>4.96673419972107E-2</v>
      </c>
      <c r="P13" s="20">
        <v>3.8566091585712302E-2</v>
      </c>
      <c r="Q13" s="20"/>
      <c r="R13" s="20">
        <v>7.0285015617568402E-3</v>
      </c>
      <c r="S13" s="20">
        <v>2.43329473283302E-2</v>
      </c>
      <c r="T13" s="20">
        <v>9.3977997774186806E-2</v>
      </c>
      <c r="U13" s="20">
        <v>7.3449523370179001E-2</v>
      </c>
      <c r="V13" s="20">
        <v>0.10799036560412199</v>
      </c>
      <c r="W13" s="20">
        <v>4.07341450807229E-2</v>
      </c>
      <c r="X13" s="20">
        <v>2.1016110140624E-2</v>
      </c>
      <c r="Y13" s="20">
        <v>5.9180355012003499E-2</v>
      </c>
      <c r="Z13" s="20">
        <v>5.3307013849903599E-2</v>
      </c>
      <c r="AA13" s="20"/>
      <c r="AB13" s="20">
        <v>1.8553289989609902E-2</v>
      </c>
      <c r="AC13" s="20">
        <v>2.42968234308991E-2</v>
      </c>
      <c r="AD13" s="20">
        <v>4.3829515942687199E-2</v>
      </c>
      <c r="AE13" s="20">
        <v>2.59326874011452E-2</v>
      </c>
      <c r="AF13" s="20"/>
      <c r="AG13" s="20">
        <v>6.3029004519338794E-2</v>
      </c>
      <c r="AH13" s="20">
        <v>3.3961988688055098E-2</v>
      </c>
      <c r="AI13" s="20"/>
      <c r="AJ13" s="20">
        <v>5.3640793743525199E-2</v>
      </c>
      <c r="AK13" s="20">
        <v>2.1434371899334299E-2</v>
      </c>
      <c r="AL13" s="20"/>
      <c r="AM13" s="20">
        <v>4.1230381485240601E-2</v>
      </c>
      <c r="AN13" s="20">
        <v>4.8591466741172297E-2</v>
      </c>
    </row>
    <row r="14" spans="2:40" x14ac:dyDescent="0.35">
      <c r="B14" s="27" t="s">
        <v>391</v>
      </c>
    </row>
    <row r="15" spans="2:40" x14ac:dyDescent="0.35">
      <c r="B15" t="s">
        <v>72</v>
      </c>
    </row>
    <row r="16" spans="2:40" x14ac:dyDescent="0.35">
      <c r="B16" t="s">
        <v>73</v>
      </c>
    </row>
    <row r="18" spans="2:2" x14ac:dyDescent="0.35">
      <c r="B18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B2:AN16"/>
  <sheetViews>
    <sheetView showGridLines="0" workbookViewId="0">
      <pane xSplit="2" topLeftCell="C1" activePane="topRight" state="frozen"/>
      <selection pane="topRight" activeCell="B12" sqref="B12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271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1216</v>
      </c>
      <c r="D7" s="10">
        <v>613</v>
      </c>
      <c r="E7" s="10">
        <v>598</v>
      </c>
      <c r="F7" s="10"/>
      <c r="G7" s="10" t="s">
        <v>75</v>
      </c>
      <c r="H7" s="10" t="s">
        <v>75</v>
      </c>
      <c r="I7" s="10">
        <v>1216</v>
      </c>
      <c r="J7" s="10"/>
      <c r="K7" s="10" t="s">
        <v>75</v>
      </c>
      <c r="L7" s="10">
        <v>924</v>
      </c>
      <c r="M7" s="10">
        <v>292</v>
      </c>
      <c r="N7" s="10"/>
      <c r="O7" s="10">
        <v>1020</v>
      </c>
      <c r="P7" s="10">
        <v>166</v>
      </c>
      <c r="Q7" s="10"/>
      <c r="R7" s="10">
        <v>177</v>
      </c>
      <c r="S7" s="10">
        <v>216</v>
      </c>
      <c r="T7" s="10">
        <v>97</v>
      </c>
      <c r="U7" s="10">
        <v>116</v>
      </c>
      <c r="V7" s="10">
        <v>104</v>
      </c>
      <c r="W7" s="10">
        <v>152</v>
      </c>
      <c r="X7" s="10">
        <v>76</v>
      </c>
      <c r="Y7" s="10">
        <v>70</v>
      </c>
      <c r="Z7" s="10">
        <v>208</v>
      </c>
      <c r="AA7" s="10"/>
      <c r="AB7" s="10">
        <v>152</v>
      </c>
      <c r="AC7" s="10">
        <v>147</v>
      </c>
      <c r="AD7" s="10">
        <v>152</v>
      </c>
      <c r="AE7" s="10">
        <v>106</v>
      </c>
      <c r="AF7" s="10"/>
      <c r="AG7" s="10">
        <v>95</v>
      </c>
      <c r="AH7" s="10">
        <v>46</v>
      </c>
      <c r="AI7" s="10"/>
      <c r="AJ7" s="10">
        <v>141</v>
      </c>
      <c r="AK7" s="10">
        <v>131</v>
      </c>
      <c r="AL7" s="10"/>
      <c r="AM7" s="10">
        <v>626</v>
      </c>
      <c r="AN7" s="10">
        <v>310</v>
      </c>
    </row>
    <row r="8" spans="2:40" ht="30" customHeight="1" x14ac:dyDescent="0.35">
      <c r="B8" s="11" t="s">
        <v>20</v>
      </c>
      <c r="C8" s="11">
        <v>1136</v>
      </c>
      <c r="D8" s="11">
        <v>540</v>
      </c>
      <c r="E8" s="11">
        <v>591</v>
      </c>
      <c r="F8" s="11"/>
      <c r="G8" s="11" t="s">
        <v>75</v>
      </c>
      <c r="H8" s="11" t="s">
        <v>75</v>
      </c>
      <c r="I8" s="11">
        <v>1136</v>
      </c>
      <c r="J8" s="11"/>
      <c r="K8" s="11" t="s">
        <v>75</v>
      </c>
      <c r="L8" s="11">
        <v>745</v>
      </c>
      <c r="M8" s="11">
        <v>391</v>
      </c>
      <c r="N8" s="11"/>
      <c r="O8" s="11">
        <v>946</v>
      </c>
      <c r="P8" s="11">
        <v>161</v>
      </c>
      <c r="Q8" s="11"/>
      <c r="R8" s="11">
        <v>183</v>
      </c>
      <c r="S8" s="11">
        <v>192</v>
      </c>
      <c r="T8" s="11">
        <v>104</v>
      </c>
      <c r="U8" s="11">
        <v>121</v>
      </c>
      <c r="V8" s="11">
        <v>99</v>
      </c>
      <c r="W8" s="11">
        <v>112</v>
      </c>
      <c r="X8" s="11">
        <v>107</v>
      </c>
      <c r="Y8" s="11">
        <v>62</v>
      </c>
      <c r="Z8" s="11">
        <v>157</v>
      </c>
      <c r="AA8" s="11"/>
      <c r="AB8" s="11">
        <v>117</v>
      </c>
      <c r="AC8" s="11">
        <v>117</v>
      </c>
      <c r="AD8" s="11">
        <v>211</v>
      </c>
      <c r="AE8" s="11">
        <v>141</v>
      </c>
      <c r="AF8" s="11"/>
      <c r="AG8" s="11">
        <v>117</v>
      </c>
      <c r="AH8" s="11">
        <v>63</v>
      </c>
      <c r="AI8" s="11"/>
      <c r="AJ8" s="11">
        <v>180</v>
      </c>
      <c r="AK8" s="11">
        <v>185</v>
      </c>
      <c r="AL8" s="11"/>
      <c r="AM8" s="11">
        <v>567</v>
      </c>
      <c r="AN8" s="11">
        <v>311</v>
      </c>
    </row>
    <row r="9" spans="2:40" x14ac:dyDescent="0.35">
      <c r="B9" s="15" t="s">
        <v>44</v>
      </c>
      <c r="C9" s="14">
        <v>0.49472711290471699</v>
      </c>
      <c r="D9" s="14">
        <v>0.53038850217328903</v>
      </c>
      <c r="E9" s="14">
        <v>0.46060008667483598</v>
      </c>
      <c r="F9" s="14"/>
      <c r="G9" s="14" t="s">
        <v>76</v>
      </c>
      <c r="H9" s="14" t="s">
        <v>76</v>
      </c>
      <c r="I9" s="14">
        <v>0.49472711290471699</v>
      </c>
      <c r="J9" s="14"/>
      <c r="K9" s="14" t="s">
        <v>76</v>
      </c>
      <c r="L9" s="14">
        <v>0.47419444629554502</v>
      </c>
      <c r="M9" s="14">
        <v>0.53377481129701498</v>
      </c>
      <c r="N9" s="14"/>
      <c r="O9" s="14">
        <v>0.475602063524595</v>
      </c>
      <c r="P9" s="14">
        <v>0.65036424821512995</v>
      </c>
      <c r="Q9" s="14"/>
      <c r="R9" s="14">
        <v>0.54448294800349595</v>
      </c>
      <c r="S9" s="14">
        <v>0.51423231163042704</v>
      </c>
      <c r="T9" s="14">
        <v>0.48415807679206202</v>
      </c>
      <c r="U9" s="14">
        <v>0.43961064849750697</v>
      </c>
      <c r="V9" s="14">
        <v>0.50780788648574005</v>
      </c>
      <c r="W9" s="14">
        <v>0.44005227918079998</v>
      </c>
      <c r="X9" s="14">
        <v>0.51088829472609898</v>
      </c>
      <c r="Y9" s="14">
        <v>0.40208086963747097</v>
      </c>
      <c r="Z9" s="14">
        <v>0.51891664685672301</v>
      </c>
      <c r="AA9" s="14"/>
      <c r="AB9" s="14">
        <v>0.60664210077292302</v>
      </c>
      <c r="AC9" s="14">
        <v>0.68854294489224899</v>
      </c>
      <c r="AD9" s="14">
        <v>0.475113742747856</v>
      </c>
      <c r="AE9" s="14">
        <v>0.66312400274759298</v>
      </c>
      <c r="AF9" s="14"/>
      <c r="AG9" s="14">
        <v>0.64796613821799498</v>
      </c>
      <c r="AH9" s="14">
        <v>0.37730456691050901</v>
      </c>
      <c r="AI9" s="14"/>
      <c r="AJ9" s="14">
        <v>0.55336993629100295</v>
      </c>
      <c r="AK9" s="14">
        <v>0.52331659482887605</v>
      </c>
      <c r="AL9" s="14"/>
      <c r="AM9" s="14">
        <v>0.60047679698346801</v>
      </c>
      <c r="AN9" s="14">
        <v>0.34521363145566297</v>
      </c>
    </row>
    <row r="10" spans="2:40" x14ac:dyDescent="0.35">
      <c r="B10" s="15" t="s">
        <v>45</v>
      </c>
      <c r="C10" s="14">
        <v>0.36732063989112901</v>
      </c>
      <c r="D10" s="14">
        <v>0.34955401284085202</v>
      </c>
      <c r="E10" s="14">
        <v>0.38516578752994601</v>
      </c>
      <c r="F10" s="14"/>
      <c r="G10" s="14" t="s">
        <v>76</v>
      </c>
      <c r="H10" s="14" t="s">
        <v>76</v>
      </c>
      <c r="I10" s="14">
        <v>0.36732063989112901</v>
      </c>
      <c r="J10" s="14"/>
      <c r="K10" s="14" t="s">
        <v>76</v>
      </c>
      <c r="L10" s="14">
        <v>0.39897221886222001</v>
      </c>
      <c r="M10" s="14">
        <v>0.30712771255109</v>
      </c>
      <c r="N10" s="14"/>
      <c r="O10" s="14">
        <v>0.379404144378584</v>
      </c>
      <c r="P10" s="14">
        <v>0.25442913869456102</v>
      </c>
      <c r="Q10" s="14"/>
      <c r="R10" s="14">
        <v>0.36170052653343998</v>
      </c>
      <c r="S10" s="14">
        <v>0.31268489412892098</v>
      </c>
      <c r="T10" s="14">
        <v>0.35568662843884602</v>
      </c>
      <c r="U10" s="14">
        <v>0.46142348108515802</v>
      </c>
      <c r="V10" s="14">
        <v>0.35250344785613602</v>
      </c>
      <c r="W10" s="14">
        <v>0.38911970015137398</v>
      </c>
      <c r="X10" s="14">
        <v>0.32007873981864998</v>
      </c>
      <c r="Y10" s="14">
        <v>0.45714776890311798</v>
      </c>
      <c r="Z10" s="14">
        <v>0.36631251463055298</v>
      </c>
      <c r="AA10" s="14"/>
      <c r="AB10" s="14">
        <v>0.28568894446086401</v>
      </c>
      <c r="AC10" s="14">
        <v>0.28075057476644499</v>
      </c>
      <c r="AD10" s="14">
        <v>0.33686030552000501</v>
      </c>
      <c r="AE10" s="14">
        <v>0.26049538094871599</v>
      </c>
      <c r="AF10" s="14"/>
      <c r="AG10" s="14">
        <v>0.233949955071385</v>
      </c>
      <c r="AH10" s="14">
        <v>0.41251606354690701</v>
      </c>
      <c r="AI10" s="14"/>
      <c r="AJ10" s="14">
        <v>0.29635879860638997</v>
      </c>
      <c r="AK10" s="14">
        <v>0.32826897388966703</v>
      </c>
      <c r="AL10" s="14"/>
      <c r="AM10" s="14">
        <v>0.31005221511320702</v>
      </c>
      <c r="AN10" s="14">
        <v>0.45713802063502601</v>
      </c>
    </row>
    <row r="11" spans="2:40" x14ac:dyDescent="0.35">
      <c r="B11" s="15" t="s">
        <v>70</v>
      </c>
      <c r="C11" s="20">
        <v>0.137952247204154</v>
      </c>
      <c r="D11" s="20">
        <v>0.120057484985859</v>
      </c>
      <c r="E11" s="20">
        <v>0.154234125795219</v>
      </c>
      <c r="F11" s="20"/>
      <c r="G11" s="20" t="s">
        <v>76</v>
      </c>
      <c r="H11" s="20" t="s">
        <v>76</v>
      </c>
      <c r="I11" s="20">
        <v>0.137952247204154</v>
      </c>
      <c r="J11" s="20"/>
      <c r="K11" s="20" t="s">
        <v>76</v>
      </c>
      <c r="L11" s="20">
        <v>0.126833334842235</v>
      </c>
      <c r="M11" s="20">
        <v>0.15909747615189501</v>
      </c>
      <c r="N11" s="20"/>
      <c r="O11" s="20">
        <v>0.14499379209682001</v>
      </c>
      <c r="P11" s="20">
        <v>9.5206613090309394E-2</v>
      </c>
      <c r="Q11" s="20"/>
      <c r="R11" s="20">
        <v>9.3816525463063696E-2</v>
      </c>
      <c r="S11" s="20">
        <v>0.17308279424065201</v>
      </c>
      <c r="T11" s="20">
        <v>0.16015529476909199</v>
      </c>
      <c r="U11" s="20">
        <v>9.8965870417335802E-2</v>
      </c>
      <c r="V11" s="20">
        <v>0.13968866565812399</v>
      </c>
      <c r="W11" s="20">
        <v>0.17082802066782601</v>
      </c>
      <c r="X11" s="20">
        <v>0.16903296545525101</v>
      </c>
      <c r="Y11" s="20">
        <v>0.14077136145941099</v>
      </c>
      <c r="Z11" s="20">
        <v>0.114770838512723</v>
      </c>
      <c r="AA11" s="20"/>
      <c r="AB11" s="20">
        <v>0.10766895476621299</v>
      </c>
      <c r="AC11" s="20">
        <v>3.0706480341305999E-2</v>
      </c>
      <c r="AD11" s="20">
        <v>0.18802595173213901</v>
      </c>
      <c r="AE11" s="20">
        <v>7.6380616303691806E-2</v>
      </c>
      <c r="AF11" s="20"/>
      <c r="AG11" s="20">
        <v>0.11808390671062</v>
      </c>
      <c r="AH11" s="20">
        <v>0.21017936954258401</v>
      </c>
      <c r="AI11" s="20"/>
      <c r="AJ11" s="20">
        <v>0.15027126510260599</v>
      </c>
      <c r="AK11" s="20">
        <v>0.14841443128145701</v>
      </c>
      <c r="AL11" s="20"/>
      <c r="AM11" s="20">
        <v>8.9470987903325597E-2</v>
      </c>
      <c r="AN11" s="20">
        <v>0.19764834790931099</v>
      </c>
    </row>
    <row r="12" spans="2:40" x14ac:dyDescent="0.35">
      <c r="B12" s="27" t="s">
        <v>390</v>
      </c>
    </row>
    <row r="13" spans="2:40" x14ac:dyDescent="0.35">
      <c r="B13" t="s">
        <v>72</v>
      </c>
    </row>
    <row r="14" spans="2:40" x14ac:dyDescent="0.35">
      <c r="B14" t="s">
        <v>73</v>
      </c>
    </row>
    <row r="16" spans="2:40" x14ac:dyDescent="0.35">
      <c r="B16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dimension ref="B2:AN18"/>
  <sheetViews>
    <sheetView showGridLines="0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272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598</v>
      </c>
      <c r="D7" s="10">
        <v>319</v>
      </c>
      <c r="E7" s="10">
        <v>276</v>
      </c>
      <c r="F7" s="10"/>
      <c r="G7" s="10" t="s">
        <v>75</v>
      </c>
      <c r="H7" s="10" t="s">
        <v>75</v>
      </c>
      <c r="I7" s="10">
        <v>598</v>
      </c>
      <c r="J7" s="10"/>
      <c r="K7" s="10" t="s">
        <v>75</v>
      </c>
      <c r="L7" s="10">
        <v>442</v>
      </c>
      <c r="M7" s="10">
        <v>156</v>
      </c>
      <c r="N7" s="10"/>
      <c r="O7" s="10">
        <v>485</v>
      </c>
      <c r="P7" s="10">
        <v>105</v>
      </c>
      <c r="Q7" s="10"/>
      <c r="R7" s="10">
        <v>97</v>
      </c>
      <c r="S7" s="10">
        <v>108</v>
      </c>
      <c r="T7" s="10">
        <v>49</v>
      </c>
      <c r="U7" s="10">
        <v>49</v>
      </c>
      <c r="V7" s="10">
        <v>53</v>
      </c>
      <c r="W7" s="10">
        <v>66</v>
      </c>
      <c r="X7" s="10">
        <v>38</v>
      </c>
      <c r="Y7" s="10">
        <v>29</v>
      </c>
      <c r="Z7" s="10">
        <v>109</v>
      </c>
      <c r="AA7" s="10"/>
      <c r="AB7" s="10">
        <v>92</v>
      </c>
      <c r="AC7" s="10">
        <v>102</v>
      </c>
      <c r="AD7" s="10">
        <v>74</v>
      </c>
      <c r="AE7" s="10">
        <v>68</v>
      </c>
      <c r="AF7" s="10"/>
      <c r="AG7" s="10">
        <v>58</v>
      </c>
      <c r="AH7" s="10">
        <v>18</v>
      </c>
      <c r="AI7" s="10"/>
      <c r="AJ7" s="10">
        <v>76</v>
      </c>
      <c r="AK7" s="10">
        <v>70</v>
      </c>
      <c r="AL7" s="10"/>
      <c r="AM7" s="10">
        <v>370</v>
      </c>
      <c r="AN7" s="10">
        <v>106</v>
      </c>
    </row>
    <row r="8" spans="2:40" ht="30" customHeight="1" x14ac:dyDescent="0.35">
      <c r="B8" s="11" t="s">
        <v>20</v>
      </c>
      <c r="C8" s="11">
        <v>562</v>
      </c>
      <c r="D8" s="11">
        <v>287</v>
      </c>
      <c r="E8" s="11">
        <v>272</v>
      </c>
      <c r="F8" s="11"/>
      <c r="G8" s="11" t="s">
        <v>75</v>
      </c>
      <c r="H8" s="11" t="s">
        <v>75</v>
      </c>
      <c r="I8" s="11">
        <v>562</v>
      </c>
      <c r="J8" s="11"/>
      <c r="K8" s="11" t="s">
        <v>75</v>
      </c>
      <c r="L8" s="11">
        <v>353</v>
      </c>
      <c r="M8" s="11">
        <v>209</v>
      </c>
      <c r="N8" s="11"/>
      <c r="O8" s="11">
        <v>450</v>
      </c>
      <c r="P8" s="11">
        <v>105</v>
      </c>
      <c r="Q8" s="11"/>
      <c r="R8" s="11">
        <v>100</v>
      </c>
      <c r="S8" s="11">
        <v>99</v>
      </c>
      <c r="T8" s="11">
        <v>50</v>
      </c>
      <c r="U8" s="11">
        <v>53</v>
      </c>
      <c r="V8" s="11">
        <v>50</v>
      </c>
      <c r="W8" s="11">
        <v>49</v>
      </c>
      <c r="X8" s="11">
        <v>55</v>
      </c>
      <c r="Y8" s="11">
        <v>25</v>
      </c>
      <c r="Z8" s="11">
        <v>81</v>
      </c>
      <c r="AA8" s="11"/>
      <c r="AB8" s="11">
        <v>71</v>
      </c>
      <c r="AC8" s="11">
        <v>80</v>
      </c>
      <c r="AD8" s="11">
        <v>100</v>
      </c>
      <c r="AE8" s="11">
        <v>93</v>
      </c>
      <c r="AF8" s="11"/>
      <c r="AG8" s="11">
        <v>76</v>
      </c>
      <c r="AH8" s="11">
        <v>24</v>
      </c>
      <c r="AI8" s="11"/>
      <c r="AJ8" s="11">
        <v>100</v>
      </c>
      <c r="AK8" s="11">
        <v>97</v>
      </c>
      <c r="AL8" s="11"/>
      <c r="AM8" s="11">
        <v>340</v>
      </c>
      <c r="AN8" s="11">
        <v>107</v>
      </c>
    </row>
    <row r="9" spans="2:40" x14ac:dyDescent="0.35">
      <c r="B9" s="15" t="s">
        <v>155</v>
      </c>
      <c r="C9" s="14">
        <v>0.102712335620192</v>
      </c>
      <c r="D9" s="14">
        <v>9.7188880831201405E-2</v>
      </c>
      <c r="E9" s="14">
        <v>0.109784141726399</v>
      </c>
      <c r="F9" s="14"/>
      <c r="G9" s="14" t="s">
        <v>76</v>
      </c>
      <c r="H9" s="14" t="s">
        <v>76</v>
      </c>
      <c r="I9" s="14">
        <v>0.102712335620192</v>
      </c>
      <c r="J9" s="14"/>
      <c r="K9" s="14" t="s">
        <v>76</v>
      </c>
      <c r="L9" s="14">
        <v>0.107457183238687</v>
      </c>
      <c r="M9" s="14">
        <v>9.4696095055606694E-2</v>
      </c>
      <c r="N9" s="14"/>
      <c r="O9" s="14">
        <v>9.6338775750888297E-2</v>
      </c>
      <c r="P9" s="14">
        <v>0.13710393084106801</v>
      </c>
      <c r="Q9" s="14"/>
      <c r="R9" s="14">
        <v>0.125246875610385</v>
      </c>
      <c r="S9" s="14">
        <v>8.6448860728041699E-2</v>
      </c>
      <c r="T9" s="14">
        <v>7.2246298347237004E-2</v>
      </c>
      <c r="U9" s="14">
        <v>0.109484838868024</v>
      </c>
      <c r="V9" s="14">
        <v>0.100015678666436</v>
      </c>
      <c r="W9" s="14">
        <v>0.14260969362126</v>
      </c>
      <c r="X9" s="14">
        <v>9.1633581489005897E-2</v>
      </c>
      <c r="Y9" s="14">
        <v>5.95281125695084E-2</v>
      </c>
      <c r="Z9" s="14">
        <v>0.107421985645461</v>
      </c>
      <c r="AA9" s="14"/>
      <c r="AB9" s="14">
        <v>0.117942163553791</v>
      </c>
      <c r="AC9" s="14">
        <v>9.9720447712872501E-2</v>
      </c>
      <c r="AD9" s="14">
        <v>4.0174164777592503E-2</v>
      </c>
      <c r="AE9" s="14">
        <v>9.4129387197885397E-2</v>
      </c>
      <c r="AF9" s="14"/>
      <c r="AG9" s="14">
        <v>0.132510631145</v>
      </c>
      <c r="AH9" s="14">
        <v>0.120695125515336</v>
      </c>
      <c r="AI9" s="14"/>
      <c r="AJ9" s="14">
        <v>0.129694999008684</v>
      </c>
      <c r="AK9" s="14">
        <v>3.3672779730599699E-2</v>
      </c>
      <c r="AL9" s="14"/>
      <c r="AM9" s="14">
        <v>0.13656732007764599</v>
      </c>
      <c r="AN9" s="14">
        <v>3.1466161151999898E-2</v>
      </c>
    </row>
    <row r="10" spans="2:40" x14ac:dyDescent="0.35">
      <c r="B10" s="15" t="s">
        <v>156</v>
      </c>
      <c r="C10" s="14">
        <v>0.53187586783091401</v>
      </c>
      <c r="D10" s="14">
        <v>0.52999225652995197</v>
      </c>
      <c r="E10" s="14">
        <v>0.52815009127988499</v>
      </c>
      <c r="F10" s="14"/>
      <c r="G10" s="14" t="s">
        <v>76</v>
      </c>
      <c r="H10" s="14" t="s">
        <v>76</v>
      </c>
      <c r="I10" s="14">
        <v>0.53187586783091401</v>
      </c>
      <c r="J10" s="14"/>
      <c r="K10" s="14" t="s">
        <v>76</v>
      </c>
      <c r="L10" s="14">
        <v>0.51939370983573796</v>
      </c>
      <c r="M10" s="14">
        <v>0.55296400159193704</v>
      </c>
      <c r="N10" s="14"/>
      <c r="O10" s="14">
        <v>0.53813154207513603</v>
      </c>
      <c r="P10" s="14">
        <v>0.51290976001465305</v>
      </c>
      <c r="Q10" s="14"/>
      <c r="R10" s="14">
        <v>0.60225584418859701</v>
      </c>
      <c r="S10" s="14">
        <v>0.55158999590757896</v>
      </c>
      <c r="T10" s="14">
        <v>0.454667052443332</v>
      </c>
      <c r="U10" s="14">
        <v>0.45453658375906297</v>
      </c>
      <c r="V10" s="14">
        <v>0.49578930439383101</v>
      </c>
      <c r="W10" s="14">
        <v>0.482559376360021</v>
      </c>
      <c r="X10" s="14">
        <v>0.42641849901515</v>
      </c>
      <c r="Y10" s="14">
        <v>0.72615583262200301</v>
      </c>
      <c r="Z10" s="14">
        <v>0.58298061492609798</v>
      </c>
      <c r="AA10" s="14"/>
      <c r="AB10" s="14">
        <v>0.559684988564084</v>
      </c>
      <c r="AC10" s="14">
        <v>0.55137159658349399</v>
      </c>
      <c r="AD10" s="14">
        <v>0.56527736243424898</v>
      </c>
      <c r="AE10" s="14">
        <v>0.572691077635607</v>
      </c>
      <c r="AF10" s="14"/>
      <c r="AG10" s="14">
        <v>0.63873724862481496</v>
      </c>
      <c r="AH10" s="14">
        <v>0.62950741777424801</v>
      </c>
      <c r="AI10" s="14"/>
      <c r="AJ10" s="14">
        <v>0.63653778216352597</v>
      </c>
      <c r="AK10" s="14">
        <v>0.49080240921596002</v>
      </c>
      <c r="AL10" s="14"/>
      <c r="AM10" s="14">
        <v>0.55466480182137601</v>
      </c>
      <c r="AN10" s="14">
        <v>0.49366961567942602</v>
      </c>
    </row>
    <row r="11" spans="2:40" x14ac:dyDescent="0.35">
      <c r="B11" s="15" t="s">
        <v>157</v>
      </c>
      <c r="C11" s="14">
        <v>0.25233345047598199</v>
      </c>
      <c r="D11" s="14">
        <v>0.26711471684996202</v>
      </c>
      <c r="E11" s="14">
        <v>0.23983942132174699</v>
      </c>
      <c r="F11" s="14"/>
      <c r="G11" s="14" t="s">
        <v>76</v>
      </c>
      <c r="H11" s="14" t="s">
        <v>76</v>
      </c>
      <c r="I11" s="14">
        <v>0.25233345047598199</v>
      </c>
      <c r="J11" s="14"/>
      <c r="K11" s="14" t="s">
        <v>76</v>
      </c>
      <c r="L11" s="14">
        <v>0.25420877401737102</v>
      </c>
      <c r="M11" s="14">
        <v>0.24916516229205601</v>
      </c>
      <c r="N11" s="14"/>
      <c r="O11" s="14">
        <v>0.25330394887985103</v>
      </c>
      <c r="P11" s="14">
        <v>0.25725907972775403</v>
      </c>
      <c r="Q11" s="14"/>
      <c r="R11" s="14">
        <v>0.19654709872135201</v>
      </c>
      <c r="S11" s="14">
        <v>0.224170442040806</v>
      </c>
      <c r="T11" s="14">
        <v>0.381010308964988</v>
      </c>
      <c r="U11" s="14">
        <v>0.30183665456675901</v>
      </c>
      <c r="V11" s="14">
        <v>0.27160347048057698</v>
      </c>
      <c r="W11" s="14">
        <v>0.20929198447733</v>
      </c>
      <c r="X11" s="14">
        <v>0.30100872666767597</v>
      </c>
      <c r="Y11" s="14">
        <v>0.214316054808488</v>
      </c>
      <c r="Z11" s="14">
        <v>0.23641934806697801</v>
      </c>
      <c r="AA11" s="14"/>
      <c r="AB11" s="14">
        <v>0.26070995793266699</v>
      </c>
      <c r="AC11" s="14">
        <v>0.25487975833074</v>
      </c>
      <c r="AD11" s="14">
        <v>0.24786628929421001</v>
      </c>
      <c r="AE11" s="14">
        <v>0.27491824095725198</v>
      </c>
      <c r="AF11" s="14"/>
      <c r="AG11" s="14">
        <v>0.15746281356050501</v>
      </c>
      <c r="AH11" s="14">
        <v>0.19076904211443901</v>
      </c>
      <c r="AI11" s="14"/>
      <c r="AJ11" s="14">
        <v>0.16539967977641401</v>
      </c>
      <c r="AK11" s="14">
        <v>0.34540655792396202</v>
      </c>
      <c r="AL11" s="14"/>
      <c r="AM11" s="14">
        <v>0.20724310229189699</v>
      </c>
      <c r="AN11" s="14">
        <v>0.32410001110405101</v>
      </c>
    </row>
    <row r="12" spans="2:40" x14ac:dyDescent="0.35">
      <c r="B12" s="15" t="s">
        <v>158</v>
      </c>
      <c r="C12" s="14">
        <v>9.7435697033315796E-2</v>
      </c>
      <c r="D12" s="14">
        <v>9.6579780567668E-2</v>
      </c>
      <c r="E12" s="14">
        <v>9.95259147797697E-2</v>
      </c>
      <c r="F12" s="14"/>
      <c r="G12" s="14" t="s">
        <v>76</v>
      </c>
      <c r="H12" s="14" t="s">
        <v>76</v>
      </c>
      <c r="I12" s="14">
        <v>9.7435697033315796E-2</v>
      </c>
      <c r="J12" s="14"/>
      <c r="K12" s="14" t="s">
        <v>76</v>
      </c>
      <c r="L12" s="14">
        <v>0.10259242819323899</v>
      </c>
      <c r="M12" s="14">
        <v>8.8723594806110098E-2</v>
      </c>
      <c r="N12" s="14"/>
      <c r="O12" s="14">
        <v>9.9581309311347802E-2</v>
      </c>
      <c r="P12" s="14">
        <v>8.6876394735707504E-2</v>
      </c>
      <c r="Q12" s="14"/>
      <c r="R12" s="14">
        <v>7.5950181479665702E-2</v>
      </c>
      <c r="S12" s="14">
        <v>0.12168655431591301</v>
      </c>
      <c r="T12" s="14">
        <v>7.32356686449845E-2</v>
      </c>
      <c r="U12" s="14">
        <v>0.134141922806155</v>
      </c>
      <c r="V12" s="14">
        <v>0.115218138862087</v>
      </c>
      <c r="W12" s="14">
        <v>0.123077654322341</v>
      </c>
      <c r="X12" s="14">
        <v>0.16020786814708701</v>
      </c>
      <c r="Y12" s="14">
        <v>0</v>
      </c>
      <c r="Z12" s="14">
        <v>4.6686042679071699E-2</v>
      </c>
      <c r="AA12" s="14"/>
      <c r="AB12" s="14">
        <v>6.1662889949458101E-2</v>
      </c>
      <c r="AC12" s="14">
        <v>7.9943143071615597E-2</v>
      </c>
      <c r="AD12" s="14">
        <v>0.116605782883796</v>
      </c>
      <c r="AE12" s="14">
        <v>5.8261294209255403E-2</v>
      </c>
      <c r="AF12" s="14"/>
      <c r="AG12" s="14">
        <v>7.1289306669679794E-2</v>
      </c>
      <c r="AH12" s="14">
        <v>5.9028414595976901E-2</v>
      </c>
      <c r="AI12" s="14"/>
      <c r="AJ12" s="14">
        <v>6.8367539051376894E-2</v>
      </c>
      <c r="AK12" s="14">
        <v>9.8907638330772304E-2</v>
      </c>
      <c r="AL12" s="14"/>
      <c r="AM12" s="14">
        <v>9.1114178813414104E-2</v>
      </c>
      <c r="AN12" s="14">
        <v>0.12928838092870101</v>
      </c>
    </row>
    <row r="13" spans="2:40" x14ac:dyDescent="0.35">
      <c r="B13" s="15" t="s">
        <v>70</v>
      </c>
      <c r="C13" s="20">
        <v>1.5642649039596002E-2</v>
      </c>
      <c r="D13" s="20">
        <v>9.1243652212175293E-3</v>
      </c>
      <c r="E13" s="20">
        <v>2.2700430892199499E-2</v>
      </c>
      <c r="F13" s="20"/>
      <c r="G13" s="20" t="s">
        <v>76</v>
      </c>
      <c r="H13" s="20" t="s">
        <v>76</v>
      </c>
      <c r="I13" s="20">
        <v>1.5642649039596002E-2</v>
      </c>
      <c r="J13" s="20"/>
      <c r="K13" s="20" t="s">
        <v>76</v>
      </c>
      <c r="L13" s="20">
        <v>1.6347904714964001E-2</v>
      </c>
      <c r="M13" s="20">
        <v>1.4451146254290099E-2</v>
      </c>
      <c r="N13" s="20"/>
      <c r="O13" s="20">
        <v>1.2644423982777099E-2</v>
      </c>
      <c r="P13" s="20">
        <v>5.85083468081736E-3</v>
      </c>
      <c r="Q13" s="20"/>
      <c r="R13" s="20">
        <v>0</v>
      </c>
      <c r="S13" s="20">
        <v>1.6104147007660299E-2</v>
      </c>
      <c r="T13" s="20">
        <v>1.8840671599459E-2</v>
      </c>
      <c r="U13" s="20">
        <v>0</v>
      </c>
      <c r="V13" s="20">
        <v>1.7373407597069099E-2</v>
      </c>
      <c r="W13" s="20">
        <v>4.2461291219048798E-2</v>
      </c>
      <c r="X13" s="20">
        <v>2.07313246810816E-2</v>
      </c>
      <c r="Y13" s="20">
        <v>0</v>
      </c>
      <c r="Z13" s="20">
        <v>2.6492008682392602E-2</v>
      </c>
      <c r="AA13" s="20"/>
      <c r="AB13" s="20">
        <v>0</v>
      </c>
      <c r="AC13" s="20">
        <v>1.40850543012776E-2</v>
      </c>
      <c r="AD13" s="20">
        <v>3.0076400610152602E-2</v>
      </c>
      <c r="AE13" s="20">
        <v>0</v>
      </c>
      <c r="AF13" s="20"/>
      <c r="AG13" s="20">
        <v>0</v>
      </c>
      <c r="AH13" s="20">
        <v>0</v>
      </c>
      <c r="AI13" s="20"/>
      <c r="AJ13" s="20">
        <v>0</v>
      </c>
      <c r="AK13" s="20">
        <v>3.1210614798706099E-2</v>
      </c>
      <c r="AL13" s="20"/>
      <c r="AM13" s="20">
        <v>1.04105969956657E-2</v>
      </c>
      <c r="AN13" s="20">
        <v>2.14758311358214E-2</v>
      </c>
    </row>
    <row r="14" spans="2:40" x14ac:dyDescent="0.35">
      <c r="B14" s="27" t="s">
        <v>284</v>
      </c>
    </row>
    <row r="15" spans="2:40" x14ac:dyDescent="0.35">
      <c r="B15" t="s">
        <v>72</v>
      </c>
    </row>
    <row r="16" spans="2:40" x14ac:dyDescent="0.35">
      <c r="B16" t="s">
        <v>73</v>
      </c>
    </row>
    <row r="18" spans="2:2" x14ac:dyDescent="0.35">
      <c r="B18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dimension ref="B2:AN19"/>
  <sheetViews>
    <sheetView showGridLines="0" workbookViewId="0">
      <pane xSplit="2" topLeftCell="C1" activePane="topRight" state="frozen"/>
      <selection pane="topRight" activeCell="H12" sqref="H12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274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598</v>
      </c>
      <c r="D7" s="10">
        <v>319</v>
      </c>
      <c r="E7" s="10">
        <v>276</v>
      </c>
      <c r="F7" s="10"/>
      <c r="G7" s="10" t="s">
        <v>75</v>
      </c>
      <c r="H7" s="10" t="s">
        <v>75</v>
      </c>
      <c r="I7" s="10">
        <v>598</v>
      </c>
      <c r="J7" s="10"/>
      <c r="K7" s="10" t="s">
        <v>75</v>
      </c>
      <c r="L7" s="10">
        <v>442</v>
      </c>
      <c r="M7" s="10">
        <v>156</v>
      </c>
      <c r="N7" s="10"/>
      <c r="O7" s="10">
        <v>485</v>
      </c>
      <c r="P7" s="10">
        <v>105</v>
      </c>
      <c r="Q7" s="10"/>
      <c r="R7" s="10">
        <v>97</v>
      </c>
      <c r="S7" s="10">
        <v>108</v>
      </c>
      <c r="T7" s="10">
        <v>49</v>
      </c>
      <c r="U7" s="10">
        <v>49</v>
      </c>
      <c r="V7" s="10">
        <v>53</v>
      </c>
      <c r="W7" s="10">
        <v>66</v>
      </c>
      <c r="X7" s="10">
        <v>38</v>
      </c>
      <c r="Y7" s="10">
        <v>29</v>
      </c>
      <c r="Z7" s="10">
        <v>109</v>
      </c>
      <c r="AA7" s="10"/>
      <c r="AB7" s="10">
        <v>92</v>
      </c>
      <c r="AC7" s="10">
        <v>102</v>
      </c>
      <c r="AD7" s="10">
        <v>74</v>
      </c>
      <c r="AE7" s="10">
        <v>68</v>
      </c>
      <c r="AF7" s="10"/>
      <c r="AG7" s="10">
        <v>58</v>
      </c>
      <c r="AH7" s="10">
        <v>18</v>
      </c>
      <c r="AI7" s="10"/>
      <c r="AJ7" s="10">
        <v>76</v>
      </c>
      <c r="AK7" s="10">
        <v>70</v>
      </c>
      <c r="AL7" s="10"/>
      <c r="AM7" s="10">
        <v>370</v>
      </c>
      <c r="AN7" s="10">
        <v>106</v>
      </c>
    </row>
    <row r="8" spans="2:40" ht="30" customHeight="1" x14ac:dyDescent="0.35">
      <c r="B8" s="11" t="s">
        <v>20</v>
      </c>
      <c r="C8" s="11">
        <v>562</v>
      </c>
      <c r="D8" s="11">
        <v>287</v>
      </c>
      <c r="E8" s="11">
        <v>272</v>
      </c>
      <c r="F8" s="11"/>
      <c r="G8" s="11" t="s">
        <v>75</v>
      </c>
      <c r="H8" s="11" t="s">
        <v>75</v>
      </c>
      <c r="I8" s="11">
        <v>562</v>
      </c>
      <c r="J8" s="11"/>
      <c r="K8" s="11" t="s">
        <v>75</v>
      </c>
      <c r="L8" s="11">
        <v>353</v>
      </c>
      <c r="M8" s="11">
        <v>209</v>
      </c>
      <c r="N8" s="11"/>
      <c r="O8" s="11">
        <v>450</v>
      </c>
      <c r="P8" s="11">
        <v>105</v>
      </c>
      <c r="Q8" s="11"/>
      <c r="R8" s="11">
        <v>100</v>
      </c>
      <c r="S8" s="11">
        <v>99</v>
      </c>
      <c r="T8" s="11">
        <v>50</v>
      </c>
      <c r="U8" s="11">
        <v>53</v>
      </c>
      <c r="V8" s="11">
        <v>50</v>
      </c>
      <c r="W8" s="11">
        <v>49</v>
      </c>
      <c r="X8" s="11">
        <v>55</v>
      </c>
      <c r="Y8" s="11">
        <v>25</v>
      </c>
      <c r="Z8" s="11">
        <v>81</v>
      </c>
      <c r="AA8" s="11"/>
      <c r="AB8" s="11">
        <v>71</v>
      </c>
      <c r="AC8" s="11">
        <v>80</v>
      </c>
      <c r="AD8" s="11">
        <v>100</v>
      </c>
      <c r="AE8" s="11">
        <v>93</v>
      </c>
      <c r="AF8" s="11"/>
      <c r="AG8" s="11">
        <v>76</v>
      </c>
      <c r="AH8" s="11">
        <v>24</v>
      </c>
      <c r="AI8" s="11"/>
      <c r="AJ8" s="11">
        <v>100</v>
      </c>
      <c r="AK8" s="11">
        <v>97</v>
      </c>
      <c r="AL8" s="11"/>
      <c r="AM8" s="11">
        <v>340</v>
      </c>
      <c r="AN8" s="11">
        <v>107</v>
      </c>
    </row>
    <row r="9" spans="2:40" x14ac:dyDescent="0.35">
      <c r="B9" s="15" t="s">
        <v>160</v>
      </c>
      <c r="C9" s="14">
        <v>0.13828635619625099</v>
      </c>
      <c r="D9" s="14">
        <v>0.13468117299687701</v>
      </c>
      <c r="E9" s="14">
        <v>0.143771204200241</v>
      </c>
      <c r="F9" s="14"/>
      <c r="G9" s="14" t="s">
        <v>76</v>
      </c>
      <c r="H9" s="14" t="s">
        <v>76</v>
      </c>
      <c r="I9" s="14">
        <v>0.13828635619625099</v>
      </c>
      <c r="J9" s="14"/>
      <c r="K9" s="14" t="s">
        <v>76</v>
      </c>
      <c r="L9" s="14">
        <v>0.154746943559078</v>
      </c>
      <c r="M9" s="14">
        <v>0.110476816513573</v>
      </c>
      <c r="N9" s="14"/>
      <c r="O9" s="14">
        <v>0.125507996550108</v>
      </c>
      <c r="P9" s="14">
        <v>0.20260384541357199</v>
      </c>
      <c r="Q9" s="14"/>
      <c r="R9" s="14">
        <v>0.162563478019387</v>
      </c>
      <c r="S9" s="14">
        <v>0.12714957589825501</v>
      </c>
      <c r="T9" s="14">
        <v>0.103927448599847</v>
      </c>
      <c r="U9" s="14">
        <v>5.7977693886375803E-2</v>
      </c>
      <c r="V9" s="14">
        <v>9.5259601705735997E-2</v>
      </c>
      <c r="W9" s="14">
        <v>0.17385669014237601</v>
      </c>
      <c r="X9" s="14">
        <v>0.156140993609416</v>
      </c>
      <c r="Y9" s="14">
        <v>0.197896369054856</v>
      </c>
      <c r="Z9" s="14">
        <v>0.17020408184454799</v>
      </c>
      <c r="AA9" s="14"/>
      <c r="AB9" s="14">
        <v>0.122594002986704</v>
      </c>
      <c r="AC9" s="14">
        <v>0.18351267695171899</v>
      </c>
      <c r="AD9" s="14">
        <v>3.8034423641519398E-2</v>
      </c>
      <c r="AE9" s="14">
        <v>0.138152680247487</v>
      </c>
      <c r="AF9" s="14"/>
      <c r="AG9" s="14">
        <v>0.18389463203996501</v>
      </c>
      <c r="AH9" s="14">
        <v>0.120695125515336</v>
      </c>
      <c r="AI9" s="14"/>
      <c r="AJ9" s="14">
        <v>0.16883420490738901</v>
      </c>
      <c r="AK9" s="14">
        <v>3.3574941030801699E-2</v>
      </c>
      <c r="AL9" s="14"/>
      <c r="AM9" s="14">
        <v>0.20983946172088899</v>
      </c>
      <c r="AN9" s="14">
        <v>1.92320294362027E-2</v>
      </c>
    </row>
    <row r="10" spans="2:40" x14ac:dyDescent="0.35">
      <c r="B10" s="15" t="s">
        <v>161</v>
      </c>
      <c r="C10" s="14">
        <v>0.48880095495868098</v>
      </c>
      <c r="D10" s="14">
        <v>0.51290829162430296</v>
      </c>
      <c r="E10" s="14">
        <v>0.46001852115516301</v>
      </c>
      <c r="F10" s="14"/>
      <c r="G10" s="14" t="s">
        <v>76</v>
      </c>
      <c r="H10" s="14" t="s">
        <v>76</v>
      </c>
      <c r="I10" s="14">
        <v>0.48880095495868098</v>
      </c>
      <c r="J10" s="14"/>
      <c r="K10" s="14" t="s">
        <v>76</v>
      </c>
      <c r="L10" s="14">
        <v>0.52329255591331802</v>
      </c>
      <c r="M10" s="14">
        <v>0.43052869988512998</v>
      </c>
      <c r="N10" s="14"/>
      <c r="O10" s="14">
        <v>0.48519643499743598</v>
      </c>
      <c r="P10" s="14">
        <v>0.50860541025901895</v>
      </c>
      <c r="Q10" s="14"/>
      <c r="R10" s="14">
        <v>0.63040952993019606</v>
      </c>
      <c r="S10" s="14">
        <v>0.44451455759288699</v>
      </c>
      <c r="T10" s="14">
        <v>0.46405915489904598</v>
      </c>
      <c r="U10" s="14">
        <v>0.464454009651462</v>
      </c>
      <c r="V10" s="14">
        <v>0.44214495048823099</v>
      </c>
      <c r="W10" s="14">
        <v>0.396645755361486</v>
      </c>
      <c r="X10" s="14">
        <v>0.44995587412639299</v>
      </c>
      <c r="Y10" s="14">
        <v>0.55747252676063797</v>
      </c>
      <c r="Z10" s="14">
        <v>0.49001403713944702</v>
      </c>
      <c r="AA10" s="14"/>
      <c r="AB10" s="14">
        <v>0.45960118338863798</v>
      </c>
      <c r="AC10" s="14">
        <v>0.66519010601986595</v>
      </c>
      <c r="AD10" s="14">
        <v>0.32382910112237601</v>
      </c>
      <c r="AE10" s="14">
        <v>0.60075560473316103</v>
      </c>
      <c r="AF10" s="14"/>
      <c r="AG10" s="14">
        <v>0.58462196977094505</v>
      </c>
      <c r="AH10" s="14">
        <v>0.32072740929471499</v>
      </c>
      <c r="AI10" s="14"/>
      <c r="AJ10" s="14">
        <v>0.52173595977992404</v>
      </c>
      <c r="AK10" s="14">
        <v>0.37774142034107899</v>
      </c>
      <c r="AL10" s="14"/>
      <c r="AM10" s="14">
        <v>0.58121549480406498</v>
      </c>
      <c r="AN10" s="14">
        <v>0.15978091738334901</v>
      </c>
    </row>
    <row r="11" spans="2:40" x14ac:dyDescent="0.35">
      <c r="B11" s="15" t="s">
        <v>162</v>
      </c>
      <c r="C11" s="14">
        <v>0.30521229211303003</v>
      </c>
      <c r="D11" s="14">
        <v>0.29043124182254698</v>
      </c>
      <c r="E11" s="14">
        <v>0.32165692391499001</v>
      </c>
      <c r="F11" s="14"/>
      <c r="G11" s="14" t="s">
        <v>76</v>
      </c>
      <c r="H11" s="14" t="s">
        <v>76</v>
      </c>
      <c r="I11" s="14">
        <v>0.30521229211303003</v>
      </c>
      <c r="J11" s="14"/>
      <c r="K11" s="14" t="s">
        <v>76</v>
      </c>
      <c r="L11" s="14">
        <v>0.24844621595886099</v>
      </c>
      <c r="M11" s="14">
        <v>0.401116430443135</v>
      </c>
      <c r="N11" s="14"/>
      <c r="O11" s="14">
        <v>0.31069515660129998</v>
      </c>
      <c r="P11" s="14">
        <v>0.26323364173080799</v>
      </c>
      <c r="Q11" s="14"/>
      <c r="R11" s="14">
        <v>0.18882073106177</v>
      </c>
      <c r="S11" s="14">
        <v>0.36092281282184302</v>
      </c>
      <c r="T11" s="14">
        <v>0.32415566647711302</v>
      </c>
      <c r="U11" s="14">
        <v>0.40027203381899101</v>
      </c>
      <c r="V11" s="14">
        <v>0.42902277292318902</v>
      </c>
      <c r="W11" s="14">
        <v>0.30577767496714098</v>
      </c>
      <c r="X11" s="14">
        <v>0.27888112514406599</v>
      </c>
      <c r="Y11" s="14">
        <v>0.21388540519506599</v>
      </c>
      <c r="Z11" s="14">
        <v>0.27557189384399899</v>
      </c>
      <c r="AA11" s="14"/>
      <c r="AB11" s="14">
        <v>0.32846496427440502</v>
      </c>
      <c r="AC11" s="14">
        <v>0.127624919570202</v>
      </c>
      <c r="AD11" s="14">
        <v>0.55344888575935902</v>
      </c>
      <c r="AE11" s="14">
        <v>0.22256561063352001</v>
      </c>
      <c r="AF11" s="14"/>
      <c r="AG11" s="14">
        <v>0.19616753798627901</v>
      </c>
      <c r="AH11" s="14">
        <v>0.52704393996531995</v>
      </c>
      <c r="AI11" s="14"/>
      <c r="AJ11" s="14">
        <v>0.27501530462117002</v>
      </c>
      <c r="AK11" s="14">
        <v>0.52143949790555699</v>
      </c>
      <c r="AL11" s="14"/>
      <c r="AM11" s="14">
        <v>0.174058184966188</v>
      </c>
      <c r="AN11" s="14">
        <v>0.63933350971354497</v>
      </c>
    </row>
    <row r="12" spans="2:40" x14ac:dyDescent="0.35">
      <c r="B12" s="15" t="s">
        <v>163</v>
      </c>
      <c r="C12" s="14">
        <v>6.3057951284964497E-2</v>
      </c>
      <c r="D12" s="14">
        <v>5.8032438152937502E-2</v>
      </c>
      <c r="E12" s="14">
        <v>6.9121476982098196E-2</v>
      </c>
      <c r="F12" s="14"/>
      <c r="G12" s="14" t="s">
        <v>76</v>
      </c>
      <c r="H12" s="14" t="s">
        <v>76</v>
      </c>
      <c r="I12" s="14">
        <v>6.3057951284964497E-2</v>
      </c>
      <c r="J12" s="14"/>
      <c r="K12" s="14" t="s">
        <v>76</v>
      </c>
      <c r="L12" s="14">
        <v>7.0309973113244606E-2</v>
      </c>
      <c r="M12" s="14">
        <v>5.0805934733680697E-2</v>
      </c>
      <c r="N12" s="14"/>
      <c r="O12" s="14">
        <v>7.2802177830543005E-2</v>
      </c>
      <c r="P12" s="14">
        <v>2.55571025966016E-2</v>
      </c>
      <c r="Q12" s="14"/>
      <c r="R12" s="14">
        <v>1.8206260988646399E-2</v>
      </c>
      <c r="S12" s="14">
        <v>6.7413053687014807E-2</v>
      </c>
      <c r="T12" s="14">
        <v>0.107857730023995</v>
      </c>
      <c r="U12" s="14">
        <v>7.7296262643170605E-2</v>
      </c>
      <c r="V12" s="14">
        <v>3.3572674882843399E-2</v>
      </c>
      <c r="W12" s="14">
        <v>9.3808936491394102E-2</v>
      </c>
      <c r="X12" s="14">
        <v>9.4290682439042997E-2</v>
      </c>
      <c r="Y12" s="14">
        <v>3.0745698989440899E-2</v>
      </c>
      <c r="Z12" s="14">
        <v>6.4209987172006003E-2</v>
      </c>
      <c r="AA12" s="14"/>
      <c r="AB12" s="14">
        <v>8.93398493502532E-2</v>
      </c>
      <c r="AC12" s="14">
        <v>9.5872431569357097E-3</v>
      </c>
      <c r="AD12" s="14">
        <v>6.9968766266856997E-2</v>
      </c>
      <c r="AE12" s="14">
        <v>3.8526104385832503E-2</v>
      </c>
      <c r="AF12" s="14"/>
      <c r="AG12" s="14">
        <v>3.5315860202811501E-2</v>
      </c>
      <c r="AH12" s="14">
        <v>3.1533525224629003E-2</v>
      </c>
      <c r="AI12" s="14"/>
      <c r="AJ12" s="14">
        <v>3.4414530691516801E-2</v>
      </c>
      <c r="AK12" s="14">
        <v>5.1970254480369502E-2</v>
      </c>
      <c r="AL12" s="14"/>
      <c r="AM12" s="14">
        <v>3.1563565328033401E-2</v>
      </c>
      <c r="AN12" s="14">
        <v>0.18165354346690299</v>
      </c>
    </row>
    <row r="13" spans="2:40" x14ac:dyDescent="0.35">
      <c r="B13" s="15" t="s">
        <v>70</v>
      </c>
      <c r="C13" s="21">
        <v>4.6424454470739398E-3</v>
      </c>
      <c r="D13" s="21">
        <v>3.9468554033359003E-3</v>
      </c>
      <c r="E13" s="21">
        <v>5.43187374750738E-3</v>
      </c>
      <c r="F13" s="21"/>
      <c r="G13" s="21" t="s">
        <v>76</v>
      </c>
      <c r="H13" s="21" t="s">
        <v>76</v>
      </c>
      <c r="I13" s="21">
        <v>4.6424454470739398E-3</v>
      </c>
      <c r="J13" s="21"/>
      <c r="K13" s="21" t="s">
        <v>76</v>
      </c>
      <c r="L13" s="21">
        <v>3.20431145549886E-3</v>
      </c>
      <c r="M13" s="21">
        <v>7.07211842448146E-3</v>
      </c>
      <c r="N13" s="21"/>
      <c r="O13" s="21">
        <v>5.79823402061293E-3</v>
      </c>
      <c r="P13" s="21">
        <v>0</v>
      </c>
      <c r="Q13" s="21"/>
      <c r="R13" s="21">
        <v>0</v>
      </c>
      <c r="S13" s="21">
        <v>0</v>
      </c>
      <c r="T13" s="21">
        <v>0</v>
      </c>
      <c r="U13" s="21">
        <v>0</v>
      </c>
      <c r="V13" s="21">
        <v>0</v>
      </c>
      <c r="W13" s="21">
        <v>2.99109430376031E-2</v>
      </c>
      <c r="X13" s="21">
        <v>2.07313246810816E-2</v>
      </c>
      <c r="Y13" s="21">
        <v>0</v>
      </c>
      <c r="Z13" s="21">
        <v>0</v>
      </c>
      <c r="AA13" s="21"/>
      <c r="AB13" s="21">
        <v>0</v>
      </c>
      <c r="AC13" s="21">
        <v>1.40850543012776E-2</v>
      </c>
      <c r="AD13" s="21">
        <v>1.4718823209888999E-2</v>
      </c>
      <c r="AE13" s="21">
        <v>0</v>
      </c>
      <c r="AF13" s="21"/>
      <c r="AG13" s="21">
        <v>0</v>
      </c>
      <c r="AH13" s="21">
        <v>0</v>
      </c>
      <c r="AI13" s="21"/>
      <c r="AJ13" s="21">
        <v>0</v>
      </c>
      <c r="AK13" s="21">
        <v>1.52738862421932E-2</v>
      </c>
      <c r="AL13" s="21"/>
      <c r="AM13" s="21">
        <v>3.32329318082539E-3</v>
      </c>
      <c r="AN13" s="21">
        <v>0</v>
      </c>
    </row>
    <row r="14" spans="2:40" x14ac:dyDescent="0.35">
      <c r="B14" s="15" t="s">
        <v>164</v>
      </c>
      <c r="C14" s="30">
        <v>0.62708731115493199</v>
      </c>
      <c r="D14" s="30">
        <v>0.64758946462118006</v>
      </c>
      <c r="E14" s="30">
        <v>0.60378972535540398</v>
      </c>
      <c r="F14" s="30"/>
      <c r="G14" s="30" t="s">
        <v>76</v>
      </c>
      <c r="H14" s="30" t="s">
        <v>76</v>
      </c>
      <c r="I14" s="30">
        <v>0.62708731115493199</v>
      </c>
      <c r="J14" s="30"/>
      <c r="K14" s="30" t="s">
        <v>76</v>
      </c>
      <c r="L14" s="30">
        <v>0.67803949947239595</v>
      </c>
      <c r="M14" s="30">
        <v>0.54100551639870298</v>
      </c>
      <c r="N14" s="30"/>
      <c r="O14" s="30">
        <v>0.61070443154754395</v>
      </c>
      <c r="P14" s="30">
        <v>0.71120925567259097</v>
      </c>
      <c r="Q14" s="30"/>
      <c r="R14" s="30">
        <v>0.79297300794958303</v>
      </c>
      <c r="S14" s="30">
        <v>0.57166413349114198</v>
      </c>
      <c r="T14" s="30">
        <v>0.56798660349889296</v>
      </c>
      <c r="U14" s="30">
        <v>0.52243170353783797</v>
      </c>
      <c r="V14" s="30">
        <v>0.53740455219396699</v>
      </c>
      <c r="W14" s="30">
        <v>0.57050244550386198</v>
      </c>
      <c r="X14" s="30">
        <v>0.60609686773580895</v>
      </c>
      <c r="Y14" s="30">
        <v>0.75536889581549305</v>
      </c>
      <c r="Z14" s="30">
        <v>0.66021811898399596</v>
      </c>
      <c r="AA14" s="30"/>
      <c r="AB14" s="30">
        <v>0.58219518637534096</v>
      </c>
      <c r="AC14" s="30">
        <v>0.84870278297158497</v>
      </c>
      <c r="AD14" s="30">
        <v>0.36186352476389499</v>
      </c>
      <c r="AE14" s="30">
        <v>0.73890828498064798</v>
      </c>
      <c r="AF14" s="30"/>
      <c r="AG14" s="30">
        <v>0.76851660181090997</v>
      </c>
      <c r="AH14" s="30">
        <v>0.441422534810051</v>
      </c>
      <c r="AI14" s="30"/>
      <c r="AJ14" s="30">
        <v>0.69057016468731303</v>
      </c>
      <c r="AK14" s="30">
        <v>0.41131636137187999</v>
      </c>
      <c r="AL14" s="30"/>
      <c r="AM14" s="30">
        <v>0.79105495652495394</v>
      </c>
      <c r="AN14" s="30">
        <v>0.17901294681955099</v>
      </c>
    </row>
    <row r="15" spans="2:40" x14ac:dyDescent="0.35">
      <c r="B15" s="27" t="s">
        <v>284</v>
      </c>
    </row>
    <row r="16" spans="2:40" x14ac:dyDescent="0.35">
      <c r="B16" t="s">
        <v>72</v>
      </c>
    </row>
    <row r="17" spans="2:2" x14ac:dyDescent="0.35">
      <c r="B17" t="s">
        <v>73</v>
      </c>
    </row>
    <row r="19" spans="2:2" x14ac:dyDescent="0.35">
      <c r="B19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dimension ref="B2:AN18"/>
  <sheetViews>
    <sheetView showGridLines="0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275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598</v>
      </c>
      <c r="D7" s="10">
        <v>319</v>
      </c>
      <c r="E7" s="10">
        <v>276</v>
      </c>
      <c r="F7" s="10"/>
      <c r="G7" s="10" t="s">
        <v>75</v>
      </c>
      <c r="H7" s="10" t="s">
        <v>75</v>
      </c>
      <c r="I7" s="10">
        <v>598</v>
      </c>
      <c r="J7" s="10"/>
      <c r="K7" s="10" t="s">
        <v>75</v>
      </c>
      <c r="L7" s="10">
        <v>442</v>
      </c>
      <c r="M7" s="10">
        <v>156</v>
      </c>
      <c r="N7" s="10"/>
      <c r="O7" s="10">
        <v>485</v>
      </c>
      <c r="P7" s="10">
        <v>105</v>
      </c>
      <c r="Q7" s="10"/>
      <c r="R7" s="10">
        <v>97</v>
      </c>
      <c r="S7" s="10">
        <v>108</v>
      </c>
      <c r="T7" s="10">
        <v>49</v>
      </c>
      <c r="U7" s="10">
        <v>49</v>
      </c>
      <c r="V7" s="10">
        <v>53</v>
      </c>
      <c r="W7" s="10">
        <v>66</v>
      </c>
      <c r="X7" s="10">
        <v>38</v>
      </c>
      <c r="Y7" s="10">
        <v>29</v>
      </c>
      <c r="Z7" s="10">
        <v>109</v>
      </c>
      <c r="AA7" s="10"/>
      <c r="AB7" s="10">
        <v>92</v>
      </c>
      <c r="AC7" s="10">
        <v>102</v>
      </c>
      <c r="AD7" s="10">
        <v>74</v>
      </c>
      <c r="AE7" s="10">
        <v>68</v>
      </c>
      <c r="AF7" s="10"/>
      <c r="AG7" s="10">
        <v>58</v>
      </c>
      <c r="AH7" s="10">
        <v>18</v>
      </c>
      <c r="AI7" s="10"/>
      <c r="AJ7" s="10">
        <v>76</v>
      </c>
      <c r="AK7" s="10">
        <v>70</v>
      </c>
      <c r="AL7" s="10"/>
      <c r="AM7" s="10">
        <v>370</v>
      </c>
      <c r="AN7" s="10">
        <v>106</v>
      </c>
    </row>
    <row r="8" spans="2:40" ht="30" customHeight="1" x14ac:dyDescent="0.35">
      <c r="B8" s="11" t="s">
        <v>20</v>
      </c>
      <c r="C8" s="11">
        <v>562</v>
      </c>
      <c r="D8" s="11">
        <v>287</v>
      </c>
      <c r="E8" s="11">
        <v>272</v>
      </c>
      <c r="F8" s="11"/>
      <c r="G8" s="11" t="s">
        <v>75</v>
      </c>
      <c r="H8" s="11" t="s">
        <v>75</v>
      </c>
      <c r="I8" s="11">
        <v>562</v>
      </c>
      <c r="J8" s="11"/>
      <c r="K8" s="11" t="s">
        <v>75</v>
      </c>
      <c r="L8" s="11">
        <v>353</v>
      </c>
      <c r="M8" s="11">
        <v>209</v>
      </c>
      <c r="N8" s="11"/>
      <c r="O8" s="11">
        <v>450</v>
      </c>
      <c r="P8" s="11">
        <v>105</v>
      </c>
      <c r="Q8" s="11"/>
      <c r="R8" s="11">
        <v>100</v>
      </c>
      <c r="S8" s="11">
        <v>99</v>
      </c>
      <c r="T8" s="11">
        <v>50</v>
      </c>
      <c r="U8" s="11">
        <v>53</v>
      </c>
      <c r="V8" s="11">
        <v>50</v>
      </c>
      <c r="W8" s="11">
        <v>49</v>
      </c>
      <c r="X8" s="11">
        <v>55</v>
      </c>
      <c r="Y8" s="11">
        <v>25</v>
      </c>
      <c r="Z8" s="11">
        <v>81</v>
      </c>
      <c r="AA8" s="11"/>
      <c r="AB8" s="11">
        <v>71</v>
      </c>
      <c r="AC8" s="11">
        <v>80</v>
      </c>
      <c r="AD8" s="11">
        <v>100</v>
      </c>
      <c r="AE8" s="11">
        <v>93</v>
      </c>
      <c r="AF8" s="11"/>
      <c r="AG8" s="11">
        <v>76</v>
      </c>
      <c r="AH8" s="11">
        <v>24</v>
      </c>
      <c r="AI8" s="11"/>
      <c r="AJ8" s="11">
        <v>100</v>
      </c>
      <c r="AK8" s="11">
        <v>97</v>
      </c>
      <c r="AL8" s="11"/>
      <c r="AM8" s="11">
        <v>340</v>
      </c>
      <c r="AN8" s="11">
        <v>107</v>
      </c>
    </row>
    <row r="9" spans="2:40" x14ac:dyDescent="0.35">
      <c r="B9" s="15" t="s">
        <v>166</v>
      </c>
      <c r="C9" s="14">
        <v>0.13962969108165901</v>
      </c>
      <c r="D9" s="14">
        <v>0.120986488154132</v>
      </c>
      <c r="E9" s="14">
        <v>0.15799002365193901</v>
      </c>
      <c r="F9" s="14"/>
      <c r="G9" s="14" t="s">
        <v>76</v>
      </c>
      <c r="H9" s="14" t="s">
        <v>76</v>
      </c>
      <c r="I9" s="14">
        <v>0.13962969108165901</v>
      </c>
      <c r="J9" s="14"/>
      <c r="K9" s="14" t="s">
        <v>76</v>
      </c>
      <c r="L9" s="14">
        <v>0.14606732286530999</v>
      </c>
      <c r="M9" s="14">
        <v>0.12875355570424199</v>
      </c>
      <c r="N9" s="14"/>
      <c r="O9" s="14">
        <v>0.126728517401625</v>
      </c>
      <c r="P9" s="14">
        <v>0.204566318225085</v>
      </c>
      <c r="Q9" s="14"/>
      <c r="R9" s="14">
        <v>0.19351541131768099</v>
      </c>
      <c r="S9" s="14">
        <v>0.15109732993460101</v>
      </c>
      <c r="T9" s="14">
        <v>0.10469396274416901</v>
      </c>
      <c r="U9" s="14">
        <v>0.10883868817602201</v>
      </c>
      <c r="V9" s="14">
        <v>0.108832086188925</v>
      </c>
      <c r="W9" s="14">
        <v>7.9289265872401593E-2</v>
      </c>
      <c r="X9" s="14">
        <v>0.10825251234512299</v>
      </c>
      <c r="Y9" s="14">
        <v>0.20133451685668599</v>
      </c>
      <c r="Z9" s="14">
        <v>0.15906434838561101</v>
      </c>
      <c r="AA9" s="14"/>
      <c r="AB9" s="14">
        <v>0.168222924767993</v>
      </c>
      <c r="AC9" s="14">
        <v>0.162453178900515</v>
      </c>
      <c r="AD9" s="14">
        <v>7.0138897255317703E-2</v>
      </c>
      <c r="AE9" s="14">
        <v>0.15167733659720301</v>
      </c>
      <c r="AF9" s="14"/>
      <c r="AG9" s="14">
        <v>0.214804749045063</v>
      </c>
      <c r="AH9" s="14">
        <v>0.12271637636854101</v>
      </c>
      <c r="AI9" s="14"/>
      <c r="AJ9" s="14">
        <v>0.192860112089523</v>
      </c>
      <c r="AK9" s="14">
        <v>4.8313136751320797E-2</v>
      </c>
      <c r="AL9" s="14"/>
      <c r="AM9" s="14">
        <v>0.21209050398663701</v>
      </c>
      <c r="AN9" s="14">
        <v>1.4103118787197499E-2</v>
      </c>
    </row>
    <row r="10" spans="2:40" x14ac:dyDescent="0.35">
      <c r="B10" s="15" t="s">
        <v>167</v>
      </c>
      <c r="C10" s="14">
        <v>0.36882197066573702</v>
      </c>
      <c r="D10" s="14">
        <v>0.36666100368781701</v>
      </c>
      <c r="E10" s="14">
        <v>0.36923291111270201</v>
      </c>
      <c r="F10" s="14"/>
      <c r="G10" s="14" t="s">
        <v>76</v>
      </c>
      <c r="H10" s="14" t="s">
        <v>76</v>
      </c>
      <c r="I10" s="14">
        <v>0.36882197066573702</v>
      </c>
      <c r="J10" s="14"/>
      <c r="K10" s="14" t="s">
        <v>76</v>
      </c>
      <c r="L10" s="14">
        <v>0.41406163955024999</v>
      </c>
      <c r="M10" s="14">
        <v>0.292391261399781</v>
      </c>
      <c r="N10" s="14"/>
      <c r="O10" s="14">
        <v>0.348038238687989</v>
      </c>
      <c r="P10" s="14">
        <v>0.45351815436427101</v>
      </c>
      <c r="Q10" s="14"/>
      <c r="R10" s="14">
        <v>0.50245745752611704</v>
      </c>
      <c r="S10" s="14">
        <v>0.267823434706709</v>
      </c>
      <c r="T10" s="14">
        <v>0.33974113569348102</v>
      </c>
      <c r="U10" s="14">
        <v>0.44147277519473499</v>
      </c>
      <c r="V10" s="14">
        <v>0.29386063256106298</v>
      </c>
      <c r="W10" s="14">
        <v>0.403063829402242</v>
      </c>
      <c r="X10" s="14">
        <v>0.31725496410278098</v>
      </c>
      <c r="Y10" s="14">
        <v>0.33696986044530303</v>
      </c>
      <c r="Z10" s="14">
        <v>0.36824068352315098</v>
      </c>
      <c r="AA10" s="14"/>
      <c r="AB10" s="14">
        <v>0.31009019037595498</v>
      </c>
      <c r="AC10" s="14">
        <v>0.48122868441785299</v>
      </c>
      <c r="AD10" s="14">
        <v>0.26262639208799299</v>
      </c>
      <c r="AE10" s="14">
        <v>0.33441541469225999</v>
      </c>
      <c r="AF10" s="14"/>
      <c r="AG10" s="14">
        <v>0.38999624701387198</v>
      </c>
      <c r="AH10" s="14">
        <v>0.20239437653145501</v>
      </c>
      <c r="AI10" s="14"/>
      <c r="AJ10" s="14">
        <v>0.34529076661214902</v>
      </c>
      <c r="AK10" s="14">
        <v>0.25483401816312001</v>
      </c>
      <c r="AL10" s="14"/>
      <c r="AM10" s="14">
        <v>0.47963567846741201</v>
      </c>
      <c r="AN10" s="14">
        <v>5.9551347447539198E-2</v>
      </c>
    </row>
    <row r="11" spans="2:40" x14ac:dyDescent="0.35">
      <c r="B11" s="15" t="s">
        <v>168</v>
      </c>
      <c r="C11" s="14">
        <v>0.31576184615928699</v>
      </c>
      <c r="D11" s="14">
        <v>0.34608075438450397</v>
      </c>
      <c r="E11" s="14">
        <v>0.287672698227742</v>
      </c>
      <c r="F11" s="14"/>
      <c r="G11" s="14" t="s">
        <v>76</v>
      </c>
      <c r="H11" s="14" t="s">
        <v>76</v>
      </c>
      <c r="I11" s="14">
        <v>0.31576184615928699</v>
      </c>
      <c r="J11" s="14"/>
      <c r="K11" s="14" t="s">
        <v>76</v>
      </c>
      <c r="L11" s="14">
        <v>0.28659334978376799</v>
      </c>
      <c r="M11" s="14">
        <v>0.365040917407431</v>
      </c>
      <c r="N11" s="14"/>
      <c r="O11" s="14">
        <v>0.32218473530783398</v>
      </c>
      <c r="P11" s="14">
        <v>0.28011525906893298</v>
      </c>
      <c r="Q11" s="14"/>
      <c r="R11" s="14">
        <v>0.23551811038630599</v>
      </c>
      <c r="S11" s="14">
        <v>0.42404474905516798</v>
      </c>
      <c r="T11" s="14">
        <v>0.339616191927745</v>
      </c>
      <c r="U11" s="14">
        <v>0.32619412423898297</v>
      </c>
      <c r="V11" s="14">
        <v>0.36878819204437502</v>
      </c>
      <c r="W11" s="14">
        <v>0.190288996275919</v>
      </c>
      <c r="X11" s="14">
        <v>0.326567686498551</v>
      </c>
      <c r="Y11" s="14">
        <v>0.23847073761714499</v>
      </c>
      <c r="Z11" s="14">
        <v>0.32110846689779099</v>
      </c>
      <c r="AA11" s="14"/>
      <c r="AB11" s="14">
        <v>0.26843197759229898</v>
      </c>
      <c r="AC11" s="14">
        <v>0.31252387246740698</v>
      </c>
      <c r="AD11" s="14">
        <v>0.376279297642372</v>
      </c>
      <c r="AE11" s="14">
        <v>0.38270250280350199</v>
      </c>
      <c r="AF11" s="14"/>
      <c r="AG11" s="14">
        <v>0.28357132157072701</v>
      </c>
      <c r="AH11" s="14">
        <v>0.334494011559268</v>
      </c>
      <c r="AI11" s="14"/>
      <c r="AJ11" s="14">
        <v>0.29570618628946199</v>
      </c>
      <c r="AK11" s="14">
        <v>0.42507226087439698</v>
      </c>
      <c r="AL11" s="14"/>
      <c r="AM11" s="14">
        <v>0.23917763216990501</v>
      </c>
      <c r="AN11" s="14">
        <v>0.42940175022163002</v>
      </c>
    </row>
    <row r="12" spans="2:40" x14ac:dyDescent="0.35">
      <c r="B12" s="15" t="s">
        <v>169</v>
      </c>
      <c r="C12" s="14">
        <v>0.16322074997696601</v>
      </c>
      <c r="D12" s="14">
        <v>0.149236101814779</v>
      </c>
      <c r="E12" s="14">
        <v>0.17709437251926499</v>
      </c>
      <c r="F12" s="14"/>
      <c r="G12" s="14" t="s">
        <v>76</v>
      </c>
      <c r="H12" s="14" t="s">
        <v>76</v>
      </c>
      <c r="I12" s="14">
        <v>0.16322074997696601</v>
      </c>
      <c r="J12" s="14"/>
      <c r="K12" s="14" t="s">
        <v>76</v>
      </c>
      <c r="L12" s="14">
        <v>0.142655644962079</v>
      </c>
      <c r="M12" s="14">
        <v>0.197964716968175</v>
      </c>
      <c r="N12" s="14"/>
      <c r="O12" s="14">
        <v>0.18735438483440001</v>
      </c>
      <c r="P12" s="14">
        <v>6.1800268341710297E-2</v>
      </c>
      <c r="Q12" s="14"/>
      <c r="R12" s="14">
        <v>6.8509020769895401E-2</v>
      </c>
      <c r="S12" s="14">
        <v>0.15703448630352199</v>
      </c>
      <c r="T12" s="14">
        <v>0.200156959494108</v>
      </c>
      <c r="U12" s="14">
        <v>0.12349441239026</v>
      </c>
      <c r="V12" s="14">
        <v>0.191914844683542</v>
      </c>
      <c r="W12" s="14">
        <v>0.28325038680784098</v>
      </c>
      <c r="X12" s="14">
        <v>0.20658958464335</v>
      </c>
      <c r="Y12" s="14">
        <v>0.22322488508086499</v>
      </c>
      <c r="Z12" s="14">
        <v>0.15158650119344699</v>
      </c>
      <c r="AA12" s="14"/>
      <c r="AB12" s="14">
        <v>0.25325490726375299</v>
      </c>
      <c r="AC12" s="14">
        <v>2.9709209912947201E-2</v>
      </c>
      <c r="AD12" s="14">
        <v>0.25796859228740199</v>
      </c>
      <c r="AE12" s="14">
        <v>0.13120474590703601</v>
      </c>
      <c r="AF12" s="14"/>
      <c r="AG12" s="14">
        <v>0.111627682370337</v>
      </c>
      <c r="AH12" s="14">
        <v>0.34039523554073597</v>
      </c>
      <c r="AI12" s="14"/>
      <c r="AJ12" s="14">
        <v>0.16614293500886601</v>
      </c>
      <c r="AK12" s="14">
        <v>0.23754979414799901</v>
      </c>
      <c r="AL12" s="14"/>
      <c r="AM12" s="14">
        <v>6.3443174147061299E-2</v>
      </c>
      <c r="AN12" s="14">
        <v>0.490417338341257</v>
      </c>
    </row>
    <row r="13" spans="2:40" x14ac:dyDescent="0.35">
      <c r="B13" s="15" t="s">
        <v>70</v>
      </c>
      <c r="C13" s="20">
        <v>1.2565742116350699E-2</v>
      </c>
      <c r="D13" s="20">
        <v>1.70356519587684E-2</v>
      </c>
      <c r="E13" s="20">
        <v>8.0099944883516693E-3</v>
      </c>
      <c r="F13" s="20"/>
      <c r="G13" s="20" t="s">
        <v>76</v>
      </c>
      <c r="H13" s="20" t="s">
        <v>76</v>
      </c>
      <c r="I13" s="20">
        <v>1.2565742116350699E-2</v>
      </c>
      <c r="J13" s="20"/>
      <c r="K13" s="20" t="s">
        <v>76</v>
      </c>
      <c r="L13" s="20">
        <v>1.06220428385938E-2</v>
      </c>
      <c r="M13" s="20">
        <v>1.5849548520370099E-2</v>
      </c>
      <c r="N13" s="20"/>
      <c r="O13" s="20">
        <v>1.5694123768152199E-2</v>
      </c>
      <c r="P13" s="20">
        <v>0</v>
      </c>
      <c r="Q13" s="20"/>
      <c r="R13" s="20">
        <v>0</v>
      </c>
      <c r="S13" s="20">
        <v>0</v>
      </c>
      <c r="T13" s="20">
        <v>1.57917501404976E-2</v>
      </c>
      <c r="U13" s="20">
        <v>0</v>
      </c>
      <c r="V13" s="20">
        <v>3.6604244522094799E-2</v>
      </c>
      <c r="W13" s="20">
        <v>4.4107521641596502E-2</v>
      </c>
      <c r="X13" s="20">
        <v>4.1335252410195297E-2</v>
      </c>
      <c r="Y13" s="20">
        <v>0</v>
      </c>
      <c r="Z13" s="20">
        <v>0</v>
      </c>
      <c r="AA13" s="20"/>
      <c r="AB13" s="20">
        <v>0</v>
      </c>
      <c r="AC13" s="20">
        <v>1.40850543012776E-2</v>
      </c>
      <c r="AD13" s="20">
        <v>3.2986820726915403E-2</v>
      </c>
      <c r="AE13" s="20">
        <v>0</v>
      </c>
      <c r="AF13" s="20"/>
      <c r="AG13" s="20">
        <v>0</v>
      </c>
      <c r="AH13" s="20">
        <v>0</v>
      </c>
      <c r="AI13" s="20"/>
      <c r="AJ13" s="20">
        <v>0</v>
      </c>
      <c r="AK13" s="20">
        <v>3.4230790063163402E-2</v>
      </c>
      <c r="AL13" s="20"/>
      <c r="AM13" s="20">
        <v>5.6530112289840499E-3</v>
      </c>
      <c r="AN13" s="20">
        <v>6.5264452023768502E-3</v>
      </c>
    </row>
    <row r="14" spans="2:40" x14ac:dyDescent="0.35">
      <c r="B14" s="27" t="s">
        <v>284</v>
      </c>
    </row>
    <row r="15" spans="2:40" x14ac:dyDescent="0.35">
      <c r="B15" t="s">
        <v>72</v>
      </c>
    </row>
    <row r="16" spans="2:40" x14ac:dyDescent="0.35">
      <c r="B16" t="s">
        <v>73</v>
      </c>
    </row>
    <row r="18" spans="2:2" x14ac:dyDescent="0.35">
      <c r="B18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dimension ref="B2:AN18"/>
  <sheetViews>
    <sheetView showGridLines="0" workbookViewId="0">
      <pane xSplit="2" topLeftCell="C1" activePane="topRight" state="frozen"/>
      <selection pane="topRight" activeCell="B16" sqref="B16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276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598</v>
      </c>
      <c r="D7" s="10">
        <v>319</v>
      </c>
      <c r="E7" s="10">
        <v>276</v>
      </c>
      <c r="F7" s="10"/>
      <c r="G7" s="10" t="s">
        <v>75</v>
      </c>
      <c r="H7" s="10" t="s">
        <v>75</v>
      </c>
      <c r="I7" s="10">
        <v>598</v>
      </c>
      <c r="J7" s="10"/>
      <c r="K7" s="10" t="s">
        <v>75</v>
      </c>
      <c r="L7" s="10">
        <v>442</v>
      </c>
      <c r="M7" s="10">
        <v>156</v>
      </c>
      <c r="N7" s="10"/>
      <c r="O7" s="10">
        <v>485</v>
      </c>
      <c r="P7" s="10">
        <v>105</v>
      </c>
      <c r="Q7" s="10"/>
      <c r="R7" s="10">
        <v>97</v>
      </c>
      <c r="S7" s="10">
        <v>108</v>
      </c>
      <c r="T7" s="10">
        <v>49</v>
      </c>
      <c r="U7" s="10">
        <v>49</v>
      </c>
      <c r="V7" s="10">
        <v>53</v>
      </c>
      <c r="W7" s="10">
        <v>66</v>
      </c>
      <c r="X7" s="10">
        <v>38</v>
      </c>
      <c r="Y7" s="10">
        <v>29</v>
      </c>
      <c r="Z7" s="10">
        <v>109</v>
      </c>
      <c r="AA7" s="10"/>
      <c r="AB7" s="10">
        <v>92</v>
      </c>
      <c r="AC7" s="10">
        <v>102</v>
      </c>
      <c r="AD7" s="10">
        <v>74</v>
      </c>
      <c r="AE7" s="10">
        <v>68</v>
      </c>
      <c r="AF7" s="10"/>
      <c r="AG7" s="10">
        <v>58</v>
      </c>
      <c r="AH7" s="10">
        <v>18</v>
      </c>
      <c r="AI7" s="10"/>
      <c r="AJ7" s="10">
        <v>76</v>
      </c>
      <c r="AK7" s="10">
        <v>70</v>
      </c>
      <c r="AL7" s="10"/>
      <c r="AM7" s="10">
        <v>370</v>
      </c>
      <c r="AN7" s="10">
        <v>106</v>
      </c>
    </row>
    <row r="8" spans="2:40" ht="30" customHeight="1" x14ac:dyDescent="0.35">
      <c r="B8" s="11" t="s">
        <v>20</v>
      </c>
      <c r="C8" s="11">
        <v>562</v>
      </c>
      <c r="D8" s="11">
        <v>287</v>
      </c>
      <c r="E8" s="11">
        <v>272</v>
      </c>
      <c r="F8" s="11"/>
      <c r="G8" s="11" t="s">
        <v>75</v>
      </c>
      <c r="H8" s="11" t="s">
        <v>75</v>
      </c>
      <c r="I8" s="11">
        <v>562</v>
      </c>
      <c r="J8" s="11"/>
      <c r="K8" s="11" t="s">
        <v>75</v>
      </c>
      <c r="L8" s="11">
        <v>353</v>
      </c>
      <c r="M8" s="11">
        <v>209</v>
      </c>
      <c r="N8" s="11"/>
      <c r="O8" s="11">
        <v>450</v>
      </c>
      <c r="P8" s="11">
        <v>105</v>
      </c>
      <c r="Q8" s="11"/>
      <c r="R8" s="11">
        <v>100</v>
      </c>
      <c r="S8" s="11">
        <v>99</v>
      </c>
      <c r="T8" s="11">
        <v>50</v>
      </c>
      <c r="U8" s="11">
        <v>53</v>
      </c>
      <c r="V8" s="11">
        <v>50</v>
      </c>
      <c r="W8" s="11">
        <v>49</v>
      </c>
      <c r="X8" s="11">
        <v>55</v>
      </c>
      <c r="Y8" s="11">
        <v>25</v>
      </c>
      <c r="Z8" s="11">
        <v>81</v>
      </c>
      <c r="AA8" s="11"/>
      <c r="AB8" s="11">
        <v>71</v>
      </c>
      <c r="AC8" s="11">
        <v>80</v>
      </c>
      <c r="AD8" s="11">
        <v>100</v>
      </c>
      <c r="AE8" s="11">
        <v>93</v>
      </c>
      <c r="AF8" s="11"/>
      <c r="AG8" s="11">
        <v>76</v>
      </c>
      <c r="AH8" s="11">
        <v>24</v>
      </c>
      <c r="AI8" s="11"/>
      <c r="AJ8" s="11">
        <v>100</v>
      </c>
      <c r="AK8" s="11">
        <v>97</v>
      </c>
      <c r="AL8" s="11"/>
      <c r="AM8" s="11">
        <v>340</v>
      </c>
      <c r="AN8" s="11">
        <v>107</v>
      </c>
    </row>
    <row r="9" spans="2:40" x14ac:dyDescent="0.35">
      <c r="B9" s="15" t="s">
        <v>242</v>
      </c>
      <c r="C9" s="14">
        <v>0.181689060471419</v>
      </c>
      <c r="D9" s="14">
        <v>0.17628056442404499</v>
      </c>
      <c r="E9" s="14">
        <v>0.18661974464800299</v>
      </c>
      <c r="F9" s="14"/>
      <c r="G9" s="14" t="s">
        <v>76</v>
      </c>
      <c r="H9" s="14" t="s">
        <v>76</v>
      </c>
      <c r="I9" s="14">
        <v>0.181689060471419</v>
      </c>
      <c r="J9" s="14"/>
      <c r="K9" s="14" t="s">
        <v>76</v>
      </c>
      <c r="L9" s="14">
        <v>0.20039041085940501</v>
      </c>
      <c r="M9" s="14">
        <v>0.15009383642073601</v>
      </c>
      <c r="N9" s="14"/>
      <c r="O9" s="14">
        <v>0.16925716925734199</v>
      </c>
      <c r="P9" s="14">
        <v>0.247493153358052</v>
      </c>
      <c r="Q9" s="14"/>
      <c r="R9" s="14">
        <v>0.27426731663468201</v>
      </c>
      <c r="S9" s="14">
        <v>0.17595650172576999</v>
      </c>
      <c r="T9" s="14">
        <v>0.120583362856281</v>
      </c>
      <c r="U9" s="14">
        <v>0.245298222259134</v>
      </c>
      <c r="V9" s="14">
        <v>0.162671215951497</v>
      </c>
      <c r="W9" s="14">
        <v>9.4645021381436503E-2</v>
      </c>
      <c r="X9" s="14">
        <v>0.13282790347809301</v>
      </c>
      <c r="Y9" s="14">
        <v>0.122494372940847</v>
      </c>
      <c r="Z9" s="14">
        <v>0.18719825993293801</v>
      </c>
      <c r="AA9" s="14"/>
      <c r="AB9" s="14">
        <v>0.16911032303037299</v>
      </c>
      <c r="AC9" s="14">
        <v>0.210029690247208</v>
      </c>
      <c r="AD9" s="14">
        <v>6.3859998758716299E-2</v>
      </c>
      <c r="AE9" s="14">
        <v>0.19347635524540599</v>
      </c>
      <c r="AF9" s="14"/>
      <c r="AG9" s="14">
        <v>0.24533408313563601</v>
      </c>
      <c r="AH9" s="14">
        <v>8.6287204543341503E-2</v>
      </c>
      <c r="AI9" s="14"/>
      <c r="AJ9" s="14">
        <v>0.20743325040097799</v>
      </c>
      <c r="AK9" s="14">
        <v>6.7067734387752195E-2</v>
      </c>
      <c r="AL9" s="14"/>
      <c r="AM9" s="14">
        <v>0.25934493382483498</v>
      </c>
      <c r="AN9" s="14">
        <v>4.8310124841900198E-2</v>
      </c>
    </row>
    <row r="10" spans="2:40" x14ac:dyDescent="0.35">
      <c r="B10" s="15" t="s">
        <v>243</v>
      </c>
      <c r="C10" s="14">
        <v>0.48861165573447701</v>
      </c>
      <c r="D10" s="14">
        <v>0.50500988637689104</v>
      </c>
      <c r="E10" s="14">
        <v>0.46808169860599702</v>
      </c>
      <c r="F10" s="14"/>
      <c r="G10" s="14" t="s">
        <v>76</v>
      </c>
      <c r="H10" s="14" t="s">
        <v>76</v>
      </c>
      <c r="I10" s="14">
        <v>0.48861165573447701</v>
      </c>
      <c r="J10" s="14"/>
      <c r="K10" s="14" t="s">
        <v>76</v>
      </c>
      <c r="L10" s="14">
        <v>0.49914077718772598</v>
      </c>
      <c r="M10" s="14">
        <v>0.47082310333208</v>
      </c>
      <c r="N10" s="14"/>
      <c r="O10" s="14">
        <v>0.49005261800064998</v>
      </c>
      <c r="P10" s="14">
        <v>0.48612909517971797</v>
      </c>
      <c r="Q10" s="14"/>
      <c r="R10" s="14">
        <v>0.55131358943624398</v>
      </c>
      <c r="S10" s="14">
        <v>0.50301783880126605</v>
      </c>
      <c r="T10" s="14">
        <v>0.57578865770669596</v>
      </c>
      <c r="U10" s="14">
        <v>0.37361895027076197</v>
      </c>
      <c r="V10" s="14">
        <v>0.36635292943749798</v>
      </c>
      <c r="W10" s="14">
        <v>0.47941728377873599</v>
      </c>
      <c r="X10" s="14">
        <v>0.455813295264208</v>
      </c>
      <c r="Y10" s="14">
        <v>0.57691408459657301</v>
      </c>
      <c r="Z10" s="14">
        <v>0.491219669165816</v>
      </c>
      <c r="AA10" s="14"/>
      <c r="AB10" s="14">
        <v>0.43813072706272299</v>
      </c>
      <c r="AC10" s="14">
        <v>0.60825022026182696</v>
      </c>
      <c r="AD10" s="14">
        <v>0.52415287638826302</v>
      </c>
      <c r="AE10" s="14">
        <v>0.45155015104523599</v>
      </c>
      <c r="AF10" s="14"/>
      <c r="AG10" s="14">
        <v>0.50172606310212697</v>
      </c>
      <c r="AH10" s="14">
        <v>0.36827911764483401</v>
      </c>
      <c r="AI10" s="14"/>
      <c r="AJ10" s="14">
        <v>0.46992568824728298</v>
      </c>
      <c r="AK10" s="14">
        <v>0.473333425571065</v>
      </c>
      <c r="AL10" s="14"/>
      <c r="AM10" s="14">
        <v>0.52848830671863201</v>
      </c>
      <c r="AN10" s="14">
        <v>0.36889952998957998</v>
      </c>
    </row>
    <row r="11" spans="2:40" x14ac:dyDescent="0.35">
      <c r="B11" s="15" t="s">
        <v>244</v>
      </c>
      <c r="C11" s="14">
        <v>0.211147982185315</v>
      </c>
      <c r="D11" s="14">
        <v>0.20928512076677</v>
      </c>
      <c r="E11" s="14">
        <v>0.215686066146274</v>
      </c>
      <c r="F11" s="14"/>
      <c r="G11" s="14" t="s">
        <v>76</v>
      </c>
      <c r="H11" s="14" t="s">
        <v>76</v>
      </c>
      <c r="I11" s="14">
        <v>0.211147982185315</v>
      </c>
      <c r="J11" s="14"/>
      <c r="K11" s="14" t="s">
        <v>76</v>
      </c>
      <c r="L11" s="14">
        <v>0.19581124855776999</v>
      </c>
      <c r="M11" s="14">
        <v>0.23705881349508001</v>
      </c>
      <c r="N11" s="14"/>
      <c r="O11" s="14">
        <v>0.21990581652640101</v>
      </c>
      <c r="P11" s="14">
        <v>0.17301999677734001</v>
      </c>
      <c r="Q11" s="14"/>
      <c r="R11" s="14">
        <v>0.132585020072649</v>
      </c>
      <c r="S11" s="14">
        <v>0.23275763188638901</v>
      </c>
      <c r="T11" s="14">
        <v>0.13941869442434901</v>
      </c>
      <c r="U11" s="14">
        <v>0.250906403720488</v>
      </c>
      <c r="V11" s="14">
        <v>0.29460901804234402</v>
      </c>
      <c r="W11" s="14">
        <v>0.21638558656421</v>
      </c>
      <c r="X11" s="14">
        <v>0.27460537171902899</v>
      </c>
      <c r="Y11" s="14">
        <v>0.18134636718914701</v>
      </c>
      <c r="Z11" s="14">
        <v>0.21145534545185199</v>
      </c>
      <c r="AA11" s="14"/>
      <c r="AB11" s="14">
        <v>0.25325835771142802</v>
      </c>
      <c r="AC11" s="14">
        <v>0.146902492031143</v>
      </c>
      <c r="AD11" s="14">
        <v>0.21650296157374099</v>
      </c>
      <c r="AE11" s="14">
        <v>0.26683495206202801</v>
      </c>
      <c r="AF11" s="14"/>
      <c r="AG11" s="14">
        <v>0.163913867578517</v>
      </c>
      <c r="AH11" s="14">
        <v>0.44674590511328099</v>
      </c>
      <c r="AI11" s="14"/>
      <c r="AJ11" s="14">
        <v>0.231312673776321</v>
      </c>
      <c r="AK11" s="14">
        <v>0.26584391916292499</v>
      </c>
      <c r="AL11" s="14"/>
      <c r="AM11" s="14">
        <v>0.142919858040917</v>
      </c>
      <c r="AN11" s="14">
        <v>0.29979708575220998</v>
      </c>
    </row>
    <row r="12" spans="2:40" x14ac:dyDescent="0.35">
      <c r="B12" s="15" t="s">
        <v>245</v>
      </c>
      <c r="C12" s="14">
        <v>6.9773279288878401E-2</v>
      </c>
      <c r="D12" s="14">
        <v>7.3059982841230803E-2</v>
      </c>
      <c r="E12" s="14">
        <v>6.7161846642999998E-2</v>
      </c>
      <c r="F12" s="14"/>
      <c r="G12" s="14" t="s">
        <v>76</v>
      </c>
      <c r="H12" s="14" t="s">
        <v>76</v>
      </c>
      <c r="I12" s="14">
        <v>6.9773279288878401E-2</v>
      </c>
      <c r="J12" s="14"/>
      <c r="K12" s="14" t="s">
        <v>76</v>
      </c>
      <c r="L12" s="14">
        <v>5.5566252537169902E-2</v>
      </c>
      <c r="M12" s="14">
        <v>9.3775513566177193E-2</v>
      </c>
      <c r="N12" s="14"/>
      <c r="O12" s="14">
        <v>7.0695242203618794E-2</v>
      </c>
      <c r="P12" s="14">
        <v>7.0596628774729595E-2</v>
      </c>
      <c r="Q12" s="14"/>
      <c r="R12" s="14">
        <v>4.1834073856424597E-2</v>
      </c>
      <c r="S12" s="14">
        <v>3.8982360359785501E-2</v>
      </c>
      <c r="T12" s="14">
        <v>8.9017058198962995E-2</v>
      </c>
      <c r="U12" s="14">
        <v>9.1493663688858404E-2</v>
      </c>
      <c r="V12" s="14">
        <v>8.8706265004352497E-2</v>
      </c>
      <c r="W12" s="14">
        <v>0.114833498428746</v>
      </c>
      <c r="X12" s="14">
        <v>0.11502201085708499</v>
      </c>
      <c r="Y12" s="14">
        <v>9.0273811558949202E-2</v>
      </c>
      <c r="Z12" s="14">
        <v>3.9613106869982297E-2</v>
      </c>
      <c r="AA12" s="14"/>
      <c r="AB12" s="14">
        <v>9.9675661020938999E-2</v>
      </c>
      <c r="AC12" s="14">
        <v>1.7870043512504302E-2</v>
      </c>
      <c r="AD12" s="14">
        <v>0.109627415919986</v>
      </c>
      <c r="AE12" s="14">
        <v>7.2456256499324898E-2</v>
      </c>
      <c r="AF12" s="14"/>
      <c r="AG12" s="14">
        <v>8.9025986183719805E-2</v>
      </c>
      <c r="AH12" s="14">
        <v>9.8687772698542994E-2</v>
      </c>
      <c r="AI12" s="14"/>
      <c r="AJ12" s="14">
        <v>9.1328387575418904E-2</v>
      </c>
      <c r="AK12" s="14">
        <v>8.9550548471158203E-2</v>
      </c>
      <c r="AL12" s="14"/>
      <c r="AM12" s="14">
        <v>3.7914123718552399E-2</v>
      </c>
      <c r="AN12" s="14">
        <v>0.20650519479239399</v>
      </c>
    </row>
    <row r="13" spans="2:40" x14ac:dyDescent="0.35">
      <c r="B13" s="15" t="s">
        <v>70</v>
      </c>
      <c r="C13" s="20">
        <v>4.8778022319910602E-2</v>
      </c>
      <c r="D13" s="20">
        <v>3.6364445591063103E-2</v>
      </c>
      <c r="E13" s="20">
        <v>6.2450643956726698E-2</v>
      </c>
      <c r="F13" s="20"/>
      <c r="G13" s="20" t="s">
        <v>76</v>
      </c>
      <c r="H13" s="20" t="s">
        <v>76</v>
      </c>
      <c r="I13" s="20">
        <v>4.8778022319910602E-2</v>
      </c>
      <c r="J13" s="20"/>
      <c r="K13" s="20" t="s">
        <v>76</v>
      </c>
      <c r="L13" s="20">
        <v>4.9091310857928498E-2</v>
      </c>
      <c r="M13" s="20">
        <v>4.8248733185926797E-2</v>
      </c>
      <c r="N13" s="20"/>
      <c r="O13" s="20">
        <v>5.0089154011988601E-2</v>
      </c>
      <c r="P13" s="20">
        <v>2.27611259101606E-2</v>
      </c>
      <c r="Q13" s="20"/>
      <c r="R13" s="20">
        <v>0</v>
      </c>
      <c r="S13" s="20">
        <v>4.9285667226789898E-2</v>
      </c>
      <c r="T13" s="20">
        <v>7.5192226813711294E-2</v>
      </c>
      <c r="U13" s="20">
        <v>3.86827600607575E-2</v>
      </c>
      <c r="V13" s="20">
        <v>8.7660571564308898E-2</v>
      </c>
      <c r="W13" s="20">
        <v>9.4718609846871402E-2</v>
      </c>
      <c r="X13" s="20">
        <v>2.1731418681584701E-2</v>
      </c>
      <c r="Y13" s="20">
        <v>2.8971363714483798E-2</v>
      </c>
      <c r="Z13" s="20">
        <v>7.0513618579411602E-2</v>
      </c>
      <c r="AA13" s="20"/>
      <c r="AB13" s="20">
        <v>3.9824931174536497E-2</v>
      </c>
      <c r="AC13" s="20">
        <v>1.6947553947317898E-2</v>
      </c>
      <c r="AD13" s="20">
        <v>8.5856747359293106E-2</v>
      </c>
      <c r="AE13" s="20">
        <v>1.5682285148005199E-2</v>
      </c>
      <c r="AF13" s="20"/>
      <c r="AG13" s="20">
        <v>0</v>
      </c>
      <c r="AH13" s="20">
        <v>0</v>
      </c>
      <c r="AI13" s="20"/>
      <c r="AJ13" s="20">
        <v>0</v>
      </c>
      <c r="AK13" s="20">
        <v>0.1042043724071</v>
      </c>
      <c r="AL13" s="20"/>
      <c r="AM13" s="20">
        <v>3.1332777697063503E-2</v>
      </c>
      <c r="AN13" s="20">
        <v>7.6488064623915303E-2</v>
      </c>
    </row>
    <row r="14" spans="2:40" x14ac:dyDescent="0.35">
      <c r="B14" s="27" t="s">
        <v>284</v>
      </c>
    </row>
    <row r="15" spans="2:40" x14ac:dyDescent="0.35">
      <c r="B15" t="s">
        <v>72</v>
      </c>
    </row>
    <row r="16" spans="2:40" x14ac:dyDescent="0.35">
      <c r="B16" t="s">
        <v>73</v>
      </c>
    </row>
    <row r="18" spans="2:2" x14ac:dyDescent="0.35">
      <c r="B18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dimension ref="B2:AN16"/>
  <sheetViews>
    <sheetView showGridLines="0" workbookViewId="0">
      <pane xSplit="2" topLeftCell="C1" activePane="topRight" state="frozen"/>
      <selection pane="topRight" activeCell="B15" sqref="B15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277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1216</v>
      </c>
      <c r="D7" s="10">
        <v>613</v>
      </c>
      <c r="E7" s="10">
        <v>598</v>
      </c>
      <c r="F7" s="10"/>
      <c r="G7" s="10" t="s">
        <v>75</v>
      </c>
      <c r="H7" s="10" t="s">
        <v>75</v>
      </c>
      <c r="I7" s="10">
        <v>1216</v>
      </c>
      <c r="J7" s="10"/>
      <c r="K7" s="10" t="s">
        <v>75</v>
      </c>
      <c r="L7" s="10">
        <v>924</v>
      </c>
      <c r="M7" s="10">
        <v>292</v>
      </c>
      <c r="N7" s="10"/>
      <c r="O7" s="10">
        <v>1020</v>
      </c>
      <c r="P7" s="10">
        <v>166</v>
      </c>
      <c r="Q7" s="10"/>
      <c r="R7" s="10">
        <v>177</v>
      </c>
      <c r="S7" s="10">
        <v>216</v>
      </c>
      <c r="T7" s="10">
        <v>97</v>
      </c>
      <c r="U7" s="10">
        <v>116</v>
      </c>
      <c r="V7" s="10">
        <v>104</v>
      </c>
      <c r="W7" s="10">
        <v>152</v>
      </c>
      <c r="X7" s="10">
        <v>76</v>
      </c>
      <c r="Y7" s="10">
        <v>70</v>
      </c>
      <c r="Z7" s="10">
        <v>208</v>
      </c>
      <c r="AA7" s="10"/>
      <c r="AB7" s="10">
        <v>152</v>
      </c>
      <c r="AC7" s="10">
        <v>147</v>
      </c>
      <c r="AD7" s="10">
        <v>152</v>
      </c>
      <c r="AE7" s="10">
        <v>106</v>
      </c>
      <c r="AF7" s="10"/>
      <c r="AG7" s="10">
        <v>95</v>
      </c>
      <c r="AH7" s="10">
        <v>46</v>
      </c>
      <c r="AI7" s="10"/>
      <c r="AJ7" s="10">
        <v>141</v>
      </c>
      <c r="AK7" s="10">
        <v>131</v>
      </c>
      <c r="AL7" s="10"/>
      <c r="AM7" s="10">
        <v>626</v>
      </c>
      <c r="AN7" s="10">
        <v>310</v>
      </c>
    </row>
    <row r="8" spans="2:40" ht="30" customHeight="1" x14ac:dyDescent="0.35">
      <c r="B8" s="11" t="s">
        <v>20</v>
      </c>
      <c r="C8" s="11">
        <v>1136</v>
      </c>
      <c r="D8" s="11">
        <v>540</v>
      </c>
      <c r="E8" s="11">
        <v>591</v>
      </c>
      <c r="F8" s="11"/>
      <c r="G8" s="11" t="s">
        <v>75</v>
      </c>
      <c r="H8" s="11" t="s">
        <v>75</v>
      </c>
      <c r="I8" s="11">
        <v>1136</v>
      </c>
      <c r="J8" s="11"/>
      <c r="K8" s="11" t="s">
        <v>75</v>
      </c>
      <c r="L8" s="11">
        <v>745</v>
      </c>
      <c r="M8" s="11">
        <v>391</v>
      </c>
      <c r="N8" s="11"/>
      <c r="O8" s="11">
        <v>946</v>
      </c>
      <c r="P8" s="11">
        <v>161</v>
      </c>
      <c r="Q8" s="11"/>
      <c r="R8" s="11">
        <v>183</v>
      </c>
      <c r="S8" s="11">
        <v>192</v>
      </c>
      <c r="T8" s="11">
        <v>104</v>
      </c>
      <c r="U8" s="11">
        <v>121</v>
      </c>
      <c r="V8" s="11">
        <v>99</v>
      </c>
      <c r="W8" s="11">
        <v>112</v>
      </c>
      <c r="X8" s="11">
        <v>107</v>
      </c>
      <c r="Y8" s="11">
        <v>62</v>
      </c>
      <c r="Z8" s="11">
        <v>157</v>
      </c>
      <c r="AA8" s="11"/>
      <c r="AB8" s="11">
        <v>117</v>
      </c>
      <c r="AC8" s="11">
        <v>117</v>
      </c>
      <c r="AD8" s="11">
        <v>211</v>
      </c>
      <c r="AE8" s="11">
        <v>141</v>
      </c>
      <c r="AF8" s="11"/>
      <c r="AG8" s="11">
        <v>117</v>
      </c>
      <c r="AH8" s="11">
        <v>63</v>
      </c>
      <c r="AI8" s="11"/>
      <c r="AJ8" s="11">
        <v>180</v>
      </c>
      <c r="AK8" s="11">
        <v>185</v>
      </c>
      <c r="AL8" s="11"/>
      <c r="AM8" s="11">
        <v>567</v>
      </c>
      <c r="AN8" s="11">
        <v>311</v>
      </c>
    </row>
    <row r="9" spans="2:40" x14ac:dyDescent="0.35">
      <c r="B9" s="15" t="s">
        <v>44</v>
      </c>
      <c r="C9" s="14">
        <v>0.63547797033678299</v>
      </c>
      <c r="D9" s="14">
        <v>0.65652171048311803</v>
      </c>
      <c r="E9" s="14">
        <v>0.61589559190995002</v>
      </c>
      <c r="F9" s="14"/>
      <c r="G9" s="14" t="s">
        <v>76</v>
      </c>
      <c r="H9" s="14" t="s">
        <v>76</v>
      </c>
      <c r="I9" s="14">
        <v>0.63547797033678299</v>
      </c>
      <c r="J9" s="14"/>
      <c r="K9" s="14" t="s">
        <v>76</v>
      </c>
      <c r="L9" s="14">
        <v>0.60762535525323402</v>
      </c>
      <c r="M9" s="14">
        <v>0.68844627367120304</v>
      </c>
      <c r="N9" s="14"/>
      <c r="O9" s="14">
        <v>0.61681815917623795</v>
      </c>
      <c r="P9" s="14">
        <v>0.81158916431819095</v>
      </c>
      <c r="Q9" s="14"/>
      <c r="R9" s="14">
        <v>0.65499637201341399</v>
      </c>
      <c r="S9" s="14">
        <v>0.60608466216164802</v>
      </c>
      <c r="T9" s="14">
        <v>0.72349225550265495</v>
      </c>
      <c r="U9" s="14">
        <v>0.639043903802894</v>
      </c>
      <c r="V9" s="14">
        <v>0.57965617321865104</v>
      </c>
      <c r="W9" s="14">
        <v>0.63588625186786696</v>
      </c>
      <c r="X9" s="14">
        <v>0.633414800406224</v>
      </c>
      <c r="Y9" s="14">
        <v>0.60504895368670897</v>
      </c>
      <c r="Z9" s="14">
        <v>0.63607546263495096</v>
      </c>
      <c r="AA9" s="14"/>
      <c r="AB9" s="14">
        <v>0.63052440488728601</v>
      </c>
      <c r="AC9" s="14">
        <v>0.65933803215242304</v>
      </c>
      <c r="AD9" s="14">
        <v>0.65700399918797103</v>
      </c>
      <c r="AE9" s="14">
        <v>0.78497049424256504</v>
      </c>
      <c r="AF9" s="14"/>
      <c r="AG9" s="14">
        <v>0.72289226137876095</v>
      </c>
      <c r="AH9" s="14">
        <v>0.67148527745120401</v>
      </c>
      <c r="AI9" s="14"/>
      <c r="AJ9" s="14">
        <v>0.70492552377143303</v>
      </c>
      <c r="AK9" s="14">
        <v>0.70388936950068304</v>
      </c>
      <c r="AL9" s="14"/>
      <c r="AM9" s="14">
        <v>0.70078036028604596</v>
      </c>
      <c r="AN9" s="14">
        <v>0.52551945359457397</v>
      </c>
    </row>
    <row r="10" spans="2:40" x14ac:dyDescent="0.35">
      <c r="B10" s="15" t="s">
        <v>45</v>
      </c>
      <c r="C10" s="14">
        <v>0.25825659380219801</v>
      </c>
      <c r="D10" s="14">
        <v>0.26425895787231701</v>
      </c>
      <c r="E10" s="14">
        <v>0.25344844946468598</v>
      </c>
      <c r="F10" s="14"/>
      <c r="G10" s="14" t="s">
        <v>76</v>
      </c>
      <c r="H10" s="14" t="s">
        <v>76</v>
      </c>
      <c r="I10" s="14">
        <v>0.25825659380219801</v>
      </c>
      <c r="J10" s="14"/>
      <c r="K10" s="14" t="s">
        <v>76</v>
      </c>
      <c r="L10" s="14">
        <v>0.27537478758767397</v>
      </c>
      <c r="M10" s="14">
        <v>0.22570231915880801</v>
      </c>
      <c r="N10" s="14"/>
      <c r="O10" s="14">
        <v>0.26988539750052298</v>
      </c>
      <c r="P10" s="14">
        <v>0.14240787852079301</v>
      </c>
      <c r="Q10" s="14"/>
      <c r="R10" s="14">
        <v>0.25924852236627799</v>
      </c>
      <c r="S10" s="14">
        <v>0.28355353525826299</v>
      </c>
      <c r="T10" s="14">
        <v>0.18881913860607499</v>
      </c>
      <c r="U10" s="14">
        <v>0.26717319211232998</v>
      </c>
      <c r="V10" s="14">
        <v>0.29622047366687898</v>
      </c>
      <c r="W10" s="14">
        <v>0.25938336680731999</v>
      </c>
      <c r="X10" s="14">
        <v>0.22362418034015799</v>
      </c>
      <c r="Y10" s="14">
        <v>0.25623096377677801</v>
      </c>
      <c r="Z10" s="14">
        <v>0.26489758729642399</v>
      </c>
      <c r="AA10" s="14"/>
      <c r="AB10" s="14">
        <v>0.260929860044539</v>
      </c>
      <c r="AC10" s="14">
        <v>0.27797393331932901</v>
      </c>
      <c r="AD10" s="14">
        <v>0.23882271946175099</v>
      </c>
      <c r="AE10" s="14">
        <v>0.182703060195642</v>
      </c>
      <c r="AF10" s="14"/>
      <c r="AG10" s="14">
        <v>0.22390829006636701</v>
      </c>
      <c r="AH10" s="14">
        <v>0.27684290968167902</v>
      </c>
      <c r="AI10" s="14"/>
      <c r="AJ10" s="14">
        <v>0.24240893624923299</v>
      </c>
      <c r="AK10" s="14">
        <v>0.211442013262405</v>
      </c>
      <c r="AL10" s="14"/>
      <c r="AM10" s="14">
        <v>0.23456977858240799</v>
      </c>
      <c r="AN10" s="14">
        <v>0.30519905523858998</v>
      </c>
    </row>
    <row r="11" spans="2:40" x14ac:dyDescent="0.35">
      <c r="B11" s="15" t="s">
        <v>70</v>
      </c>
      <c r="C11" s="20">
        <v>0.106265435861019</v>
      </c>
      <c r="D11" s="20">
        <v>7.9219331644564406E-2</v>
      </c>
      <c r="E11" s="20">
        <v>0.130655958625364</v>
      </c>
      <c r="F11" s="20"/>
      <c r="G11" s="20" t="s">
        <v>76</v>
      </c>
      <c r="H11" s="20" t="s">
        <v>76</v>
      </c>
      <c r="I11" s="20">
        <v>0.106265435861019</v>
      </c>
      <c r="J11" s="20"/>
      <c r="K11" s="20" t="s">
        <v>76</v>
      </c>
      <c r="L11" s="20">
        <v>0.116999857159092</v>
      </c>
      <c r="M11" s="20">
        <v>8.5851407169988805E-2</v>
      </c>
      <c r="N11" s="20"/>
      <c r="O11" s="20">
        <v>0.113296443323239</v>
      </c>
      <c r="P11" s="20">
        <v>4.6002957161016003E-2</v>
      </c>
      <c r="Q11" s="20"/>
      <c r="R11" s="20">
        <v>8.5755105620308095E-2</v>
      </c>
      <c r="S11" s="20">
        <v>0.110361802580088</v>
      </c>
      <c r="T11" s="20">
        <v>8.7688605891269894E-2</v>
      </c>
      <c r="U11" s="20">
        <v>9.3782904084775895E-2</v>
      </c>
      <c r="V11" s="20">
        <v>0.12412335311446999</v>
      </c>
      <c r="W11" s="20">
        <v>0.10473038132481299</v>
      </c>
      <c r="X11" s="20">
        <v>0.14296101925361801</v>
      </c>
      <c r="Y11" s="20">
        <v>0.138720082536512</v>
      </c>
      <c r="Z11" s="20">
        <v>9.9026950068624803E-2</v>
      </c>
      <c r="AA11" s="20"/>
      <c r="AB11" s="20">
        <v>0.108545735068175</v>
      </c>
      <c r="AC11" s="20">
        <v>6.2688034528248102E-2</v>
      </c>
      <c r="AD11" s="20">
        <v>0.10417328135027799</v>
      </c>
      <c r="AE11" s="20">
        <v>3.2326445561793198E-2</v>
      </c>
      <c r="AF11" s="20"/>
      <c r="AG11" s="20">
        <v>5.3199448554872797E-2</v>
      </c>
      <c r="AH11" s="20">
        <v>5.1671812867116799E-2</v>
      </c>
      <c r="AI11" s="20"/>
      <c r="AJ11" s="20">
        <v>5.2665539979334097E-2</v>
      </c>
      <c r="AK11" s="20">
        <v>8.4668617236911797E-2</v>
      </c>
      <c r="AL11" s="20"/>
      <c r="AM11" s="20">
        <v>6.4649861131546194E-2</v>
      </c>
      <c r="AN11" s="20">
        <v>0.169281491166836</v>
      </c>
    </row>
    <row r="12" spans="2:40" x14ac:dyDescent="0.35">
      <c r="B12" s="27" t="s">
        <v>390</v>
      </c>
    </row>
    <row r="13" spans="2:40" x14ac:dyDescent="0.35">
      <c r="B13" t="s">
        <v>72</v>
      </c>
    </row>
    <row r="14" spans="2:40" x14ac:dyDescent="0.35">
      <c r="B14" t="s">
        <v>73</v>
      </c>
    </row>
    <row r="16" spans="2:40" x14ac:dyDescent="0.35">
      <c r="B16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dimension ref="B2:AN18"/>
  <sheetViews>
    <sheetView showGridLines="0" workbookViewId="0">
      <pane xSplit="2" topLeftCell="C1" activePane="topRight" state="frozen"/>
      <selection pane="topRight" activeCell="B17" sqref="B17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278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768</v>
      </c>
      <c r="D7" s="10">
        <v>396</v>
      </c>
      <c r="E7" s="10">
        <v>369</v>
      </c>
      <c r="F7" s="10"/>
      <c r="G7" s="10" t="s">
        <v>75</v>
      </c>
      <c r="H7" s="10" t="s">
        <v>75</v>
      </c>
      <c r="I7" s="10">
        <v>768</v>
      </c>
      <c r="J7" s="10"/>
      <c r="K7" s="10" t="s">
        <v>75</v>
      </c>
      <c r="L7" s="10">
        <v>565</v>
      </c>
      <c r="M7" s="10">
        <v>203</v>
      </c>
      <c r="N7" s="10"/>
      <c r="O7" s="10">
        <v>625</v>
      </c>
      <c r="P7" s="10">
        <v>133</v>
      </c>
      <c r="Q7" s="10"/>
      <c r="R7" s="10">
        <v>116</v>
      </c>
      <c r="S7" s="10">
        <v>131</v>
      </c>
      <c r="T7" s="10">
        <v>70</v>
      </c>
      <c r="U7" s="10">
        <v>73</v>
      </c>
      <c r="V7" s="10">
        <v>64</v>
      </c>
      <c r="W7" s="10">
        <v>98</v>
      </c>
      <c r="X7" s="10">
        <v>46</v>
      </c>
      <c r="Y7" s="10">
        <v>41</v>
      </c>
      <c r="Z7" s="10">
        <v>129</v>
      </c>
      <c r="AA7" s="10"/>
      <c r="AB7" s="10">
        <v>97</v>
      </c>
      <c r="AC7" s="10">
        <v>98</v>
      </c>
      <c r="AD7" s="10">
        <v>101</v>
      </c>
      <c r="AE7" s="10">
        <v>84</v>
      </c>
      <c r="AF7" s="10"/>
      <c r="AG7" s="10">
        <v>70</v>
      </c>
      <c r="AH7" s="10">
        <v>32</v>
      </c>
      <c r="AI7" s="10"/>
      <c r="AJ7" s="10">
        <v>102</v>
      </c>
      <c r="AK7" s="10">
        <v>91</v>
      </c>
      <c r="AL7" s="10"/>
      <c r="AM7" s="10">
        <v>437</v>
      </c>
      <c r="AN7" s="10">
        <v>163</v>
      </c>
    </row>
    <row r="8" spans="2:40" ht="30" customHeight="1" x14ac:dyDescent="0.35">
      <c r="B8" s="11" t="s">
        <v>20</v>
      </c>
      <c r="C8" s="11">
        <v>722</v>
      </c>
      <c r="D8" s="11">
        <v>355</v>
      </c>
      <c r="E8" s="11">
        <v>364</v>
      </c>
      <c r="F8" s="11"/>
      <c r="G8" s="11" t="s">
        <v>75</v>
      </c>
      <c r="H8" s="11" t="s">
        <v>75</v>
      </c>
      <c r="I8" s="11">
        <v>722</v>
      </c>
      <c r="J8" s="11"/>
      <c r="K8" s="11" t="s">
        <v>75</v>
      </c>
      <c r="L8" s="11">
        <v>452</v>
      </c>
      <c r="M8" s="11">
        <v>270</v>
      </c>
      <c r="N8" s="11"/>
      <c r="O8" s="11">
        <v>584</v>
      </c>
      <c r="P8" s="11">
        <v>131</v>
      </c>
      <c r="Q8" s="11"/>
      <c r="R8" s="11">
        <v>120</v>
      </c>
      <c r="S8" s="11">
        <v>116</v>
      </c>
      <c r="T8" s="11">
        <v>75</v>
      </c>
      <c r="U8" s="11">
        <v>77</v>
      </c>
      <c r="V8" s="11">
        <v>57</v>
      </c>
      <c r="W8" s="11">
        <v>71</v>
      </c>
      <c r="X8" s="11">
        <v>68</v>
      </c>
      <c r="Y8" s="11">
        <v>38</v>
      </c>
      <c r="Z8" s="11">
        <v>100</v>
      </c>
      <c r="AA8" s="11"/>
      <c r="AB8" s="11">
        <v>74</v>
      </c>
      <c r="AC8" s="11">
        <v>77</v>
      </c>
      <c r="AD8" s="11">
        <v>139</v>
      </c>
      <c r="AE8" s="11">
        <v>110</v>
      </c>
      <c r="AF8" s="11"/>
      <c r="AG8" s="11">
        <v>85</v>
      </c>
      <c r="AH8" s="11">
        <v>42</v>
      </c>
      <c r="AI8" s="11"/>
      <c r="AJ8" s="11">
        <v>127</v>
      </c>
      <c r="AK8" s="11">
        <v>130</v>
      </c>
      <c r="AL8" s="11"/>
      <c r="AM8" s="11">
        <v>397</v>
      </c>
      <c r="AN8" s="11">
        <v>164</v>
      </c>
    </row>
    <row r="9" spans="2:40" x14ac:dyDescent="0.35">
      <c r="B9" s="15" t="s">
        <v>155</v>
      </c>
      <c r="C9" s="14">
        <v>0.138638677844931</v>
      </c>
      <c r="D9" s="14">
        <v>0.13198898306937601</v>
      </c>
      <c r="E9" s="14">
        <v>0.144157192063992</v>
      </c>
      <c r="F9" s="14"/>
      <c r="G9" s="14" t="s">
        <v>76</v>
      </c>
      <c r="H9" s="14" t="s">
        <v>76</v>
      </c>
      <c r="I9" s="14">
        <v>0.138638677844931</v>
      </c>
      <c r="J9" s="14"/>
      <c r="K9" s="14" t="s">
        <v>76</v>
      </c>
      <c r="L9" s="14">
        <v>0.16084228436928499</v>
      </c>
      <c r="M9" s="14">
        <v>0.101370389969009</v>
      </c>
      <c r="N9" s="14"/>
      <c r="O9" s="14">
        <v>0.12530733184582499</v>
      </c>
      <c r="P9" s="14">
        <v>0.18797720530383999</v>
      </c>
      <c r="Q9" s="14"/>
      <c r="R9" s="14">
        <v>0.24164182248484201</v>
      </c>
      <c r="S9" s="14">
        <v>0.1148195751822</v>
      </c>
      <c r="T9" s="14">
        <v>0.121887709202328</v>
      </c>
      <c r="U9" s="14">
        <v>8.7321448050999007E-2</v>
      </c>
      <c r="V9" s="14">
        <v>0.110186833826194</v>
      </c>
      <c r="W9" s="14">
        <v>0.16656822360590701</v>
      </c>
      <c r="X9" s="14">
        <v>7.1717432135457296E-2</v>
      </c>
      <c r="Y9" s="14">
        <v>0.14181181138603899</v>
      </c>
      <c r="Z9" s="14">
        <v>0.13551863494522101</v>
      </c>
      <c r="AA9" s="14"/>
      <c r="AB9" s="14">
        <v>0.162653611046647</v>
      </c>
      <c r="AC9" s="14">
        <v>0.208071978759303</v>
      </c>
      <c r="AD9" s="14">
        <v>9.6234632957111904E-2</v>
      </c>
      <c r="AE9" s="14">
        <v>8.1317177557440501E-2</v>
      </c>
      <c r="AF9" s="14"/>
      <c r="AG9" s="14">
        <v>0.11375061128311199</v>
      </c>
      <c r="AH9" s="14">
        <v>0.15293803681123699</v>
      </c>
      <c r="AI9" s="14"/>
      <c r="AJ9" s="14">
        <v>0.126796903238548</v>
      </c>
      <c r="AK9" s="14">
        <v>5.8555100297430197E-2</v>
      </c>
      <c r="AL9" s="14"/>
      <c r="AM9" s="14">
        <v>0.186992039330904</v>
      </c>
      <c r="AN9" s="14">
        <v>8.0506966083369394E-2</v>
      </c>
    </row>
    <row r="10" spans="2:40" x14ac:dyDescent="0.35">
      <c r="B10" s="15" t="s">
        <v>156</v>
      </c>
      <c r="C10" s="14">
        <v>0.58183701011178002</v>
      </c>
      <c r="D10" s="14">
        <v>0.58560556878218195</v>
      </c>
      <c r="E10" s="14">
        <v>0.58133806085293305</v>
      </c>
      <c r="F10" s="14"/>
      <c r="G10" s="14" t="s">
        <v>76</v>
      </c>
      <c r="H10" s="14" t="s">
        <v>76</v>
      </c>
      <c r="I10" s="14">
        <v>0.58183701011178002</v>
      </c>
      <c r="J10" s="14"/>
      <c r="K10" s="14" t="s">
        <v>76</v>
      </c>
      <c r="L10" s="14">
        <v>0.55550321206866904</v>
      </c>
      <c r="M10" s="14">
        <v>0.62603773782962402</v>
      </c>
      <c r="N10" s="14"/>
      <c r="O10" s="14">
        <v>0.56745924451187402</v>
      </c>
      <c r="P10" s="14">
        <v>0.663847237070611</v>
      </c>
      <c r="Q10" s="14"/>
      <c r="R10" s="14">
        <v>0.62804086069894405</v>
      </c>
      <c r="S10" s="14">
        <v>0.549464292562034</v>
      </c>
      <c r="T10" s="14">
        <v>0.63702148041954598</v>
      </c>
      <c r="U10" s="14">
        <v>0.57639483660471003</v>
      </c>
      <c r="V10" s="14">
        <v>0.50317639488570698</v>
      </c>
      <c r="W10" s="14">
        <v>0.51903116861701004</v>
      </c>
      <c r="X10" s="14">
        <v>0.55545276934245602</v>
      </c>
      <c r="Y10" s="14">
        <v>0.62446579306376704</v>
      </c>
      <c r="Z10" s="14">
        <v>0.61867308468988302</v>
      </c>
      <c r="AA10" s="14"/>
      <c r="AB10" s="14">
        <v>0.57592247877374902</v>
      </c>
      <c r="AC10" s="14">
        <v>0.59617083449130903</v>
      </c>
      <c r="AD10" s="14">
        <v>0.61693467679007197</v>
      </c>
      <c r="AE10" s="14">
        <v>0.67749947781947795</v>
      </c>
      <c r="AF10" s="14"/>
      <c r="AG10" s="14">
        <v>0.74105349673259002</v>
      </c>
      <c r="AH10" s="14">
        <v>0.55998771838415695</v>
      </c>
      <c r="AI10" s="14"/>
      <c r="AJ10" s="14">
        <v>0.68077301196901197</v>
      </c>
      <c r="AK10" s="14">
        <v>0.60716994531716295</v>
      </c>
      <c r="AL10" s="14"/>
      <c r="AM10" s="14">
        <v>0.62422190960116197</v>
      </c>
      <c r="AN10" s="14">
        <v>0.50072343615297399</v>
      </c>
    </row>
    <row r="11" spans="2:40" x14ac:dyDescent="0.35">
      <c r="B11" s="15" t="s">
        <v>157</v>
      </c>
      <c r="C11" s="14">
        <v>0.21424894579895101</v>
      </c>
      <c r="D11" s="14">
        <v>0.208035232542117</v>
      </c>
      <c r="E11" s="14">
        <v>0.21750342892313301</v>
      </c>
      <c r="F11" s="14"/>
      <c r="G11" s="14" t="s">
        <v>76</v>
      </c>
      <c r="H11" s="14" t="s">
        <v>76</v>
      </c>
      <c r="I11" s="14">
        <v>0.21424894579895101</v>
      </c>
      <c r="J11" s="14"/>
      <c r="K11" s="14" t="s">
        <v>76</v>
      </c>
      <c r="L11" s="14">
        <v>0.20888027984365101</v>
      </c>
      <c r="M11" s="14">
        <v>0.22326013900813901</v>
      </c>
      <c r="N11" s="14"/>
      <c r="O11" s="14">
        <v>0.240423423782573</v>
      </c>
      <c r="P11" s="14">
        <v>9.2871884630586404E-2</v>
      </c>
      <c r="Q11" s="14"/>
      <c r="R11" s="14">
        <v>0.106710329276873</v>
      </c>
      <c r="S11" s="14">
        <v>0.24562116161789699</v>
      </c>
      <c r="T11" s="14">
        <v>0.19342873837830901</v>
      </c>
      <c r="U11" s="14">
        <v>0.239081753012092</v>
      </c>
      <c r="V11" s="14">
        <v>0.29798513629617002</v>
      </c>
      <c r="W11" s="14">
        <v>0.24321259863255401</v>
      </c>
      <c r="X11" s="14">
        <v>0.30304515486665401</v>
      </c>
      <c r="Y11" s="14">
        <v>0.16753162600070501</v>
      </c>
      <c r="Z11" s="14">
        <v>0.19191652507242099</v>
      </c>
      <c r="AA11" s="14"/>
      <c r="AB11" s="14">
        <v>0.23378356502898201</v>
      </c>
      <c r="AC11" s="14">
        <v>0.17444520288757601</v>
      </c>
      <c r="AD11" s="14">
        <v>0.27072374669895199</v>
      </c>
      <c r="AE11" s="14">
        <v>0.16585050904910401</v>
      </c>
      <c r="AF11" s="14"/>
      <c r="AG11" s="14">
        <v>0.113365943118224</v>
      </c>
      <c r="AH11" s="14">
        <v>0.25246705164206901</v>
      </c>
      <c r="AI11" s="14"/>
      <c r="AJ11" s="14">
        <v>0.15967553474537699</v>
      </c>
      <c r="AK11" s="14">
        <v>0.27814099185761498</v>
      </c>
      <c r="AL11" s="14"/>
      <c r="AM11" s="14">
        <v>0.14970039725141401</v>
      </c>
      <c r="AN11" s="14">
        <v>0.31191299523919902</v>
      </c>
    </row>
    <row r="12" spans="2:40" x14ac:dyDescent="0.35">
      <c r="B12" s="15" t="s">
        <v>158</v>
      </c>
      <c r="C12" s="14">
        <v>6.0482321982646199E-2</v>
      </c>
      <c r="D12" s="14">
        <v>7.2121430026695299E-2</v>
      </c>
      <c r="E12" s="14">
        <v>4.9683330265637198E-2</v>
      </c>
      <c r="F12" s="14"/>
      <c r="G12" s="14" t="s">
        <v>76</v>
      </c>
      <c r="H12" s="14" t="s">
        <v>76</v>
      </c>
      <c r="I12" s="14">
        <v>6.0482321982646199E-2</v>
      </c>
      <c r="J12" s="14"/>
      <c r="K12" s="14" t="s">
        <v>76</v>
      </c>
      <c r="L12" s="14">
        <v>6.7125591639127E-2</v>
      </c>
      <c r="M12" s="14">
        <v>4.9331733193228297E-2</v>
      </c>
      <c r="N12" s="14"/>
      <c r="O12" s="14">
        <v>6.0880995941189502E-2</v>
      </c>
      <c r="P12" s="14">
        <v>5.5303672994962798E-2</v>
      </c>
      <c r="Q12" s="14"/>
      <c r="R12" s="14">
        <v>1.5134433330424499E-2</v>
      </c>
      <c r="S12" s="14">
        <v>8.32388714025184E-2</v>
      </c>
      <c r="T12" s="14">
        <v>3.5053970991271902E-2</v>
      </c>
      <c r="U12" s="14">
        <v>9.72019623321983E-2</v>
      </c>
      <c r="V12" s="14">
        <v>8.8651634991929004E-2</v>
      </c>
      <c r="W12" s="14">
        <v>6.1363552721849797E-2</v>
      </c>
      <c r="X12" s="14">
        <v>6.9784643655432896E-2</v>
      </c>
      <c r="Y12" s="14">
        <v>6.6190769549488701E-2</v>
      </c>
      <c r="Z12" s="14">
        <v>5.3891755292475203E-2</v>
      </c>
      <c r="AA12" s="14"/>
      <c r="AB12" s="14">
        <v>2.7640345150622601E-2</v>
      </c>
      <c r="AC12" s="14">
        <v>2.1311983861812E-2</v>
      </c>
      <c r="AD12" s="14">
        <v>1.61069435538643E-2</v>
      </c>
      <c r="AE12" s="14">
        <v>7.5332835573977297E-2</v>
      </c>
      <c r="AF12" s="14"/>
      <c r="AG12" s="14">
        <v>3.18299488660738E-2</v>
      </c>
      <c r="AH12" s="14">
        <v>3.4607193162537297E-2</v>
      </c>
      <c r="AI12" s="14"/>
      <c r="AJ12" s="14">
        <v>3.2754550047063097E-2</v>
      </c>
      <c r="AK12" s="14">
        <v>5.6133962527791799E-2</v>
      </c>
      <c r="AL12" s="14"/>
      <c r="AM12" s="14">
        <v>3.9085653816519801E-2</v>
      </c>
      <c r="AN12" s="14">
        <v>9.7692887337483103E-2</v>
      </c>
    </row>
    <row r="13" spans="2:40" x14ac:dyDescent="0.35">
      <c r="B13" s="15" t="s">
        <v>70</v>
      </c>
      <c r="C13" s="20">
        <v>4.7930442616917401E-3</v>
      </c>
      <c r="D13" s="20">
        <v>2.2487855796300602E-3</v>
      </c>
      <c r="E13" s="20">
        <v>7.3179878943052598E-3</v>
      </c>
      <c r="F13" s="20"/>
      <c r="G13" s="20" t="s">
        <v>76</v>
      </c>
      <c r="H13" s="20" t="s">
        <v>76</v>
      </c>
      <c r="I13" s="20">
        <v>4.7930442616917401E-3</v>
      </c>
      <c r="J13" s="20"/>
      <c r="K13" s="20" t="s">
        <v>76</v>
      </c>
      <c r="L13" s="20">
        <v>7.6486320792681804E-3</v>
      </c>
      <c r="M13" s="20">
        <v>0</v>
      </c>
      <c r="N13" s="20"/>
      <c r="O13" s="20">
        <v>5.9290039185389797E-3</v>
      </c>
      <c r="P13" s="20">
        <v>0</v>
      </c>
      <c r="Q13" s="20"/>
      <c r="R13" s="20">
        <v>8.4725542089172205E-3</v>
      </c>
      <c r="S13" s="20">
        <v>6.85609923535017E-3</v>
      </c>
      <c r="T13" s="20">
        <v>1.26081010085453E-2</v>
      </c>
      <c r="U13" s="20">
        <v>0</v>
      </c>
      <c r="V13" s="20">
        <v>0</v>
      </c>
      <c r="W13" s="20">
        <v>9.8244564226792098E-3</v>
      </c>
      <c r="X13" s="20">
        <v>0</v>
      </c>
      <c r="Y13" s="20">
        <v>0</v>
      </c>
      <c r="Z13" s="20">
        <v>0</v>
      </c>
      <c r="AA13" s="20"/>
      <c r="AB13" s="20">
        <v>0</v>
      </c>
      <c r="AC13" s="20">
        <v>0</v>
      </c>
      <c r="AD13" s="20">
        <v>0</v>
      </c>
      <c r="AE13" s="20">
        <v>0</v>
      </c>
      <c r="AF13" s="20"/>
      <c r="AG13" s="20">
        <v>0</v>
      </c>
      <c r="AH13" s="20">
        <v>0</v>
      </c>
      <c r="AI13" s="20"/>
      <c r="AJ13" s="20">
        <v>0</v>
      </c>
      <c r="AK13" s="20">
        <v>0</v>
      </c>
      <c r="AL13" s="20"/>
      <c r="AM13" s="20">
        <v>0</v>
      </c>
      <c r="AN13" s="20">
        <v>9.1637151869741005E-3</v>
      </c>
    </row>
    <row r="14" spans="2:40" x14ac:dyDescent="0.35">
      <c r="B14" s="27" t="s">
        <v>290</v>
      </c>
    </row>
    <row r="15" spans="2:40" x14ac:dyDescent="0.35">
      <c r="B15" t="s">
        <v>72</v>
      </c>
    </row>
    <row r="16" spans="2:40" x14ac:dyDescent="0.35">
      <c r="B16" t="s">
        <v>73</v>
      </c>
    </row>
    <row r="18" spans="2:2" x14ac:dyDescent="0.35">
      <c r="B18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dimension ref="B2:AN19"/>
  <sheetViews>
    <sheetView showGridLines="0" workbookViewId="0">
      <pane xSplit="2" topLeftCell="C1" activePane="topRight" state="frozen"/>
      <selection pane="topRight" activeCell="AN12" sqref="AN12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279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768</v>
      </c>
      <c r="D7" s="10">
        <v>396</v>
      </c>
      <c r="E7" s="10">
        <v>369</v>
      </c>
      <c r="F7" s="10"/>
      <c r="G7" s="10" t="s">
        <v>75</v>
      </c>
      <c r="H7" s="10" t="s">
        <v>75</v>
      </c>
      <c r="I7" s="10">
        <v>768</v>
      </c>
      <c r="J7" s="10"/>
      <c r="K7" s="10" t="s">
        <v>75</v>
      </c>
      <c r="L7" s="10">
        <v>565</v>
      </c>
      <c r="M7" s="10">
        <v>203</v>
      </c>
      <c r="N7" s="10"/>
      <c r="O7" s="10">
        <v>625</v>
      </c>
      <c r="P7" s="10">
        <v>133</v>
      </c>
      <c r="Q7" s="10"/>
      <c r="R7" s="10">
        <v>116</v>
      </c>
      <c r="S7" s="10">
        <v>131</v>
      </c>
      <c r="T7" s="10">
        <v>70</v>
      </c>
      <c r="U7" s="10">
        <v>73</v>
      </c>
      <c r="V7" s="10">
        <v>64</v>
      </c>
      <c r="W7" s="10">
        <v>98</v>
      </c>
      <c r="X7" s="10">
        <v>46</v>
      </c>
      <c r="Y7" s="10">
        <v>41</v>
      </c>
      <c r="Z7" s="10">
        <v>129</v>
      </c>
      <c r="AA7" s="10"/>
      <c r="AB7" s="10">
        <v>97</v>
      </c>
      <c r="AC7" s="10">
        <v>98</v>
      </c>
      <c r="AD7" s="10">
        <v>101</v>
      </c>
      <c r="AE7" s="10">
        <v>84</v>
      </c>
      <c r="AF7" s="10"/>
      <c r="AG7" s="10">
        <v>70</v>
      </c>
      <c r="AH7" s="10">
        <v>32</v>
      </c>
      <c r="AI7" s="10"/>
      <c r="AJ7" s="10">
        <v>102</v>
      </c>
      <c r="AK7" s="10">
        <v>91</v>
      </c>
      <c r="AL7" s="10"/>
      <c r="AM7" s="10">
        <v>437</v>
      </c>
      <c r="AN7" s="10">
        <v>163</v>
      </c>
    </row>
    <row r="8" spans="2:40" ht="30" customHeight="1" x14ac:dyDescent="0.35">
      <c r="B8" s="11" t="s">
        <v>20</v>
      </c>
      <c r="C8" s="11">
        <v>722</v>
      </c>
      <c r="D8" s="11">
        <v>355</v>
      </c>
      <c r="E8" s="11">
        <v>364</v>
      </c>
      <c r="F8" s="11"/>
      <c r="G8" s="11" t="s">
        <v>75</v>
      </c>
      <c r="H8" s="11" t="s">
        <v>75</v>
      </c>
      <c r="I8" s="11">
        <v>722</v>
      </c>
      <c r="J8" s="11"/>
      <c r="K8" s="11" t="s">
        <v>75</v>
      </c>
      <c r="L8" s="11">
        <v>452</v>
      </c>
      <c r="M8" s="11">
        <v>270</v>
      </c>
      <c r="N8" s="11"/>
      <c r="O8" s="11">
        <v>584</v>
      </c>
      <c r="P8" s="11">
        <v>131</v>
      </c>
      <c r="Q8" s="11"/>
      <c r="R8" s="11">
        <v>120</v>
      </c>
      <c r="S8" s="11">
        <v>116</v>
      </c>
      <c r="T8" s="11">
        <v>75</v>
      </c>
      <c r="U8" s="11">
        <v>77</v>
      </c>
      <c r="V8" s="11">
        <v>57</v>
      </c>
      <c r="W8" s="11">
        <v>71</v>
      </c>
      <c r="X8" s="11">
        <v>68</v>
      </c>
      <c r="Y8" s="11">
        <v>38</v>
      </c>
      <c r="Z8" s="11">
        <v>100</v>
      </c>
      <c r="AA8" s="11"/>
      <c r="AB8" s="11">
        <v>74</v>
      </c>
      <c r="AC8" s="11">
        <v>77</v>
      </c>
      <c r="AD8" s="11">
        <v>139</v>
      </c>
      <c r="AE8" s="11">
        <v>110</v>
      </c>
      <c r="AF8" s="11"/>
      <c r="AG8" s="11">
        <v>85</v>
      </c>
      <c r="AH8" s="11">
        <v>42</v>
      </c>
      <c r="AI8" s="11"/>
      <c r="AJ8" s="11">
        <v>127</v>
      </c>
      <c r="AK8" s="11">
        <v>130</v>
      </c>
      <c r="AL8" s="11"/>
      <c r="AM8" s="11">
        <v>397</v>
      </c>
      <c r="AN8" s="11">
        <v>164</v>
      </c>
    </row>
    <row r="9" spans="2:40" x14ac:dyDescent="0.35">
      <c r="B9" s="15" t="s">
        <v>160</v>
      </c>
      <c r="C9" s="14">
        <v>0.16629896644665901</v>
      </c>
      <c r="D9" s="14">
        <v>0.17143889380093899</v>
      </c>
      <c r="E9" s="14">
        <v>0.160572292332988</v>
      </c>
      <c r="F9" s="14"/>
      <c r="G9" s="14" t="s">
        <v>76</v>
      </c>
      <c r="H9" s="14" t="s">
        <v>76</v>
      </c>
      <c r="I9" s="14">
        <v>0.16629896644665901</v>
      </c>
      <c r="J9" s="14"/>
      <c r="K9" s="14" t="s">
        <v>76</v>
      </c>
      <c r="L9" s="14">
        <v>0.18952301694882301</v>
      </c>
      <c r="M9" s="14">
        <v>0.12731788475570499</v>
      </c>
      <c r="N9" s="14"/>
      <c r="O9" s="14">
        <v>0.132372178395122</v>
      </c>
      <c r="P9" s="14">
        <v>0.32124599494068901</v>
      </c>
      <c r="Q9" s="14"/>
      <c r="R9" s="14">
        <v>0.22126966693533201</v>
      </c>
      <c r="S9" s="14">
        <v>0.14626045282164099</v>
      </c>
      <c r="T9" s="14">
        <v>0.1234804547422</v>
      </c>
      <c r="U9" s="14">
        <v>0.149571154619002</v>
      </c>
      <c r="V9" s="14">
        <v>0.13800423093912001</v>
      </c>
      <c r="W9" s="14">
        <v>9.3518833718795796E-2</v>
      </c>
      <c r="X9" s="14">
        <v>0.17994769711155001</v>
      </c>
      <c r="Y9" s="14">
        <v>0.29760955956467</v>
      </c>
      <c r="Z9" s="14">
        <v>0.17826424962833401</v>
      </c>
      <c r="AA9" s="14"/>
      <c r="AB9" s="14">
        <v>0.141052140818611</v>
      </c>
      <c r="AC9" s="14">
        <v>0.25556536749502601</v>
      </c>
      <c r="AD9" s="14">
        <v>7.8399212271101804E-2</v>
      </c>
      <c r="AE9" s="14">
        <v>0.166882548395233</v>
      </c>
      <c r="AF9" s="14"/>
      <c r="AG9" s="14">
        <v>0.26469545117159698</v>
      </c>
      <c r="AH9" s="14">
        <v>8.3474632330370904E-2</v>
      </c>
      <c r="AI9" s="14"/>
      <c r="AJ9" s="14">
        <v>0.204363350270786</v>
      </c>
      <c r="AK9" s="14">
        <v>4.12078348934099E-2</v>
      </c>
      <c r="AL9" s="14"/>
      <c r="AM9" s="14">
        <v>0.27456808197569998</v>
      </c>
      <c r="AN9" s="14">
        <v>2.2810879711543101E-2</v>
      </c>
    </row>
    <row r="10" spans="2:40" x14ac:dyDescent="0.35">
      <c r="B10" s="15" t="s">
        <v>161</v>
      </c>
      <c r="C10" s="14">
        <v>0.52184175595933102</v>
      </c>
      <c r="D10" s="14">
        <v>0.55616145060390798</v>
      </c>
      <c r="E10" s="14">
        <v>0.48624162280988698</v>
      </c>
      <c r="F10" s="14"/>
      <c r="G10" s="14" t="s">
        <v>76</v>
      </c>
      <c r="H10" s="14" t="s">
        <v>76</v>
      </c>
      <c r="I10" s="14">
        <v>0.52184175595933102</v>
      </c>
      <c r="J10" s="14"/>
      <c r="K10" s="14" t="s">
        <v>76</v>
      </c>
      <c r="L10" s="14">
        <v>0.50613016229865404</v>
      </c>
      <c r="M10" s="14">
        <v>0.54821333640025605</v>
      </c>
      <c r="N10" s="14"/>
      <c r="O10" s="14">
        <v>0.51472235737232597</v>
      </c>
      <c r="P10" s="14">
        <v>0.56176784482550601</v>
      </c>
      <c r="Q10" s="14"/>
      <c r="R10" s="14">
        <v>0.59101247979631699</v>
      </c>
      <c r="S10" s="14">
        <v>0.49333687423953299</v>
      </c>
      <c r="T10" s="14">
        <v>0.58472676876042495</v>
      </c>
      <c r="U10" s="14">
        <v>0.53588134694534095</v>
      </c>
      <c r="V10" s="14">
        <v>0.542185074632061</v>
      </c>
      <c r="W10" s="14">
        <v>0.53306360098980499</v>
      </c>
      <c r="X10" s="14">
        <v>0.40712848695167497</v>
      </c>
      <c r="Y10" s="14">
        <v>0.516099013577901</v>
      </c>
      <c r="Z10" s="14">
        <v>0.47415770480029901</v>
      </c>
      <c r="AA10" s="14"/>
      <c r="AB10" s="14">
        <v>0.51561654370737597</v>
      </c>
      <c r="AC10" s="14">
        <v>0.55627835321560803</v>
      </c>
      <c r="AD10" s="14">
        <v>0.51084338425483999</v>
      </c>
      <c r="AE10" s="14">
        <v>0.64701395389403704</v>
      </c>
      <c r="AF10" s="14"/>
      <c r="AG10" s="14">
        <v>0.65759090389548402</v>
      </c>
      <c r="AH10" s="14">
        <v>0.45703517375959501</v>
      </c>
      <c r="AI10" s="14"/>
      <c r="AJ10" s="14">
        <v>0.59082181729624805</v>
      </c>
      <c r="AK10" s="14">
        <v>0.55017404562916195</v>
      </c>
      <c r="AL10" s="14"/>
      <c r="AM10" s="14">
        <v>0.57595665895364201</v>
      </c>
      <c r="AN10" s="14">
        <v>0.35948855855834</v>
      </c>
    </row>
    <row r="11" spans="2:40" x14ac:dyDescent="0.35">
      <c r="B11" s="15" t="s">
        <v>162</v>
      </c>
      <c r="C11" s="14">
        <v>0.262984380194693</v>
      </c>
      <c r="D11" s="14">
        <v>0.22458141229849099</v>
      </c>
      <c r="E11" s="14">
        <v>0.302834863335391</v>
      </c>
      <c r="F11" s="14"/>
      <c r="G11" s="14" t="s">
        <v>76</v>
      </c>
      <c r="H11" s="14" t="s">
        <v>76</v>
      </c>
      <c r="I11" s="14">
        <v>0.262984380194693</v>
      </c>
      <c r="J11" s="14"/>
      <c r="K11" s="14" t="s">
        <v>76</v>
      </c>
      <c r="L11" s="14">
        <v>0.255303872610601</v>
      </c>
      <c r="M11" s="14">
        <v>0.27587595109166402</v>
      </c>
      <c r="N11" s="14"/>
      <c r="O11" s="14">
        <v>0.29398428150941502</v>
      </c>
      <c r="P11" s="14">
        <v>0.11698616023380499</v>
      </c>
      <c r="Q11" s="14"/>
      <c r="R11" s="14">
        <v>0.14719851034635101</v>
      </c>
      <c r="S11" s="14">
        <v>0.28930330485213701</v>
      </c>
      <c r="T11" s="14">
        <v>0.246618631682509</v>
      </c>
      <c r="U11" s="14">
        <v>0.31454749843565699</v>
      </c>
      <c r="V11" s="14">
        <v>0.27420526079296098</v>
      </c>
      <c r="W11" s="14">
        <v>0.27128221446115097</v>
      </c>
      <c r="X11" s="14">
        <v>0.37556922944131099</v>
      </c>
      <c r="Y11" s="14">
        <v>0.16703871838495901</v>
      </c>
      <c r="Z11" s="14">
        <v>0.29129537561191499</v>
      </c>
      <c r="AA11" s="14"/>
      <c r="AB11" s="14">
        <v>0.27019550428991701</v>
      </c>
      <c r="AC11" s="14">
        <v>0.16759546661518401</v>
      </c>
      <c r="AD11" s="14">
        <v>0.32964066779272799</v>
      </c>
      <c r="AE11" s="14">
        <v>0.18610349771073101</v>
      </c>
      <c r="AF11" s="14"/>
      <c r="AG11" s="14">
        <v>7.7713644932918699E-2</v>
      </c>
      <c r="AH11" s="14">
        <v>0.38838200770618098</v>
      </c>
      <c r="AI11" s="14"/>
      <c r="AJ11" s="14">
        <v>0.18114146922692501</v>
      </c>
      <c r="AK11" s="14">
        <v>0.34516004865167899</v>
      </c>
      <c r="AL11" s="14"/>
      <c r="AM11" s="14">
        <v>0.132652461518459</v>
      </c>
      <c r="AN11" s="14">
        <v>0.48225012714739701</v>
      </c>
    </row>
    <row r="12" spans="2:40" x14ac:dyDescent="0.35">
      <c r="B12" s="15" t="s">
        <v>163</v>
      </c>
      <c r="C12" s="14">
        <v>4.4512476789074301E-2</v>
      </c>
      <c r="D12" s="14">
        <v>4.5635597375612597E-2</v>
      </c>
      <c r="E12" s="14">
        <v>4.3823238800998997E-2</v>
      </c>
      <c r="F12" s="14"/>
      <c r="G12" s="14" t="s">
        <v>76</v>
      </c>
      <c r="H12" s="14" t="s">
        <v>76</v>
      </c>
      <c r="I12" s="14">
        <v>4.4512476789074301E-2</v>
      </c>
      <c r="J12" s="14"/>
      <c r="K12" s="14" t="s">
        <v>76</v>
      </c>
      <c r="L12" s="14">
        <v>4.7060046652036301E-2</v>
      </c>
      <c r="M12" s="14">
        <v>4.0236434204156797E-2</v>
      </c>
      <c r="N12" s="14"/>
      <c r="O12" s="14">
        <v>5.3524860995175901E-2</v>
      </c>
      <c r="P12" s="14">
        <v>0</v>
      </c>
      <c r="Q12" s="14"/>
      <c r="R12" s="14">
        <v>3.3029265729743899E-2</v>
      </c>
      <c r="S12" s="14">
        <v>7.1099368086688805E-2</v>
      </c>
      <c r="T12" s="14">
        <v>4.5174144814866E-2</v>
      </c>
      <c r="U12" s="14">
        <v>0</v>
      </c>
      <c r="V12" s="14">
        <v>3.2067159532695198E-2</v>
      </c>
      <c r="W12" s="14">
        <v>8.1436084857000504E-2</v>
      </c>
      <c r="X12" s="14">
        <v>3.7354586495464699E-2</v>
      </c>
      <c r="Y12" s="14">
        <v>1.92527084724698E-2</v>
      </c>
      <c r="Z12" s="14">
        <v>5.6282669959451803E-2</v>
      </c>
      <c r="AA12" s="14"/>
      <c r="AB12" s="14">
        <v>7.3135811184095706E-2</v>
      </c>
      <c r="AC12" s="14">
        <v>2.0560812674181399E-2</v>
      </c>
      <c r="AD12" s="14">
        <v>6.4895497283242704E-2</v>
      </c>
      <c r="AE12" s="14">
        <v>0</v>
      </c>
      <c r="AF12" s="14"/>
      <c r="AG12" s="14">
        <v>0</v>
      </c>
      <c r="AH12" s="14">
        <v>7.1108186203853105E-2</v>
      </c>
      <c r="AI12" s="14"/>
      <c r="AJ12" s="14">
        <v>2.3673363206041301E-2</v>
      </c>
      <c r="AK12" s="14">
        <v>4.6152298304146702E-2</v>
      </c>
      <c r="AL12" s="14"/>
      <c r="AM12" s="14">
        <v>1.68227975521986E-2</v>
      </c>
      <c r="AN12" s="14">
        <v>0.13545043458271999</v>
      </c>
    </row>
    <row r="13" spans="2:40" x14ac:dyDescent="0.35">
      <c r="B13" s="15" t="s">
        <v>70</v>
      </c>
      <c r="C13" s="21">
        <v>4.3624206102428204E-3</v>
      </c>
      <c r="D13" s="21">
        <v>2.18264592105007E-3</v>
      </c>
      <c r="E13" s="21">
        <v>6.52798272073491E-3</v>
      </c>
      <c r="F13" s="21"/>
      <c r="G13" s="21" t="s">
        <v>76</v>
      </c>
      <c r="H13" s="21" t="s">
        <v>76</v>
      </c>
      <c r="I13" s="21">
        <v>4.3624206102428204E-3</v>
      </c>
      <c r="J13" s="21"/>
      <c r="K13" s="21" t="s">
        <v>76</v>
      </c>
      <c r="L13" s="21">
        <v>1.9829014898856698E-3</v>
      </c>
      <c r="M13" s="21">
        <v>8.3563935482186096E-3</v>
      </c>
      <c r="N13" s="21"/>
      <c r="O13" s="21">
        <v>5.3963217279607801E-3</v>
      </c>
      <c r="P13" s="21">
        <v>0</v>
      </c>
      <c r="Q13" s="21"/>
      <c r="R13" s="21">
        <v>7.4900771922558097E-3</v>
      </c>
      <c r="S13" s="21">
        <v>0</v>
      </c>
      <c r="T13" s="21">
        <v>0</v>
      </c>
      <c r="U13" s="21">
        <v>0</v>
      </c>
      <c r="V13" s="21">
        <v>1.3538274103162599E-2</v>
      </c>
      <c r="W13" s="21">
        <v>2.06992659732473E-2</v>
      </c>
      <c r="X13" s="21">
        <v>0</v>
      </c>
      <c r="Y13" s="21">
        <v>0</v>
      </c>
      <c r="Z13" s="21">
        <v>0</v>
      </c>
      <c r="AA13" s="21"/>
      <c r="AB13" s="21">
        <v>0</v>
      </c>
      <c r="AC13" s="21">
        <v>0</v>
      </c>
      <c r="AD13" s="21">
        <v>1.6221238398087898E-2</v>
      </c>
      <c r="AE13" s="21">
        <v>0</v>
      </c>
      <c r="AF13" s="21"/>
      <c r="AG13" s="21">
        <v>0</v>
      </c>
      <c r="AH13" s="21">
        <v>0</v>
      </c>
      <c r="AI13" s="21"/>
      <c r="AJ13" s="21">
        <v>0</v>
      </c>
      <c r="AK13" s="21">
        <v>1.7305772521603102E-2</v>
      </c>
      <c r="AL13" s="21"/>
      <c r="AM13" s="21">
        <v>0</v>
      </c>
      <c r="AN13" s="21">
        <v>0</v>
      </c>
    </row>
    <row r="14" spans="2:40" x14ac:dyDescent="0.35">
      <c r="B14" s="15" t="s">
        <v>164</v>
      </c>
      <c r="C14" s="30">
        <v>0.68814072240599</v>
      </c>
      <c r="D14" s="30">
        <v>0.727600344404846</v>
      </c>
      <c r="E14" s="30">
        <v>0.64681391514287501</v>
      </c>
      <c r="F14" s="30"/>
      <c r="G14" s="30" t="s">
        <v>76</v>
      </c>
      <c r="H14" s="30" t="s">
        <v>76</v>
      </c>
      <c r="I14" s="30">
        <v>0.68814072240599</v>
      </c>
      <c r="J14" s="30"/>
      <c r="K14" s="30" t="s">
        <v>76</v>
      </c>
      <c r="L14" s="30">
        <v>0.69565317924747705</v>
      </c>
      <c r="M14" s="30">
        <v>0.67553122115596098</v>
      </c>
      <c r="N14" s="30"/>
      <c r="O14" s="30">
        <v>0.64709453576744802</v>
      </c>
      <c r="P14" s="30">
        <v>0.88301383976619496</v>
      </c>
      <c r="Q14" s="30"/>
      <c r="R14" s="30">
        <v>0.812282146731649</v>
      </c>
      <c r="S14" s="30">
        <v>0.639597327061174</v>
      </c>
      <c r="T14" s="30">
        <v>0.70820722350262499</v>
      </c>
      <c r="U14" s="30">
        <v>0.68545250156434301</v>
      </c>
      <c r="V14" s="30">
        <v>0.68018930557118096</v>
      </c>
      <c r="W14" s="30">
        <v>0.62658243470860098</v>
      </c>
      <c r="X14" s="30">
        <v>0.58707618406322504</v>
      </c>
      <c r="Y14" s="30">
        <v>0.81370857314257194</v>
      </c>
      <c r="Z14" s="30">
        <v>0.65242195442863304</v>
      </c>
      <c r="AA14" s="30"/>
      <c r="AB14" s="30">
        <v>0.65666868452598703</v>
      </c>
      <c r="AC14" s="30">
        <v>0.81184372071063504</v>
      </c>
      <c r="AD14" s="30">
        <v>0.58924259652594202</v>
      </c>
      <c r="AE14" s="30">
        <v>0.81389650228926902</v>
      </c>
      <c r="AF14" s="30"/>
      <c r="AG14" s="30">
        <v>0.92228635506708101</v>
      </c>
      <c r="AH14" s="30">
        <v>0.54050980608996602</v>
      </c>
      <c r="AI14" s="30"/>
      <c r="AJ14" s="30">
        <v>0.79518516756703295</v>
      </c>
      <c r="AK14" s="30">
        <v>0.59138188052257201</v>
      </c>
      <c r="AL14" s="30"/>
      <c r="AM14" s="30">
        <v>0.85052474092934205</v>
      </c>
      <c r="AN14" s="30">
        <v>0.382299438269883</v>
      </c>
    </row>
    <row r="15" spans="2:40" x14ac:dyDescent="0.35">
      <c r="B15" s="27" t="s">
        <v>290</v>
      </c>
    </row>
    <row r="16" spans="2:40" x14ac:dyDescent="0.35">
      <c r="B16" t="s">
        <v>72</v>
      </c>
    </row>
    <row r="17" spans="2:2" x14ac:dyDescent="0.35">
      <c r="B17" t="s">
        <v>73</v>
      </c>
    </row>
    <row r="19" spans="2:2" x14ac:dyDescent="0.35">
      <c r="B19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dimension ref="B2:AN18"/>
  <sheetViews>
    <sheetView showGridLines="0" workbookViewId="0">
      <pane xSplit="2" topLeftCell="C1" activePane="topRight" state="frozen"/>
      <selection pane="topRight" activeCell="B17" sqref="B17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280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768</v>
      </c>
      <c r="D7" s="10">
        <v>396</v>
      </c>
      <c r="E7" s="10">
        <v>369</v>
      </c>
      <c r="F7" s="10"/>
      <c r="G7" s="10" t="s">
        <v>75</v>
      </c>
      <c r="H7" s="10" t="s">
        <v>75</v>
      </c>
      <c r="I7" s="10">
        <v>768</v>
      </c>
      <c r="J7" s="10"/>
      <c r="K7" s="10" t="s">
        <v>75</v>
      </c>
      <c r="L7" s="10">
        <v>565</v>
      </c>
      <c r="M7" s="10">
        <v>203</v>
      </c>
      <c r="N7" s="10"/>
      <c r="O7" s="10">
        <v>625</v>
      </c>
      <c r="P7" s="10">
        <v>133</v>
      </c>
      <c r="Q7" s="10"/>
      <c r="R7" s="10">
        <v>116</v>
      </c>
      <c r="S7" s="10">
        <v>131</v>
      </c>
      <c r="T7" s="10">
        <v>70</v>
      </c>
      <c r="U7" s="10">
        <v>73</v>
      </c>
      <c r="V7" s="10">
        <v>64</v>
      </c>
      <c r="W7" s="10">
        <v>98</v>
      </c>
      <c r="X7" s="10">
        <v>46</v>
      </c>
      <c r="Y7" s="10">
        <v>41</v>
      </c>
      <c r="Z7" s="10">
        <v>129</v>
      </c>
      <c r="AA7" s="10"/>
      <c r="AB7" s="10">
        <v>97</v>
      </c>
      <c r="AC7" s="10">
        <v>98</v>
      </c>
      <c r="AD7" s="10">
        <v>101</v>
      </c>
      <c r="AE7" s="10">
        <v>84</v>
      </c>
      <c r="AF7" s="10"/>
      <c r="AG7" s="10">
        <v>70</v>
      </c>
      <c r="AH7" s="10">
        <v>32</v>
      </c>
      <c r="AI7" s="10"/>
      <c r="AJ7" s="10">
        <v>102</v>
      </c>
      <c r="AK7" s="10">
        <v>91</v>
      </c>
      <c r="AL7" s="10"/>
      <c r="AM7" s="10">
        <v>437</v>
      </c>
      <c r="AN7" s="10">
        <v>163</v>
      </c>
    </row>
    <row r="8" spans="2:40" ht="30" customHeight="1" x14ac:dyDescent="0.35">
      <c r="B8" s="11" t="s">
        <v>20</v>
      </c>
      <c r="C8" s="11">
        <v>722</v>
      </c>
      <c r="D8" s="11">
        <v>355</v>
      </c>
      <c r="E8" s="11">
        <v>364</v>
      </c>
      <c r="F8" s="11"/>
      <c r="G8" s="11" t="s">
        <v>75</v>
      </c>
      <c r="H8" s="11" t="s">
        <v>75</v>
      </c>
      <c r="I8" s="11">
        <v>722</v>
      </c>
      <c r="J8" s="11"/>
      <c r="K8" s="11" t="s">
        <v>75</v>
      </c>
      <c r="L8" s="11">
        <v>452</v>
      </c>
      <c r="M8" s="11">
        <v>270</v>
      </c>
      <c r="N8" s="11"/>
      <c r="O8" s="11">
        <v>584</v>
      </c>
      <c r="P8" s="11">
        <v>131</v>
      </c>
      <c r="Q8" s="11"/>
      <c r="R8" s="11">
        <v>120</v>
      </c>
      <c r="S8" s="11">
        <v>116</v>
      </c>
      <c r="T8" s="11">
        <v>75</v>
      </c>
      <c r="U8" s="11">
        <v>77</v>
      </c>
      <c r="V8" s="11">
        <v>57</v>
      </c>
      <c r="W8" s="11">
        <v>71</v>
      </c>
      <c r="X8" s="11">
        <v>68</v>
      </c>
      <c r="Y8" s="11">
        <v>38</v>
      </c>
      <c r="Z8" s="11">
        <v>100</v>
      </c>
      <c r="AA8" s="11"/>
      <c r="AB8" s="11">
        <v>74</v>
      </c>
      <c r="AC8" s="11">
        <v>77</v>
      </c>
      <c r="AD8" s="11">
        <v>139</v>
      </c>
      <c r="AE8" s="11">
        <v>110</v>
      </c>
      <c r="AF8" s="11"/>
      <c r="AG8" s="11">
        <v>85</v>
      </c>
      <c r="AH8" s="11">
        <v>42</v>
      </c>
      <c r="AI8" s="11"/>
      <c r="AJ8" s="11">
        <v>127</v>
      </c>
      <c r="AK8" s="11">
        <v>130</v>
      </c>
      <c r="AL8" s="11"/>
      <c r="AM8" s="11">
        <v>397</v>
      </c>
      <c r="AN8" s="11">
        <v>164</v>
      </c>
    </row>
    <row r="9" spans="2:40" x14ac:dyDescent="0.35">
      <c r="B9" s="15" t="s">
        <v>166</v>
      </c>
      <c r="C9" s="14">
        <v>0.164129281467641</v>
      </c>
      <c r="D9" s="14">
        <v>0.166668330447654</v>
      </c>
      <c r="E9" s="14">
        <v>0.16315037524145601</v>
      </c>
      <c r="F9" s="14"/>
      <c r="G9" s="14" t="s">
        <v>76</v>
      </c>
      <c r="H9" s="14" t="s">
        <v>76</v>
      </c>
      <c r="I9" s="14">
        <v>0.164129281467641</v>
      </c>
      <c r="J9" s="14"/>
      <c r="K9" s="14" t="s">
        <v>76</v>
      </c>
      <c r="L9" s="14">
        <v>0.18486963093666001</v>
      </c>
      <c r="M9" s="14">
        <v>0.12931703987027601</v>
      </c>
      <c r="N9" s="14"/>
      <c r="O9" s="14">
        <v>0.136838357820318</v>
      </c>
      <c r="P9" s="14">
        <v>0.28935318680845101</v>
      </c>
      <c r="Q9" s="14"/>
      <c r="R9" s="14">
        <v>0.26482866905166202</v>
      </c>
      <c r="S9" s="14">
        <v>0.107566897255942</v>
      </c>
      <c r="T9" s="14">
        <v>0.17015420926931901</v>
      </c>
      <c r="U9" s="14">
        <v>0.15079924828486199</v>
      </c>
      <c r="V9" s="14">
        <v>9.5907712449201904E-2</v>
      </c>
      <c r="W9" s="14">
        <v>0.11945830362832199</v>
      </c>
      <c r="X9" s="14">
        <v>0.163329352394256</v>
      </c>
      <c r="Y9" s="14">
        <v>0.18559226063169401</v>
      </c>
      <c r="Z9" s="14">
        <v>0.178507457645314</v>
      </c>
      <c r="AA9" s="14"/>
      <c r="AB9" s="14">
        <v>0.191256299951482</v>
      </c>
      <c r="AC9" s="14">
        <v>0.15372367575234799</v>
      </c>
      <c r="AD9" s="14">
        <v>0.113433113294569</v>
      </c>
      <c r="AE9" s="14">
        <v>0.10931905593663099</v>
      </c>
      <c r="AF9" s="14"/>
      <c r="AG9" s="14">
        <v>0.23141322087514801</v>
      </c>
      <c r="AH9" s="14">
        <v>9.6465535166713801E-2</v>
      </c>
      <c r="AI9" s="14"/>
      <c r="AJ9" s="14">
        <v>0.18648638828189401</v>
      </c>
      <c r="AK9" s="14">
        <v>6.27784329727063E-2</v>
      </c>
      <c r="AL9" s="14"/>
      <c r="AM9" s="14">
        <v>0.25656262266396701</v>
      </c>
      <c r="AN9" s="14">
        <v>4.7438185803386303E-2</v>
      </c>
    </row>
    <row r="10" spans="2:40" x14ac:dyDescent="0.35">
      <c r="B10" s="15" t="s">
        <v>167</v>
      </c>
      <c r="C10" s="14">
        <v>0.42452350779925602</v>
      </c>
      <c r="D10" s="14">
        <v>0.47141911710359402</v>
      </c>
      <c r="E10" s="14">
        <v>0.37567160654308102</v>
      </c>
      <c r="F10" s="14"/>
      <c r="G10" s="14" t="s">
        <v>76</v>
      </c>
      <c r="H10" s="14" t="s">
        <v>76</v>
      </c>
      <c r="I10" s="14">
        <v>0.42452350779925602</v>
      </c>
      <c r="J10" s="14"/>
      <c r="K10" s="14" t="s">
        <v>76</v>
      </c>
      <c r="L10" s="14">
        <v>0.42050166893138602</v>
      </c>
      <c r="M10" s="14">
        <v>0.43127407998913497</v>
      </c>
      <c r="N10" s="14"/>
      <c r="O10" s="14">
        <v>0.40145641837692198</v>
      </c>
      <c r="P10" s="14">
        <v>0.52885832283692502</v>
      </c>
      <c r="Q10" s="14"/>
      <c r="R10" s="14">
        <v>0.492873080960196</v>
      </c>
      <c r="S10" s="14">
        <v>0.395953614218641</v>
      </c>
      <c r="T10" s="14">
        <v>0.38122091319554702</v>
      </c>
      <c r="U10" s="14">
        <v>0.41426020608609698</v>
      </c>
      <c r="V10" s="14">
        <v>0.46678915055824599</v>
      </c>
      <c r="W10" s="14">
        <v>0.40190828546125701</v>
      </c>
      <c r="X10" s="14">
        <v>0.41002310809315901</v>
      </c>
      <c r="Y10" s="14">
        <v>0.34840326744399602</v>
      </c>
      <c r="Z10" s="14">
        <v>0.44684636668405697</v>
      </c>
      <c r="AA10" s="14"/>
      <c r="AB10" s="14">
        <v>0.32736050281557699</v>
      </c>
      <c r="AC10" s="14">
        <v>0.61757192646349002</v>
      </c>
      <c r="AD10" s="14">
        <v>0.35525115285687803</v>
      </c>
      <c r="AE10" s="14">
        <v>0.56472720016997502</v>
      </c>
      <c r="AF10" s="14"/>
      <c r="AG10" s="14">
        <v>0.55723531674812998</v>
      </c>
      <c r="AH10" s="14">
        <v>0.33200027494038098</v>
      </c>
      <c r="AI10" s="14"/>
      <c r="AJ10" s="14">
        <v>0.48224998473365899</v>
      </c>
      <c r="AK10" s="14">
        <v>0.39284064978849498</v>
      </c>
      <c r="AL10" s="14"/>
      <c r="AM10" s="14">
        <v>0.546110405033716</v>
      </c>
      <c r="AN10" s="14">
        <v>0.207022813930022</v>
      </c>
    </row>
    <row r="11" spans="2:40" x14ac:dyDescent="0.35">
      <c r="B11" s="15" t="s">
        <v>168</v>
      </c>
      <c r="C11" s="14">
        <v>0.28336386120506801</v>
      </c>
      <c r="D11" s="14">
        <v>0.24726043209239301</v>
      </c>
      <c r="E11" s="14">
        <v>0.31902624449878297</v>
      </c>
      <c r="F11" s="14"/>
      <c r="G11" s="14" t="s">
        <v>76</v>
      </c>
      <c r="H11" s="14" t="s">
        <v>76</v>
      </c>
      <c r="I11" s="14">
        <v>0.28336386120506801</v>
      </c>
      <c r="J11" s="14"/>
      <c r="K11" s="14" t="s">
        <v>76</v>
      </c>
      <c r="L11" s="14">
        <v>0.27332410616605002</v>
      </c>
      <c r="M11" s="14">
        <v>0.30021537947474503</v>
      </c>
      <c r="N11" s="14"/>
      <c r="O11" s="14">
        <v>0.31310726860724097</v>
      </c>
      <c r="P11" s="14">
        <v>0.150660562063411</v>
      </c>
      <c r="Q11" s="14"/>
      <c r="R11" s="14">
        <v>0.18095005604756501</v>
      </c>
      <c r="S11" s="14">
        <v>0.31582701112244199</v>
      </c>
      <c r="T11" s="14">
        <v>0.32874284840879098</v>
      </c>
      <c r="U11" s="14">
        <v>0.32417534715479002</v>
      </c>
      <c r="V11" s="14">
        <v>0.31696868567613101</v>
      </c>
      <c r="W11" s="14">
        <v>0.26191657164252202</v>
      </c>
      <c r="X11" s="14">
        <v>0.29341481508768902</v>
      </c>
      <c r="Y11" s="14">
        <v>0.36391668435118901</v>
      </c>
      <c r="Z11" s="14">
        <v>0.26161061565643301</v>
      </c>
      <c r="AA11" s="14"/>
      <c r="AB11" s="14">
        <v>0.34379956183171101</v>
      </c>
      <c r="AC11" s="14">
        <v>0.178204139540969</v>
      </c>
      <c r="AD11" s="14">
        <v>0.30837115082036398</v>
      </c>
      <c r="AE11" s="14">
        <v>0.31141631371627998</v>
      </c>
      <c r="AF11" s="14"/>
      <c r="AG11" s="14">
        <v>0.211351462376722</v>
      </c>
      <c r="AH11" s="14">
        <v>0.29660077656714801</v>
      </c>
      <c r="AI11" s="14"/>
      <c r="AJ11" s="14">
        <v>0.239732695053791</v>
      </c>
      <c r="AK11" s="14">
        <v>0.38253693982578901</v>
      </c>
      <c r="AL11" s="14"/>
      <c r="AM11" s="14">
        <v>0.16908478372477201</v>
      </c>
      <c r="AN11" s="14">
        <v>0.39043912740986197</v>
      </c>
    </row>
    <row r="12" spans="2:40" x14ac:dyDescent="0.35">
      <c r="B12" s="15" t="s">
        <v>169</v>
      </c>
      <c r="C12" s="14">
        <v>0.122717666207991</v>
      </c>
      <c r="D12" s="14">
        <v>0.111483142613736</v>
      </c>
      <c r="E12" s="14">
        <v>0.13479329939714799</v>
      </c>
      <c r="F12" s="14"/>
      <c r="G12" s="14" t="s">
        <v>76</v>
      </c>
      <c r="H12" s="14" t="s">
        <v>76</v>
      </c>
      <c r="I12" s="14">
        <v>0.122717666207991</v>
      </c>
      <c r="J12" s="14"/>
      <c r="K12" s="14" t="s">
        <v>76</v>
      </c>
      <c r="L12" s="14">
        <v>0.112901735122547</v>
      </c>
      <c r="M12" s="14">
        <v>0.13919350066584299</v>
      </c>
      <c r="N12" s="14"/>
      <c r="O12" s="14">
        <v>0.14208429595647301</v>
      </c>
      <c r="P12" s="14">
        <v>3.1127928291213101E-2</v>
      </c>
      <c r="Q12" s="14"/>
      <c r="R12" s="14">
        <v>4.53855625394037E-2</v>
      </c>
      <c r="S12" s="14">
        <v>0.18065247740297599</v>
      </c>
      <c r="T12" s="14">
        <v>0.11988202912634301</v>
      </c>
      <c r="U12" s="14">
        <v>0.11076519847425099</v>
      </c>
      <c r="V12" s="14">
        <v>0.120334451316421</v>
      </c>
      <c r="W12" s="14">
        <v>0.216716839267898</v>
      </c>
      <c r="X12" s="14">
        <v>0.116614379707602</v>
      </c>
      <c r="Y12" s="14">
        <v>8.1781521694525697E-2</v>
      </c>
      <c r="Z12" s="14">
        <v>0.113035560014196</v>
      </c>
      <c r="AA12" s="14"/>
      <c r="AB12" s="14">
        <v>0.13758363540123</v>
      </c>
      <c r="AC12" s="14">
        <v>5.0500258243193603E-2</v>
      </c>
      <c r="AD12" s="14">
        <v>0.22294458302818801</v>
      </c>
      <c r="AE12" s="14">
        <v>1.45374301771132E-2</v>
      </c>
      <c r="AF12" s="14"/>
      <c r="AG12" s="14">
        <v>0</v>
      </c>
      <c r="AH12" s="14">
        <v>0.27493341332575699</v>
      </c>
      <c r="AI12" s="14"/>
      <c r="AJ12" s="14">
        <v>9.1530931930656395E-2</v>
      </c>
      <c r="AK12" s="14">
        <v>0.16184397741300899</v>
      </c>
      <c r="AL12" s="14"/>
      <c r="AM12" s="14">
        <v>2.8242188577544999E-2</v>
      </c>
      <c r="AN12" s="14">
        <v>0.35042237133780602</v>
      </c>
    </row>
    <row r="13" spans="2:40" x14ac:dyDescent="0.35">
      <c r="B13" s="15" t="s">
        <v>70</v>
      </c>
      <c r="C13" s="20">
        <v>5.2656833200434997E-3</v>
      </c>
      <c r="D13" s="20">
        <v>3.1689777426226998E-3</v>
      </c>
      <c r="E13" s="20">
        <v>7.3584743195327798E-3</v>
      </c>
      <c r="F13" s="20"/>
      <c r="G13" s="20" t="s">
        <v>76</v>
      </c>
      <c r="H13" s="20" t="s">
        <v>76</v>
      </c>
      <c r="I13" s="20">
        <v>5.2656833200434997E-3</v>
      </c>
      <c r="J13" s="20"/>
      <c r="K13" s="20" t="s">
        <v>76</v>
      </c>
      <c r="L13" s="20">
        <v>8.4028588433557698E-3</v>
      </c>
      <c r="M13" s="20">
        <v>0</v>
      </c>
      <c r="N13" s="20"/>
      <c r="O13" s="20">
        <v>6.5136592390456598E-3</v>
      </c>
      <c r="P13" s="20">
        <v>0</v>
      </c>
      <c r="Q13" s="20"/>
      <c r="R13" s="20">
        <v>1.5962631401172999E-2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1.6618344717294099E-2</v>
      </c>
      <c r="Y13" s="20">
        <v>2.03062658785952E-2</v>
      </c>
      <c r="Z13" s="20">
        <v>0</v>
      </c>
      <c r="AA13" s="20"/>
      <c r="AB13" s="20">
        <v>0</v>
      </c>
      <c r="AC13" s="20">
        <v>0</v>
      </c>
      <c r="AD13" s="20">
        <v>0</v>
      </c>
      <c r="AE13" s="20">
        <v>0</v>
      </c>
      <c r="AF13" s="20"/>
      <c r="AG13" s="20">
        <v>0</v>
      </c>
      <c r="AH13" s="20">
        <v>0</v>
      </c>
      <c r="AI13" s="20"/>
      <c r="AJ13" s="20">
        <v>0</v>
      </c>
      <c r="AK13" s="20">
        <v>0</v>
      </c>
      <c r="AL13" s="20"/>
      <c r="AM13" s="20">
        <v>0</v>
      </c>
      <c r="AN13" s="20">
        <v>4.6775015189237596E-3</v>
      </c>
    </row>
    <row r="14" spans="2:40" x14ac:dyDescent="0.35">
      <c r="B14" s="27" t="s">
        <v>290</v>
      </c>
    </row>
    <row r="15" spans="2:40" x14ac:dyDescent="0.35">
      <c r="B15" t="s">
        <v>72</v>
      </c>
    </row>
    <row r="16" spans="2:40" x14ac:dyDescent="0.35">
      <c r="B16" t="s">
        <v>73</v>
      </c>
    </row>
    <row r="18" spans="2:2" x14ac:dyDescent="0.35">
      <c r="B18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dimension ref="B2:AN18"/>
  <sheetViews>
    <sheetView showGridLines="0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281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768</v>
      </c>
      <c r="D7" s="10">
        <v>396</v>
      </c>
      <c r="E7" s="10">
        <v>369</v>
      </c>
      <c r="F7" s="10"/>
      <c r="G7" s="10" t="s">
        <v>75</v>
      </c>
      <c r="H7" s="10" t="s">
        <v>75</v>
      </c>
      <c r="I7" s="10">
        <v>768</v>
      </c>
      <c r="J7" s="10"/>
      <c r="K7" s="10" t="s">
        <v>75</v>
      </c>
      <c r="L7" s="10">
        <v>565</v>
      </c>
      <c r="M7" s="10">
        <v>203</v>
      </c>
      <c r="N7" s="10"/>
      <c r="O7" s="10">
        <v>625</v>
      </c>
      <c r="P7" s="10">
        <v>133</v>
      </c>
      <c r="Q7" s="10"/>
      <c r="R7" s="10">
        <v>116</v>
      </c>
      <c r="S7" s="10">
        <v>131</v>
      </c>
      <c r="T7" s="10">
        <v>70</v>
      </c>
      <c r="U7" s="10">
        <v>73</v>
      </c>
      <c r="V7" s="10">
        <v>64</v>
      </c>
      <c r="W7" s="10">
        <v>98</v>
      </c>
      <c r="X7" s="10">
        <v>46</v>
      </c>
      <c r="Y7" s="10">
        <v>41</v>
      </c>
      <c r="Z7" s="10">
        <v>129</v>
      </c>
      <c r="AA7" s="10"/>
      <c r="AB7" s="10">
        <v>97</v>
      </c>
      <c r="AC7" s="10">
        <v>98</v>
      </c>
      <c r="AD7" s="10">
        <v>101</v>
      </c>
      <c r="AE7" s="10">
        <v>84</v>
      </c>
      <c r="AF7" s="10"/>
      <c r="AG7" s="10">
        <v>70</v>
      </c>
      <c r="AH7" s="10">
        <v>32</v>
      </c>
      <c r="AI7" s="10"/>
      <c r="AJ7" s="10">
        <v>102</v>
      </c>
      <c r="AK7" s="10">
        <v>91</v>
      </c>
      <c r="AL7" s="10"/>
      <c r="AM7" s="10">
        <v>437</v>
      </c>
      <c r="AN7" s="10">
        <v>163</v>
      </c>
    </row>
    <row r="8" spans="2:40" ht="30" customHeight="1" x14ac:dyDescent="0.35">
      <c r="B8" s="11" t="s">
        <v>20</v>
      </c>
      <c r="C8" s="11">
        <v>722</v>
      </c>
      <c r="D8" s="11">
        <v>355</v>
      </c>
      <c r="E8" s="11">
        <v>364</v>
      </c>
      <c r="F8" s="11"/>
      <c r="G8" s="11" t="s">
        <v>75</v>
      </c>
      <c r="H8" s="11" t="s">
        <v>75</v>
      </c>
      <c r="I8" s="11">
        <v>722</v>
      </c>
      <c r="J8" s="11"/>
      <c r="K8" s="11" t="s">
        <v>75</v>
      </c>
      <c r="L8" s="11">
        <v>452</v>
      </c>
      <c r="M8" s="11">
        <v>270</v>
      </c>
      <c r="N8" s="11"/>
      <c r="O8" s="11">
        <v>584</v>
      </c>
      <c r="P8" s="11">
        <v>131</v>
      </c>
      <c r="Q8" s="11"/>
      <c r="R8" s="11">
        <v>120</v>
      </c>
      <c r="S8" s="11">
        <v>116</v>
      </c>
      <c r="T8" s="11">
        <v>75</v>
      </c>
      <c r="U8" s="11">
        <v>77</v>
      </c>
      <c r="V8" s="11">
        <v>57</v>
      </c>
      <c r="W8" s="11">
        <v>71</v>
      </c>
      <c r="X8" s="11">
        <v>68</v>
      </c>
      <c r="Y8" s="11">
        <v>38</v>
      </c>
      <c r="Z8" s="11">
        <v>100</v>
      </c>
      <c r="AA8" s="11"/>
      <c r="AB8" s="11">
        <v>74</v>
      </c>
      <c r="AC8" s="11">
        <v>77</v>
      </c>
      <c r="AD8" s="11">
        <v>139</v>
      </c>
      <c r="AE8" s="11">
        <v>110</v>
      </c>
      <c r="AF8" s="11"/>
      <c r="AG8" s="11">
        <v>85</v>
      </c>
      <c r="AH8" s="11">
        <v>42</v>
      </c>
      <c r="AI8" s="11"/>
      <c r="AJ8" s="11">
        <v>127</v>
      </c>
      <c r="AK8" s="11">
        <v>130</v>
      </c>
      <c r="AL8" s="11"/>
      <c r="AM8" s="11">
        <v>397</v>
      </c>
      <c r="AN8" s="11">
        <v>164</v>
      </c>
    </row>
    <row r="9" spans="2:40" x14ac:dyDescent="0.35">
      <c r="B9" s="15" t="s">
        <v>242</v>
      </c>
      <c r="C9" s="14">
        <v>0.26705530618898998</v>
      </c>
      <c r="D9" s="14">
        <v>0.288561271870868</v>
      </c>
      <c r="E9" s="14">
        <v>0.24628721906881201</v>
      </c>
      <c r="F9" s="14"/>
      <c r="G9" s="14" t="s">
        <v>76</v>
      </c>
      <c r="H9" s="14" t="s">
        <v>76</v>
      </c>
      <c r="I9" s="14">
        <v>0.26705530618898998</v>
      </c>
      <c r="J9" s="14"/>
      <c r="K9" s="14" t="s">
        <v>76</v>
      </c>
      <c r="L9" s="14">
        <v>0.28853041633115201</v>
      </c>
      <c r="M9" s="14">
        <v>0.231009784211856</v>
      </c>
      <c r="N9" s="14"/>
      <c r="O9" s="14">
        <v>0.22610743271391001</v>
      </c>
      <c r="P9" s="14">
        <v>0.452508501720843</v>
      </c>
      <c r="Q9" s="14"/>
      <c r="R9" s="14">
        <v>0.41803438645820601</v>
      </c>
      <c r="S9" s="14">
        <v>0.21767844323916999</v>
      </c>
      <c r="T9" s="14">
        <v>0.273504099832523</v>
      </c>
      <c r="U9" s="14">
        <v>0.25899045002113003</v>
      </c>
      <c r="V9" s="14">
        <v>0.22585725961835501</v>
      </c>
      <c r="W9" s="14">
        <v>0.14363720734386001</v>
      </c>
      <c r="X9" s="14">
        <v>0.177985868159485</v>
      </c>
      <c r="Y9" s="14">
        <v>0.291367049996898</v>
      </c>
      <c r="Z9" s="14">
        <v>0.30796144686585902</v>
      </c>
      <c r="AA9" s="14"/>
      <c r="AB9" s="14">
        <v>0.30614558604189801</v>
      </c>
      <c r="AC9" s="14">
        <v>0.39784170803868202</v>
      </c>
      <c r="AD9" s="14">
        <v>0.162548247775332</v>
      </c>
      <c r="AE9" s="14">
        <v>0.30246638727026098</v>
      </c>
      <c r="AF9" s="14"/>
      <c r="AG9" s="14">
        <v>0.41902567128669899</v>
      </c>
      <c r="AH9" s="14">
        <v>0.14635622151671701</v>
      </c>
      <c r="AI9" s="14"/>
      <c r="AJ9" s="14">
        <v>0.32824845892621202</v>
      </c>
      <c r="AK9" s="14">
        <v>0.130613726713001</v>
      </c>
      <c r="AL9" s="14"/>
      <c r="AM9" s="14">
        <v>0.395160732261435</v>
      </c>
      <c r="AN9" s="14">
        <v>9.8251551733706505E-2</v>
      </c>
    </row>
    <row r="10" spans="2:40" x14ac:dyDescent="0.35">
      <c r="B10" s="15" t="s">
        <v>243</v>
      </c>
      <c r="C10" s="14">
        <v>0.51713013629801396</v>
      </c>
      <c r="D10" s="14">
        <v>0.52546302028772296</v>
      </c>
      <c r="E10" s="14">
        <v>0.50682996355240495</v>
      </c>
      <c r="F10" s="14"/>
      <c r="G10" s="14" t="s">
        <v>76</v>
      </c>
      <c r="H10" s="14" t="s">
        <v>76</v>
      </c>
      <c r="I10" s="14">
        <v>0.51713013629801396</v>
      </c>
      <c r="J10" s="14"/>
      <c r="K10" s="14" t="s">
        <v>76</v>
      </c>
      <c r="L10" s="14">
        <v>0.51439627330244797</v>
      </c>
      <c r="M10" s="14">
        <v>0.521718867998889</v>
      </c>
      <c r="N10" s="14"/>
      <c r="O10" s="14">
        <v>0.53795396883289603</v>
      </c>
      <c r="P10" s="14">
        <v>0.432833105387392</v>
      </c>
      <c r="Q10" s="14"/>
      <c r="R10" s="14">
        <v>0.467824453989795</v>
      </c>
      <c r="S10" s="14">
        <v>0.51951083946148102</v>
      </c>
      <c r="T10" s="14">
        <v>0.56309055615906101</v>
      </c>
      <c r="U10" s="14">
        <v>0.57672250771262301</v>
      </c>
      <c r="V10" s="14">
        <v>0.53259201780737897</v>
      </c>
      <c r="W10" s="14">
        <v>0.54273129906441597</v>
      </c>
      <c r="X10" s="14">
        <v>0.52547018292584702</v>
      </c>
      <c r="Y10" s="14">
        <v>0.48266350272140401</v>
      </c>
      <c r="Z10" s="14">
        <v>0.47310187394238201</v>
      </c>
      <c r="AA10" s="14"/>
      <c r="AB10" s="14">
        <v>0.432650954071569</v>
      </c>
      <c r="AC10" s="14">
        <v>0.48570733316296499</v>
      </c>
      <c r="AD10" s="14">
        <v>0.55851013475990197</v>
      </c>
      <c r="AE10" s="14">
        <v>0.51902473781995195</v>
      </c>
      <c r="AF10" s="14"/>
      <c r="AG10" s="14">
        <v>0.46733683111063101</v>
      </c>
      <c r="AH10" s="14">
        <v>0.51046809275218696</v>
      </c>
      <c r="AI10" s="14"/>
      <c r="AJ10" s="14">
        <v>0.48169610641893601</v>
      </c>
      <c r="AK10" s="14">
        <v>0.58894885861615598</v>
      </c>
      <c r="AL10" s="14"/>
      <c r="AM10" s="14">
        <v>0.48832418076818301</v>
      </c>
      <c r="AN10" s="14">
        <v>0.47087279140259097</v>
      </c>
    </row>
    <row r="11" spans="2:40" x14ac:dyDescent="0.35">
      <c r="B11" s="15" t="s">
        <v>244</v>
      </c>
      <c r="C11" s="14">
        <v>0.15825044118138601</v>
      </c>
      <c r="D11" s="14">
        <v>0.134636654517689</v>
      </c>
      <c r="E11" s="14">
        <v>0.18272275906938901</v>
      </c>
      <c r="F11" s="14"/>
      <c r="G11" s="14" t="s">
        <v>76</v>
      </c>
      <c r="H11" s="14" t="s">
        <v>76</v>
      </c>
      <c r="I11" s="14">
        <v>0.15825044118138601</v>
      </c>
      <c r="J11" s="14"/>
      <c r="K11" s="14" t="s">
        <v>76</v>
      </c>
      <c r="L11" s="14">
        <v>0.136988600911402</v>
      </c>
      <c r="M11" s="14">
        <v>0.19393799415096699</v>
      </c>
      <c r="N11" s="14"/>
      <c r="O11" s="14">
        <v>0.16905230718118999</v>
      </c>
      <c r="P11" s="14">
        <v>9.5386357150269399E-2</v>
      </c>
      <c r="Q11" s="14"/>
      <c r="R11" s="14">
        <v>9.9505703384067307E-2</v>
      </c>
      <c r="S11" s="14">
        <v>0.175601579017124</v>
      </c>
      <c r="T11" s="14">
        <v>0.12042525492850201</v>
      </c>
      <c r="U11" s="14">
        <v>0.16428704226624599</v>
      </c>
      <c r="V11" s="14">
        <v>0.166520561350114</v>
      </c>
      <c r="W11" s="14">
        <v>0.14393870751853899</v>
      </c>
      <c r="X11" s="14">
        <v>0.237063394445964</v>
      </c>
      <c r="Y11" s="14">
        <v>0.16083223386536999</v>
      </c>
      <c r="Z11" s="14">
        <v>0.18340877474784101</v>
      </c>
      <c r="AA11" s="14"/>
      <c r="AB11" s="14">
        <v>0.20265158228697</v>
      </c>
      <c r="AC11" s="14">
        <v>9.7010133135959797E-2</v>
      </c>
      <c r="AD11" s="14">
        <v>0.22766593900516199</v>
      </c>
      <c r="AE11" s="14">
        <v>0.14208310197578999</v>
      </c>
      <c r="AF11" s="14"/>
      <c r="AG11" s="14">
        <v>0.11363749760267</v>
      </c>
      <c r="AH11" s="14">
        <v>0.31000788421341202</v>
      </c>
      <c r="AI11" s="14"/>
      <c r="AJ11" s="14">
        <v>0.17901319811371699</v>
      </c>
      <c r="AK11" s="14">
        <v>0.194846274128019</v>
      </c>
      <c r="AL11" s="14"/>
      <c r="AM11" s="14">
        <v>8.2106937458656604E-2</v>
      </c>
      <c r="AN11" s="14">
        <v>0.31347063477821202</v>
      </c>
    </row>
    <row r="12" spans="2:40" x14ac:dyDescent="0.35">
      <c r="B12" s="15" t="s">
        <v>245</v>
      </c>
      <c r="C12" s="14">
        <v>2.8492508711706301E-2</v>
      </c>
      <c r="D12" s="14">
        <v>2.5776003887616999E-2</v>
      </c>
      <c r="E12" s="14">
        <v>3.1401623936115099E-2</v>
      </c>
      <c r="F12" s="14"/>
      <c r="G12" s="14" t="s">
        <v>76</v>
      </c>
      <c r="H12" s="14" t="s">
        <v>76</v>
      </c>
      <c r="I12" s="14">
        <v>2.8492508711706301E-2</v>
      </c>
      <c r="J12" s="14"/>
      <c r="K12" s="14" t="s">
        <v>76</v>
      </c>
      <c r="L12" s="14">
        <v>2.4933356881300502E-2</v>
      </c>
      <c r="M12" s="14">
        <v>3.4466470413116797E-2</v>
      </c>
      <c r="N12" s="14"/>
      <c r="O12" s="14">
        <v>3.3962677707771602E-2</v>
      </c>
      <c r="P12" s="14">
        <v>5.7210307182706203E-3</v>
      </c>
      <c r="Q12" s="14"/>
      <c r="R12" s="14">
        <v>0</v>
      </c>
      <c r="S12" s="14">
        <v>5.90188107812082E-2</v>
      </c>
      <c r="T12" s="14">
        <v>2.1200896982936202E-2</v>
      </c>
      <c r="U12" s="14">
        <v>0</v>
      </c>
      <c r="V12" s="14">
        <v>0</v>
      </c>
      <c r="W12" s="14">
        <v>5.77487094936701E-2</v>
      </c>
      <c r="X12" s="14">
        <v>3.9653705217300599E-2</v>
      </c>
      <c r="Y12" s="14">
        <v>6.5137213416328305E-2</v>
      </c>
      <c r="Z12" s="14">
        <v>2.85701732007781E-2</v>
      </c>
      <c r="AA12" s="14"/>
      <c r="AB12" s="14">
        <v>3.9335198364970098E-2</v>
      </c>
      <c r="AC12" s="14">
        <v>9.4341160633313499E-3</v>
      </c>
      <c r="AD12" s="14">
        <v>2.7862260603331E-2</v>
      </c>
      <c r="AE12" s="14">
        <v>3.6425772933997201E-2</v>
      </c>
      <c r="AF12" s="14"/>
      <c r="AG12" s="14">
        <v>0</v>
      </c>
      <c r="AH12" s="14">
        <v>3.3167801517684802E-2</v>
      </c>
      <c r="AI12" s="14"/>
      <c r="AJ12" s="14">
        <v>1.10422365411353E-2</v>
      </c>
      <c r="AK12" s="14">
        <v>6.06123273702339E-2</v>
      </c>
      <c r="AL12" s="14"/>
      <c r="AM12" s="14">
        <v>1.6488276927039899E-2</v>
      </c>
      <c r="AN12" s="14">
        <v>6.8482599904976293E-2</v>
      </c>
    </row>
    <row r="13" spans="2:40" x14ac:dyDescent="0.35">
      <c r="B13" s="15" t="s">
        <v>70</v>
      </c>
      <c r="C13" s="20">
        <v>2.9071607619904499E-2</v>
      </c>
      <c r="D13" s="20">
        <v>2.55630494361022E-2</v>
      </c>
      <c r="E13" s="20">
        <v>3.2758434373278897E-2</v>
      </c>
      <c r="F13" s="20"/>
      <c r="G13" s="20" t="s">
        <v>76</v>
      </c>
      <c r="H13" s="20" t="s">
        <v>76</v>
      </c>
      <c r="I13" s="20">
        <v>2.9071607619904499E-2</v>
      </c>
      <c r="J13" s="20"/>
      <c r="K13" s="20" t="s">
        <v>76</v>
      </c>
      <c r="L13" s="20">
        <v>3.51513525736976E-2</v>
      </c>
      <c r="M13" s="20">
        <v>1.8866883225170598E-2</v>
      </c>
      <c r="N13" s="20"/>
      <c r="O13" s="20">
        <v>3.29236135642322E-2</v>
      </c>
      <c r="P13" s="20">
        <v>1.3551005023225E-2</v>
      </c>
      <c r="Q13" s="20"/>
      <c r="R13" s="20">
        <v>1.46354561679323E-2</v>
      </c>
      <c r="S13" s="20">
        <v>2.8190327501016601E-2</v>
      </c>
      <c r="T13" s="20">
        <v>2.17791920969783E-2</v>
      </c>
      <c r="U13" s="20">
        <v>0</v>
      </c>
      <c r="V13" s="20">
        <v>7.5030161224152001E-2</v>
      </c>
      <c r="W13" s="20">
        <v>0.11194407657951599</v>
      </c>
      <c r="X13" s="20">
        <v>1.9826849251403999E-2</v>
      </c>
      <c r="Y13" s="20">
        <v>0</v>
      </c>
      <c r="Z13" s="20">
        <v>6.9577312431399699E-3</v>
      </c>
      <c r="AA13" s="20"/>
      <c r="AB13" s="20">
        <v>1.92166792345933E-2</v>
      </c>
      <c r="AC13" s="20">
        <v>1.0006709599062E-2</v>
      </c>
      <c r="AD13" s="20">
        <v>2.3413417856272298E-2</v>
      </c>
      <c r="AE13" s="20">
        <v>0</v>
      </c>
      <c r="AF13" s="20"/>
      <c r="AG13" s="20">
        <v>0</v>
      </c>
      <c r="AH13" s="20">
        <v>0</v>
      </c>
      <c r="AI13" s="20"/>
      <c r="AJ13" s="20">
        <v>0</v>
      </c>
      <c r="AK13" s="20">
        <v>2.4978813172590399E-2</v>
      </c>
      <c r="AL13" s="20"/>
      <c r="AM13" s="20">
        <v>1.7919872584686199E-2</v>
      </c>
      <c r="AN13" s="20">
        <v>4.8922422180514097E-2</v>
      </c>
    </row>
    <row r="14" spans="2:40" x14ac:dyDescent="0.35">
      <c r="B14" s="27" t="s">
        <v>290</v>
      </c>
    </row>
    <row r="15" spans="2:40" x14ac:dyDescent="0.35">
      <c r="B15" t="s">
        <v>72</v>
      </c>
    </row>
    <row r="16" spans="2:40" x14ac:dyDescent="0.35">
      <c r="B16" t="s">
        <v>73</v>
      </c>
    </row>
    <row r="18" spans="2:2" x14ac:dyDescent="0.35">
      <c r="B18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dimension ref="B2:AN16"/>
  <sheetViews>
    <sheetView showGridLines="0" workbookViewId="0">
      <pane xSplit="2" topLeftCell="C1" activePane="topRight" state="frozen"/>
      <selection pane="topRight" activeCell="B12" sqref="B12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282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1216</v>
      </c>
      <c r="D7" s="10">
        <v>613</v>
      </c>
      <c r="E7" s="10">
        <v>598</v>
      </c>
      <c r="F7" s="10"/>
      <c r="G7" s="10" t="s">
        <v>75</v>
      </c>
      <c r="H7" s="10" t="s">
        <v>75</v>
      </c>
      <c r="I7" s="10">
        <v>1216</v>
      </c>
      <c r="J7" s="10"/>
      <c r="K7" s="10" t="s">
        <v>75</v>
      </c>
      <c r="L7" s="10">
        <v>924</v>
      </c>
      <c r="M7" s="10">
        <v>292</v>
      </c>
      <c r="N7" s="10"/>
      <c r="O7" s="10">
        <v>1020</v>
      </c>
      <c r="P7" s="10">
        <v>166</v>
      </c>
      <c r="Q7" s="10"/>
      <c r="R7" s="10">
        <v>177</v>
      </c>
      <c r="S7" s="10">
        <v>216</v>
      </c>
      <c r="T7" s="10">
        <v>97</v>
      </c>
      <c r="U7" s="10">
        <v>116</v>
      </c>
      <c r="V7" s="10">
        <v>104</v>
      </c>
      <c r="W7" s="10">
        <v>152</v>
      </c>
      <c r="X7" s="10">
        <v>76</v>
      </c>
      <c r="Y7" s="10">
        <v>70</v>
      </c>
      <c r="Z7" s="10">
        <v>208</v>
      </c>
      <c r="AA7" s="10"/>
      <c r="AB7" s="10">
        <v>152</v>
      </c>
      <c r="AC7" s="10">
        <v>147</v>
      </c>
      <c r="AD7" s="10">
        <v>152</v>
      </c>
      <c r="AE7" s="10">
        <v>106</v>
      </c>
      <c r="AF7" s="10"/>
      <c r="AG7" s="10">
        <v>95</v>
      </c>
      <c r="AH7" s="10">
        <v>46</v>
      </c>
      <c r="AI7" s="10"/>
      <c r="AJ7" s="10">
        <v>141</v>
      </c>
      <c r="AK7" s="10">
        <v>131</v>
      </c>
      <c r="AL7" s="10"/>
      <c r="AM7" s="10">
        <v>626</v>
      </c>
      <c r="AN7" s="10">
        <v>310</v>
      </c>
    </row>
    <row r="8" spans="2:40" ht="30" customHeight="1" x14ac:dyDescent="0.35">
      <c r="B8" s="11" t="s">
        <v>20</v>
      </c>
      <c r="C8" s="11">
        <v>1136</v>
      </c>
      <c r="D8" s="11">
        <v>540</v>
      </c>
      <c r="E8" s="11">
        <v>591</v>
      </c>
      <c r="F8" s="11"/>
      <c r="G8" s="11" t="s">
        <v>75</v>
      </c>
      <c r="H8" s="11" t="s">
        <v>75</v>
      </c>
      <c r="I8" s="11">
        <v>1136</v>
      </c>
      <c r="J8" s="11"/>
      <c r="K8" s="11" t="s">
        <v>75</v>
      </c>
      <c r="L8" s="11">
        <v>745</v>
      </c>
      <c r="M8" s="11">
        <v>391</v>
      </c>
      <c r="N8" s="11"/>
      <c r="O8" s="11">
        <v>946</v>
      </c>
      <c r="P8" s="11">
        <v>161</v>
      </c>
      <c r="Q8" s="11"/>
      <c r="R8" s="11">
        <v>183</v>
      </c>
      <c r="S8" s="11">
        <v>192</v>
      </c>
      <c r="T8" s="11">
        <v>104</v>
      </c>
      <c r="U8" s="11">
        <v>121</v>
      </c>
      <c r="V8" s="11">
        <v>99</v>
      </c>
      <c r="W8" s="11">
        <v>112</v>
      </c>
      <c r="X8" s="11">
        <v>107</v>
      </c>
      <c r="Y8" s="11">
        <v>62</v>
      </c>
      <c r="Z8" s="11">
        <v>157</v>
      </c>
      <c r="AA8" s="11"/>
      <c r="AB8" s="11">
        <v>117</v>
      </c>
      <c r="AC8" s="11">
        <v>117</v>
      </c>
      <c r="AD8" s="11">
        <v>211</v>
      </c>
      <c r="AE8" s="11">
        <v>141</v>
      </c>
      <c r="AF8" s="11"/>
      <c r="AG8" s="11">
        <v>117</v>
      </c>
      <c r="AH8" s="11">
        <v>63</v>
      </c>
      <c r="AI8" s="11"/>
      <c r="AJ8" s="11">
        <v>180</v>
      </c>
      <c r="AK8" s="11">
        <v>185</v>
      </c>
      <c r="AL8" s="11"/>
      <c r="AM8" s="11">
        <v>567</v>
      </c>
      <c r="AN8" s="11">
        <v>311</v>
      </c>
    </row>
    <row r="9" spans="2:40" x14ac:dyDescent="0.35">
      <c r="B9" s="15" t="s">
        <v>44</v>
      </c>
      <c r="C9" s="14">
        <v>0.49307348685729602</v>
      </c>
      <c r="D9" s="14">
        <v>0.51888970759108999</v>
      </c>
      <c r="E9" s="14">
        <v>0.47218403665801201</v>
      </c>
      <c r="F9" s="14"/>
      <c r="G9" s="14" t="s">
        <v>76</v>
      </c>
      <c r="H9" s="14" t="s">
        <v>76</v>
      </c>
      <c r="I9" s="14">
        <v>0.49307348685729602</v>
      </c>
      <c r="J9" s="14"/>
      <c r="K9" s="14" t="s">
        <v>76</v>
      </c>
      <c r="L9" s="14">
        <v>0.45937362273459598</v>
      </c>
      <c r="M9" s="14">
        <v>0.55716171052410102</v>
      </c>
      <c r="N9" s="14"/>
      <c r="O9" s="14">
        <v>0.46995873619645701</v>
      </c>
      <c r="P9" s="14">
        <v>0.65268322711867599</v>
      </c>
      <c r="Q9" s="14"/>
      <c r="R9" s="14">
        <v>0.57665814073109001</v>
      </c>
      <c r="S9" s="14">
        <v>0.49558308286126401</v>
      </c>
      <c r="T9" s="14">
        <v>0.54094254553752497</v>
      </c>
      <c r="U9" s="14">
        <v>0.53088057256809695</v>
      </c>
      <c r="V9" s="14">
        <v>0.42680499439771502</v>
      </c>
      <c r="W9" s="14">
        <v>0.49227414650901702</v>
      </c>
      <c r="X9" s="14">
        <v>0.38711933523702302</v>
      </c>
      <c r="Y9" s="14">
        <v>0.389667840239379</v>
      </c>
      <c r="Z9" s="14">
        <v>0.48731714431157902</v>
      </c>
      <c r="AA9" s="14"/>
      <c r="AB9" s="14">
        <v>0.51189830877235298</v>
      </c>
      <c r="AC9" s="14">
        <v>0.64064877898946104</v>
      </c>
      <c r="AD9" s="14">
        <v>0.55046710797189102</v>
      </c>
      <c r="AE9" s="14">
        <v>0.53783013170187299</v>
      </c>
      <c r="AF9" s="14"/>
      <c r="AG9" s="14">
        <v>0.65675016428038102</v>
      </c>
      <c r="AH9" s="14">
        <v>0.540249418820273</v>
      </c>
      <c r="AI9" s="14"/>
      <c r="AJ9" s="14">
        <v>0.61603316116481999</v>
      </c>
      <c r="AK9" s="14">
        <v>0.49932800517570097</v>
      </c>
      <c r="AL9" s="14"/>
      <c r="AM9" s="14">
        <v>0.58806604792887096</v>
      </c>
      <c r="AN9" s="14">
        <v>0.38939825411238999</v>
      </c>
    </row>
    <row r="10" spans="2:40" x14ac:dyDescent="0.35">
      <c r="B10" s="15" t="s">
        <v>45</v>
      </c>
      <c r="C10" s="14">
        <v>0.45290866100845201</v>
      </c>
      <c r="D10" s="14">
        <v>0.44191043517156198</v>
      </c>
      <c r="E10" s="14">
        <v>0.459791957199785</v>
      </c>
      <c r="F10" s="14"/>
      <c r="G10" s="14" t="s">
        <v>76</v>
      </c>
      <c r="H10" s="14" t="s">
        <v>76</v>
      </c>
      <c r="I10" s="14">
        <v>0.45290866100845201</v>
      </c>
      <c r="J10" s="14"/>
      <c r="K10" s="14" t="s">
        <v>76</v>
      </c>
      <c r="L10" s="14">
        <v>0.487370226500213</v>
      </c>
      <c r="M10" s="14">
        <v>0.38737188290445401</v>
      </c>
      <c r="N10" s="14"/>
      <c r="O10" s="14">
        <v>0.47407576944880397</v>
      </c>
      <c r="P10" s="14">
        <v>0.31348706096784401</v>
      </c>
      <c r="Q10" s="14"/>
      <c r="R10" s="14">
        <v>0.39092551751117899</v>
      </c>
      <c r="S10" s="14">
        <v>0.44654457888974602</v>
      </c>
      <c r="T10" s="14">
        <v>0.43412864931686501</v>
      </c>
      <c r="U10" s="14">
        <v>0.41611055570373601</v>
      </c>
      <c r="V10" s="14">
        <v>0.51069956231215197</v>
      </c>
      <c r="W10" s="14">
        <v>0.45747283799895599</v>
      </c>
      <c r="X10" s="14">
        <v>0.54090248915751105</v>
      </c>
      <c r="Y10" s="14">
        <v>0.53085529774218698</v>
      </c>
      <c r="Z10" s="14">
        <v>0.44316250941726099</v>
      </c>
      <c r="AA10" s="14"/>
      <c r="AB10" s="14">
        <v>0.43808587845942898</v>
      </c>
      <c r="AC10" s="14">
        <v>0.32485573320296601</v>
      </c>
      <c r="AD10" s="14">
        <v>0.37446722640000102</v>
      </c>
      <c r="AE10" s="14">
        <v>0.42518093272909102</v>
      </c>
      <c r="AF10" s="14"/>
      <c r="AG10" s="14">
        <v>0.31596525041402002</v>
      </c>
      <c r="AH10" s="14">
        <v>0.41710266039608102</v>
      </c>
      <c r="AI10" s="14"/>
      <c r="AJ10" s="14">
        <v>0.35131276875886502</v>
      </c>
      <c r="AK10" s="14">
        <v>0.42709003020816799</v>
      </c>
      <c r="AL10" s="14"/>
      <c r="AM10" s="14">
        <v>0.384931465391812</v>
      </c>
      <c r="AN10" s="14">
        <v>0.54686185686050304</v>
      </c>
    </row>
    <row r="11" spans="2:40" x14ac:dyDescent="0.35">
      <c r="B11" s="15" t="s">
        <v>70</v>
      </c>
      <c r="C11" s="20">
        <v>5.4017852134252399E-2</v>
      </c>
      <c r="D11" s="20">
        <v>3.9199857237348097E-2</v>
      </c>
      <c r="E11" s="20">
        <v>6.8024006142202095E-2</v>
      </c>
      <c r="F11" s="20"/>
      <c r="G11" s="20" t="s">
        <v>76</v>
      </c>
      <c r="H11" s="20" t="s">
        <v>76</v>
      </c>
      <c r="I11" s="20">
        <v>5.4017852134252399E-2</v>
      </c>
      <c r="J11" s="20"/>
      <c r="K11" s="20" t="s">
        <v>76</v>
      </c>
      <c r="L11" s="20">
        <v>5.3256150765191301E-2</v>
      </c>
      <c r="M11" s="20">
        <v>5.5466406571444402E-2</v>
      </c>
      <c r="N11" s="20"/>
      <c r="O11" s="20">
        <v>5.5965494354739298E-2</v>
      </c>
      <c r="P11" s="20">
        <v>3.3829711913480297E-2</v>
      </c>
      <c r="Q11" s="20"/>
      <c r="R11" s="20">
        <v>3.2416341757731303E-2</v>
      </c>
      <c r="S11" s="20">
        <v>5.78723382489892E-2</v>
      </c>
      <c r="T11" s="20">
        <v>2.4928805145609599E-2</v>
      </c>
      <c r="U11" s="20">
        <v>5.3008871728167303E-2</v>
      </c>
      <c r="V11" s="20">
        <v>6.2495443290133602E-2</v>
      </c>
      <c r="W11" s="20">
        <v>5.0253015492026903E-2</v>
      </c>
      <c r="X11" s="20">
        <v>7.1978175605466599E-2</v>
      </c>
      <c r="Y11" s="20">
        <v>7.9476862018434E-2</v>
      </c>
      <c r="Z11" s="20">
        <v>6.95203462711598E-2</v>
      </c>
      <c r="AA11" s="20"/>
      <c r="AB11" s="20">
        <v>5.0015812768217698E-2</v>
      </c>
      <c r="AC11" s="20">
        <v>3.4495487807572799E-2</v>
      </c>
      <c r="AD11" s="20">
        <v>7.5065665628108499E-2</v>
      </c>
      <c r="AE11" s="20">
        <v>3.6988935569035798E-2</v>
      </c>
      <c r="AF11" s="20"/>
      <c r="AG11" s="20">
        <v>2.7284585305599601E-2</v>
      </c>
      <c r="AH11" s="20">
        <v>4.2647920783646001E-2</v>
      </c>
      <c r="AI11" s="20"/>
      <c r="AJ11" s="20">
        <v>3.2654070076314802E-2</v>
      </c>
      <c r="AK11" s="20">
        <v>7.3581964616130605E-2</v>
      </c>
      <c r="AL11" s="20"/>
      <c r="AM11" s="20">
        <v>2.70024866793168E-2</v>
      </c>
      <c r="AN11" s="20">
        <v>6.3739889027107505E-2</v>
      </c>
    </row>
    <row r="12" spans="2:40" x14ac:dyDescent="0.35">
      <c r="B12" s="27" t="s">
        <v>390</v>
      </c>
    </row>
    <row r="13" spans="2:40" x14ac:dyDescent="0.35">
      <c r="B13" t="s">
        <v>72</v>
      </c>
    </row>
    <row r="14" spans="2:40" x14ac:dyDescent="0.35">
      <c r="B14" t="s">
        <v>73</v>
      </c>
    </row>
    <row r="16" spans="2:40" x14ac:dyDescent="0.35">
      <c r="B16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dimension ref="B2:AN18"/>
  <sheetViews>
    <sheetView showGridLines="0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283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596</v>
      </c>
      <c r="D7" s="10">
        <v>313</v>
      </c>
      <c r="E7" s="10">
        <v>282</v>
      </c>
      <c r="F7" s="10"/>
      <c r="G7" s="10" t="s">
        <v>75</v>
      </c>
      <c r="H7" s="10" t="s">
        <v>75</v>
      </c>
      <c r="I7" s="10">
        <v>596</v>
      </c>
      <c r="J7" s="10"/>
      <c r="K7" s="10" t="s">
        <v>75</v>
      </c>
      <c r="L7" s="10">
        <v>431</v>
      </c>
      <c r="M7" s="10">
        <v>165</v>
      </c>
      <c r="N7" s="10"/>
      <c r="O7" s="10">
        <v>477</v>
      </c>
      <c r="P7" s="10">
        <v>107</v>
      </c>
      <c r="Q7" s="10"/>
      <c r="R7" s="10">
        <v>101</v>
      </c>
      <c r="S7" s="10">
        <v>105</v>
      </c>
      <c r="T7" s="10">
        <v>50</v>
      </c>
      <c r="U7" s="10">
        <v>60</v>
      </c>
      <c r="V7" s="10">
        <v>46</v>
      </c>
      <c r="W7" s="10">
        <v>74</v>
      </c>
      <c r="X7" s="10">
        <v>30</v>
      </c>
      <c r="Y7" s="10">
        <v>29</v>
      </c>
      <c r="Z7" s="10">
        <v>101</v>
      </c>
      <c r="AA7" s="10"/>
      <c r="AB7" s="10">
        <v>77</v>
      </c>
      <c r="AC7" s="10">
        <v>97</v>
      </c>
      <c r="AD7" s="10">
        <v>85</v>
      </c>
      <c r="AE7" s="10">
        <v>58</v>
      </c>
      <c r="AF7" s="10"/>
      <c r="AG7" s="10">
        <v>60</v>
      </c>
      <c r="AH7" s="10">
        <v>26</v>
      </c>
      <c r="AI7" s="10"/>
      <c r="AJ7" s="10">
        <v>86</v>
      </c>
      <c r="AK7" s="10">
        <v>67</v>
      </c>
      <c r="AL7" s="10"/>
      <c r="AM7" s="10">
        <v>367</v>
      </c>
      <c r="AN7" s="10">
        <v>113</v>
      </c>
    </row>
    <row r="8" spans="2:40" ht="30" customHeight="1" x14ac:dyDescent="0.35">
      <c r="B8" s="11" t="s">
        <v>20</v>
      </c>
      <c r="C8" s="11">
        <v>560</v>
      </c>
      <c r="D8" s="11">
        <v>280</v>
      </c>
      <c r="E8" s="11">
        <v>279</v>
      </c>
      <c r="F8" s="11"/>
      <c r="G8" s="11" t="s">
        <v>75</v>
      </c>
      <c r="H8" s="11" t="s">
        <v>75</v>
      </c>
      <c r="I8" s="11">
        <v>560</v>
      </c>
      <c r="J8" s="11"/>
      <c r="K8" s="11" t="s">
        <v>75</v>
      </c>
      <c r="L8" s="11">
        <v>342</v>
      </c>
      <c r="M8" s="11">
        <v>218</v>
      </c>
      <c r="N8" s="11"/>
      <c r="O8" s="11">
        <v>445</v>
      </c>
      <c r="P8" s="11">
        <v>105</v>
      </c>
      <c r="Q8" s="11"/>
      <c r="R8" s="11">
        <v>105</v>
      </c>
      <c r="S8" s="11">
        <v>95</v>
      </c>
      <c r="T8" s="11">
        <v>56</v>
      </c>
      <c r="U8" s="11">
        <v>64</v>
      </c>
      <c r="V8" s="11">
        <v>42</v>
      </c>
      <c r="W8" s="11">
        <v>55</v>
      </c>
      <c r="X8" s="11">
        <v>41</v>
      </c>
      <c r="Y8" s="11">
        <v>24</v>
      </c>
      <c r="Z8" s="11">
        <v>76</v>
      </c>
      <c r="AA8" s="11"/>
      <c r="AB8" s="11">
        <v>60</v>
      </c>
      <c r="AC8" s="11">
        <v>75</v>
      </c>
      <c r="AD8" s="11">
        <v>116</v>
      </c>
      <c r="AE8" s="11">
        <v>76</v>
      </c>
      <c r="AF8" s="11"/>
      <c r="AG8" s="11">
        <v>77</v>
      </c>
      <c r="AH8" s="11">
        <v>34</v>
      </c>
      <c r="AI8" s="11"/>
      <c r="AJ8" s="11">
        <v>111</v>
      </c>
      <c r="AK8" s="11">
        <v>92</v>
      </c>
      <c r="AL8" s="11"/>
      <c r="AM8" s="11">
        <v>333</v>
      </c>
      <c r="AN8" s="11">
        <v>121</v>
      </c>
    </row>
    <row r="9" spans="2:40" x14ac:dyDescent="0.35">
      <c r="B9" s="15" t="s">
        <v>155</v>
      </c>
      <c r="C9" s="14">
        <v>0.14530713575424101</v>
      </c>
      <c r="D9" s="14">
        <v>0.158998714741512</v>
      </c>
      <c r="E9" s="14">
        <v>0.13196490657764501</v>
      </c>
      <c r="F9" s="14"/>
      <c r="G9" s="14" t="s">
        <v>76</v>
      </c>
      <c r="H9" s="14" t="s">
        <v>76</v>
      </c>
      <c r="I9" s="14">
        <v>0.14530713575424101</v>
      </c>
      <c r="J9" s="14"/>
      <c r="K9" s="14" t="s">
        <v>76</v>
      </c>
      <c r="L9" s="14">
        <v>0.15081600816395799</v>
      </c>
      <c r="M9" s="14">
        <v>0.13666944622593599</v>
      </c>
      <c r="N9" s="14"/>
      <c r="O9" s="14">
        <v>0.124662846332076</v>
      </c>
      <c r="P9" s="14">
        <v>0.24673061030146701</v>
      </c>
      <c r="Q9" s="14"/>
      <c r="R9" s="14">
        <v>0.26929186932640398</v>
      </c>
      <c r="S9" s="14">
        <v>0.13084630460107999</v>
      </c>
      <c r="T9" s="14">
        <v>0.14500568731878999</v>
      </c>
      <c r="U9" s="14">
        <v>0.104081804729257</v>
      </c>
      <c r="V9" s="14">
        <v>9.8598499267545506E-2</v>
      </c>
      <c r="W9" s="14">
        <v>9.3250200274068801E-2</v>
      </c>
      <c r="X9" s="14">
        <v>0.11568061230299299</v>
      </c>
      <c r="Y9" s="14">
        <v>6.3709747602647998E-2</v>
      </c>
      <c r="Z9" s="14">
        <v>0.13233940792968499</v>
      </c>
      <c r="AA9" s="14"/>
      <c r="AB9" s="14">
        <v>0.18039556653289399</v>
      </c>
      <c r="AC9" s="14">
        <v>0.15468003880727699</v>
      </c>
      <c r="AD9" s="14">
        <v>7.4299218598151195E-2</v>
      </c>
      <c r="AE9" s="14">
        <v>0.18989374826384001</v>
      </c>
      <c r="AF9" s="14"/>
      <c r="AG9" s="14">
        <v>0.22073997948384899</v>
      </c>
      <c r="AH9" s="14">
        <v>0.147878089996239</v>
      </c>
      <c r="AI9" s="14"/>
      <c r="AJ9" s="14">
        <v>0.19840745865545201</v>
      </c>
      <c r="AK9" s="14">
        <v>5.9311794002198798E-2</v>
      </c>
      <c r="AL9" s="14"/>
      <c r="AM9" s="14">
        <v>0.20614537453190401</v>
      </c>
      <c r="AN9" s="14">
        <v>5.8189157660520303E-2</v>
      </c>
    </row>
    <row r="10" spans="2:40" x14ac:dyDescent="0.35">
      <c r="B10" s="15" t="s">
        <v>156</v>
      </c>
      <c r="C10" s="14">
        <v>0.47215083309394901</v>
      </c>
      <c r="D10" s="14">
        <v>0.46214442720520899</v>
      </c>
      <c r="E10" s="14">
        <v>0.48067483593619698</v>
      </c>
      <c r="F10" s="14"/>
      <c r="G10" s="14" t="s">
        <v>76</v>
      </c>
      <c r="H10" s="14" t="s">
        <v>76</v>
      </c>
      <c r="I10" s="14">
        <v>0.47215083309394901</v>
      </c>
      <c r="J10" s="14"/>
      <c r="K10" s="14" t="s">
        <v>76</v>
      </c>
      <c r="L10" s="14">
        <v>0.46810391383378203</v>
      </c>
      <c r="M10" s="14">
        <v>0.47849623910730599</v>
      </c>
      <c r="N10" s="14"/>
      <c r="O10" s="14">
        <v>0.47125624871952199</v>
      </c>
      <c r="P10" s="14">
        <v>0.45466684755261899</v>
      </c>
      <c r="Q10" s="14"/>
      <c r="R10" s="14">
        <v>0.48133888646633199</v>
      </c>
      <c r="S10" s="14">
        <v>0.45942757013111502</v>
      </c>
      <c r="T10" s="14">
        <v>0.41833506214890798</v>
      </c>
      <c r="U10" s="14">
        <v>0.52293621376593302</v>
      </c>
      <c r="V10" s="14">
        <v>0.31074711008075401</v>
      </c>
      <c r="W10" s="14">
        <v>0.45770090540837799</v>
      </c>
      <c r="X10" s="14">
        <v>0.512269782655288</v>
      </c>
      <c r="Y10" s="14">
        <v>0.47000927845443802</v>
      </c>
      <c r="Z10" s="14">
        <v>0.55067371284742095</v>
      </c>
      <c r="AA10" s="14"/>
      <c r="AB10" s="14">
        <v>0.442122020949891</v>
      </c>
      <c r="AC10" s="14">
        <v>0.48830432189727402</v>
      </c>
      <c r="AD10" s="14">
        <v>0.60848194485064</v>
      </c>
      <c r="AE10" s="14">
        <v>0.34482887738736101</v>
      </c>
      <c r="AF10" s="14"/>
      <c r="AG10" s="14">
        <v>0.46580528266827198</v>
      </c>
      <c r="AH10" s="14">
        <v>0.47330642104568899</v>
      </c>
      <c r="AI10" s="14"/>
      <c r="AJ10" s="14">
        <v>0.468104417788544</v>
      </c>
      <c r="AK10" s="14">
        <v>0.51679354079573603</v>
      </c>
      <c r="AL10" s="14"/>
      <c r="AM10" s="14">
        <v>0.49769664284808202</v>
      </c>
      <c r="AN10" s="14">
        <v>0.40676848365102097</v>
      </c>
    </row>
    <row r="11" spans="2:40" x14ac:dyDescent="0.35">
      <c r="B11" s="15" t="s">
        <v>157</v>
      </c>
      <c r="C11" s="14">
        <v>0.23650548966111401</v>
      </c>
      <c r="D11" s="14">
        <v>0.226561460063534</v>
      </c>
      <c r="E11" s="14">
        <v>0.24719118850418201</v>
      </c>
      <c r="F11" s="14"/>
      <c r="G11" s="14" t="s">
        <v>76</v>
      </c>
      <c r="H11" s="14" t="s">
        <v>76</v>
      </c>
      <c r="I11" s="14">
        <v>0.23650548966111401</v>
      </c>
      <c r="J11" s="14"/>
      <c r="K11" s="14" t="s">
        <v>76</v>
      </c>
      <c r="L11" s="14">
        <v>0.24315844409314299</v>
      </c>
      <c r="M11" s="14">
        <v>0.22607392571193599</v>
      </c>
      <c r="N11" s="14"/>
      <c r="O11" s="14">
        <v>0.23702900950636299</v>
      </c>
      <c r="P11" s="14">
        <v>0.235117913650913</v>
      </c>
      <c r="Q11" s="14"/>
      <c r="R11" s="14">
        <v>0.187654422356341</v>
      </c>
      <c r="S11" s="14">
        <v>0.27229058124302202</v>
      </c>
      <c r="T11" s="14">
        <v>0.243731708232761</v>
      </c>
      <c r="U11" s="14">
        <v>0.133694166650622</v>
      </c>
      <c r="V11" s="14">
        <v>0.38816728364678599</v>
      </c>
      <c r="W11" s="14">
        <v>0.29489552885070802</v>
      </c>
      <c r="X11" s="14">
        <v>0.19498084033277099</v>
      </c>
      <c r="Y11" s="14">
        <v>0.26785513393569699</v>
      </c>
      <c r="Z11" s="14">
        <v>0.22686731317834799</v>
      </c>
      <c r="AA11" s="14"/>
      <c r="AB11" s="14">
        <v>0.20879726402117099</v>
      </c>
      <c r="AC11" s="14">
        <v>0.27250446024657998</v>
      </c>
      <c r="AD11" s="14">
        <v>0.164049610259968</v>
      </c>
      <c r="AE11" s="14">
        <v>0.28949886453467899</v>
      </c>
      <c r="AF11" s="14"/>
      <c r="AG11" s="14">
        <v>0.15988205255527099</v>
      </c>
      <c r="AH11" s="14">
        <v>0.13251191497280701</v>
      </c>
      <c r="AI11" s="14"/>
      <c r="AJ11" s="14">
        <v>0.15149297327205499</v>
      </c>
      <c r="AK11" s="14">
        <v>0.31485872144932098</v>
      </c>
      <c r="AL11" s="14"/>
      <c r="AM11" s="14">
        <v>0.19894362640747501</v>
      </c>
      <c r="AN11" s="14">
        <v>0.303933165762934</v>
      </c>
    </row>
    <row r="12" spans="2:40" x14ac:dyDescent="0.35">
      <c r="B12" s="15" t="s">
        <v>158</v>
      </c>
      <c r="C12" s="14">
        <v>0.14009109374283199</v>
      </c>
      <c r="D12" s="14">
        <v>0.14882853186818301</v>
      </c>
      <c r="E12" s="14">
        <v>0.13171442806692801</v>
      </c>
      <c r="F12" s="14"/>
      <c r="G12" s="14" t="s">
        <v>76</v>
      </c>
      <c r="H12" s="14" t="s">
        <v>76</v>
      </c>
      <c r="I12" s="14">
        <v>0.14009109374283199</v>
      </c>
      <c r="J12" s="14"/>
      <c r="K12" s="14" t="s">
        <v>76</v>
      </c>
      <c r="L12" s="14">
        <v>0.13037293927516</v>
      </c>
      <c r="M12" s="14">
        <v>0.15532876759634101</v>
      </c>
      <c r="N12" s="14"/>
      <c r="O12" s="14">
        <v>0.15956221240125101</v>
      </c>
      <c r="P12" s="14">
        <v>6.3484628495000903E-2</v>
      </c>
      <c r="Q12" s="14"/>
      <c r="R12" s="14">
        <v>6.1714821850922599E-2</v>
      </c>
      <c r="S12" s="14">
        <v>0.121750891132583</v>
      </c>
      <c r="T12" s="14">
        <v>0.19292754229954201</v>
      </c>
      <c r="U12" s="14">
        <v>0.22410261057441</v>
      </c>
      <c r="V12" s="14">
        <v>0.20248710700491401</v>
      </c>
      <c r="W12" s="14">
        <v>0.15415336546684499</v>
      </c>
      <c r="X12" s="14">
        <v>0.177068764708948</v>
      </c>
      <c r="Y12" s="14">
        <v>0.162759881656733</v>
      </c>
      <c r="Z12" s="14">
        <v>9.0119566044545907E-2</v>
      </c>
      <c r="AA12" s="14"/>
      <c r="AB12" s="14">
        <v>0.16868514849604399</v>
      </c>
      <c r="AC12" s="14">
        <v>8.4511179048869303E-2</v>
      </c>
      <c r="AD12" s="14">
        <v>0.146734762919316</v>
      </c>
      <c r="AE12" s="14">
        <v>0.17577850981411999</v>
      </c>
      <c r="AF12" s="14"/>
      <c r="AG12" s="14">
        <v>0.15357268529260701</v>
      </c>
      <c r="AH12" s="14">
        <v>0.24630357398526501</v>
      </c>
      <c r="AI12" s="14"/>
      <c r="AJ12" s="14">
        <v>0.181995150283948</v>
      </c>
      <c r="AK12" s="14">
        <v>0.10092817862534301</v>
      </c>
      <c r="AL12" s="14"/>
      <c r="AM12" s="14">
        <v>9.1701517526763199E-2</v>
      </c>
      <c r="AN12" s="14">
        <v>0.22493485959539999</v>
      </c>
    </row>
    <row r="13" spans="2:40" x14ac:dyDescent="0.35">
      <c r="B13" s="15" t="s">
        <v>70</v>
      </c>
      <c r="C13" s="20">
        <v>5.9454477478642102E-3</v>
      </c>
      <c r="D13" s="20">
        <v>3.4668661215629701E-3</v>
      </c>
      <c r="E13" s="20">
        <v>8.4546409150484392E-3</v>
      </c>
      <c r="F13" s="20"/>
      <c r="G13" s="20" t="s">
        <v>76</v>
      </c>
      <c r="H13" s="20" t="s">
        <v>76</v>
      </c>
      <c r="I13" s="20">
        <v>5.9454477478642102E-3</v>
      </c>
      <c r="J13" s="20"/>
      <c r="K13" s="20" t="s">
        <v>76</v>
      </c>
      <c r="L13" s="20">
        <v>7.54869463395684E-3</v>
      </c>
      <c r="M13" s="20">
        <v>3.4316213584813602E-3</v>
      </c>
      <c r="N13" s="20"/>
      <c r="O13" s="20">
        <v>7.4896830407874598E-3</v>
      </c>
      <c r="P13" s="20">
        <v>0</v>
      </c>
      <c r="Q13" s="20"/>
      <c r="R13" s="20">
        <v>0</v>
      </c>
      <c r="S13" s="20">
        <v>1.5684652892200501E-2</v>
      </c>
      <c r="T13" s="20">
        <v>0</v>
      </c>
      <c r="U13" s="20">
        <v>1.51852042797786E-2</v>
      </c>
      <c r="V13" s="20">
        <v>0</v>
      </c>
      <c r="W13" s="20">
        <v>0</v>
      </c>
      <c r="X13" s="20">
        <v>0</v>
      </c>
      <c r="Y13" s="20">
        <v>3.5665958350483903E-2</v>
      </c>
      <c r="Z13" s="20">
        <v>0</v>
      </c>
      <c r="AA13" s="20"/>
      <c r="AB13" s="20">
        <v>0</v>
      </c>
      <c r="AC13" s="20">
        <v>0</v>
      </c>
      <c r="AD13" s="20">
        <v>6.4344633719252203E-3</v>
      </c>
      <c r="AE13" s="20">
        <v>0</v>
      </c>
      <c r="AF13" s="20"/>
      <c r="AG13" s="20">
        <v>0</v>
      </c>
      <c r="AH13" s="20">
        <v>0</v>
      </c>
      <c r="AI13" s="20"/>
      <c r="AJ13" s="20">
        <v>0</v>
      </c>
      <c r="AK13" s="20">
        <v>8.1077651274003692E-3</v>
      </c>
      <c r="AL13" s="20"/>
      <c r="AM13" s="20">
        <v>5.5128386857754199E-3</v>
      </c>
      <c r="AN13" s="20">
        <v>6.1743333301245602E-3</v>
      </c>
    </row>
    <row r="14" spans="2:40" x14ac:dyDescent="0.35">
      <c r="B14" s="27" t="s">
        <v>303</v>
      </c>
    </row>
    <row r="15" spans="2:40" x14ac:dyDescent="0.35">
      <c r="B15" t="s">
        <v>72</v>
      </c>
    </row>
    <row r="16" spans="2:40" x14ac:dyDescent="0.35">
      <c r="B16" t="s">
        <v>73</v>
      </c>
    </row>
    <row r="18" spans="2:2" x14ac:dyDescent="0.35">
      <c r="B18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dimension ref="B2:AN19"/>
  <sheetViews>
    <sheetView showGridLines="0" workbookViewId="0">
      <pane xSplit="2" topLeftCell="C1" activePane="topRight" state="frozen"/>
      <selection pane="topRight" activeCell="B18" sqref="B18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285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596</v>
      </c>
      <c r="D7" s="10">
        <v>313</v>
      </c>
      <c r="E7" s="10">
        <v>282</v>
      </c>
      <c r="F7" s="10"/>
      <c r="G7" s="10" t="s">
        <v>75</v>
      </c>
      <c r="H7" s="10" t="s">
        <v>75</v>
      </c>
      <c r="I7" s="10">
        <v>596</v>
      </c>
      <c r="J7" s="10"/>
      <c r="K7" s="10" t="s">
        <v>75</v>
      </c>
      <c r="L7" s="10">
        <v>431</v>
      </c>
      <c r="M7" s="10">
        <v>165</v>
      </c>
      <c r="N7" s="10"/>
      <c r="O7" s="10">
        <v>477</v>
      </c>
      <c r="P7" s="10">
        <v>107</v>
      </c>
      <c r="Q7" s="10"/>
      <c r="R7" s="10">
        <v>101</v>
      </c>
      <c r="S7" s="10">
        <v>105</v>
      </c>
      <c r="T7" s="10">
        <v>50</v>
      </c>
      <c r="U7" s="10">
        <v>60</v>
      </c>
      <c r="V7" s="10">
        <v>46</v>
      </c>
      <c r="W7" s="10">
        <v>74</v>
      </c>
      <c r="X7" s="10">
        <v>30</v>
      </c>
      <c r="Y7" s="10">
        <v>29</v>
      </c>
      <c r="Z7" s="10">
        <v>101</v>
      </c>
      <c r="AA7" s="10"/>
      <c r="AB7" s="10">
        <v>77</v>
      </c>
      <c r="AC7" s="10">
        <v>97</v>
      </c>
      <c r="AD7" s="10">
        <v>85</v>
      </c>
      <c r="AE7" s="10">
        <v>58</v>
      </c>
      <c r="AF7" s="10"/>
      <c r="AG7" s="10">
        <v>60</v>
      </c>
      <c r="AH7" s="10">
        <v>26</v>
      </c>
      <c r="AI7" s="10"/>
      <c r="AJ7" s="10">
        <v>86</v>
      </c>
      <c r="AK7" s="10">
        <v>67</v>
      </c>
      <c r="AL7" s="10"/>
      <c r="AM7" s="10">
        <v>367</v>
      </c>
      <c r="AN7" s="10">
        <v>113</v>
      </c>
    </row>
    <row r="8" spans="2:40" ht="30" customHeight="1" x14ac:dyDescent="0.35">
      <c r="B8" s="11" t="s">
        <v>20</v>
      </c>
      <c r="C8" s="11">
        <v>560</v>
      </c>
      <c r="D8" s="11">
        <v>280</v>
      </c>
      <c r="E8" s="11">
        <v>279</v>
      </c>
      <c r="F8" s="11"/>
      <c r="G8" s="11" t="s">
        <v>75</v>
      </c>
      <c r="H8" s="11" t="s">
        <v>75</v>
      </c>
      <c r="I8" s="11">
        <v>560</v>
      </c>
      <c r="J8" s="11"/>
      <c r="K8" s="11" t="s">
        <v>75</v>
      </c>
      <c r="L8" s="11">
        <v>342</v>
      </c>
      <c r="M8" s="11">
        <v>218</v>
      </c>
      <c r="N8" s="11"/>
      <c r="O8" s="11">
        <v>445</v>
      </c>
      <c r="P8" s="11">
        <v>105</v>
      </c>
      <c r="Q8" s="11"/>
      <c r="R8" s="11">
        <v>105</v>
      </c>
      <c r="S8" s="11">
        <v>95</v>
      </c>
      <c r="T8" s="11">
        <v>56</v>
      </c>
      <c r="U8" s="11">
        <v>64</v>
      </c>
      <c r="V8" s="11">
        <v>42</v>
      </c>
      <c r="W8" s="11">
        <v>55</v>
      </c>
      <c r="X8" s="11">
        <v>41</v>
      </c>
      <c r="Y8" s="11">
        <v>24</v>
      </c>
      <c r="Z8" s="11">
        <v>76</v>
      </c>
      <c r="AA8" s="11"/>
      <c r="AB8" s="11">
        <v>60</v>
      </c>
      <c r="AC8" s="11">
        <v>75</v>
      </c>
      <c r="AD8" s="11">
        <v>116</v>
      </c>
      <c r="AE8" s="11">
        <v>76</v>
      </c>
      <c r="AF8" s="11"/>
      <c r="AG8" s="11">
        <v>77</v>
      </c>
      <c r="AH8" s="11">
        <v>34</v>
      </c>
      <c r="AI8" s="11"/>
      <c r="AJ8" s="11">
        <v>111</v>
      </c>
      <c r="AK8" s="11">
        <v>92</v>
      </c>
      <c r="AL8" s="11"/>
      <c r="AM8" s="11">
        <v>333</v>
      </c>
      <c r="AN8" s="11">
        <v>121</v>
      </c>
    </row>
    <row r="9" spans="2:40" x14ac:dyDescent="0.35">
      <c r="B9" s="15" t="s">
        <v>160</v>
      </c>
      <c r="C9" s="14">
        <v>0.19693284602689901</v>
      </c>
      <c r="D9" s="14">
        <v>0.240118251609656</v>
      </c>
      <c r="E9" s="14">
        <v>0.154088657241155</v>
      </c>
      <c r="F9" s="14"/>
      <c r="G9" s="14" t="s">
        <v>76</v>
      </c>
      <c r="H9" s="14" t="s">
        <v>76</v>
      </c>
      <c r="I9" s="14">
        <v>0.19693284602689901</v>
      </c>
      <c r="J9" s="14"/>
      <c r="K9" s="14" t="s">
        <v>76</v>
      </c>
      <c r="L9" s="14">
        <v>0.20263478121992001</v>
      </c>
      <c r="M9" s="14">
        <v>0.18799244184891301</v>
      </c>
      <c r="N9" s="14"/>
      <c r="O9" s="14">
        <v>0.15099444199438</v>
      </c>
      <c r="P9" s="14">
        <v>0.39477041046282502</v>
      </c>
      <c r="Q9" s="14"/>
      <c r="R9" s="14">
        <v>0.394845601568872</v>
      </c>
      <c r="S9" s="14">
        <v>0.120423401960927</v>
      </c>
      <c r="T9" s="14">
        <v>0.17258771538196399</v>
      </c>
      <c r="U9" s="14">
        <v>7.5593348065763899E-2</v>
      </c>
      <c r="V9" s="14">
        <v>0.19319307170196201</v>
      </c>
      <c r="W9" s="14">
        <v>0.16419761168713401</v>
      </c>
      <c r="X9" s="14">
        <v>0.140598094241914</v>
      </c>
      <c r="Y9" s="14">
        <v>0.26333950005918699</v>
      </c>
      <c r="Z9" s="14">
        <v>0.17377655183575899</v>
      </c>
      <c r="AA9" s="14"/>
      <c r="AB9" s="14">
        <v>0.20005106569730099</v>
      </c>
      <c r="AC9" s="14">
        <v>0.24374868592710699</v>
      </c>
      <c r="AD9" s="14">
        <v>0.11520559224499601</v>
      </c>
      <c r="AE9" s="14">
        <v>0.25660003714772101</v>
      </c>
      <c r="AF9" s="14"/>
      <c r="AG9" s="14">
        <v>0.31745249246695001</v>
      </c>
      <c r="AH9" s="14">
        <v>0.137946884275371</v>
      </c>
      <c r="AI9" s="14"/>
      <c r="AJ9" s="14">
        <v>0.26243315709225801</v>
      </c>
      <c r="AK9" s="14">
        <v>9.0851801224954495E-2</v>
      </c>
      <c r="AL9" s="14"/>
      <c r="AM9" s="14">
        <v>0.30868863079500403</v>
      </c>
      <c r="AN9" s="14">
        <v>1.8817220509634799E-2</v>
      </c>
    </row>
    <row r="10" spans="2:40" x14ac:dyDescent="0.35">
      <c r="B10" s="15" t="s">
        <v>161</v>
      </c>
      <c r="C10" s="14">
        <v>0.46717776430704699</v>
      </c>
      <c r="D10" s="14">
        <v>0.44692142425164599</v>
      </c>
      <c r="E10" s="14">
        <v>0.48599226786397598</v>
      </c>
      <c r="F10" s="14"/>
      <c r="G10" s="14" t="s">
        <v>76</v>
      </c>
      <c r="H10" s="14" t="s">
        <v>76</v>
      </c>
      <c r="I10" s="14">
        <v>0.46717776430704699</v>
      </c>
      <c r="J10" s="14"/>
      <c r="K10" s="14" t="s">
        <v>76</v>
      </c>
      <c r="L10" s="14">
        <v>0.459179088332416</v>
      </c>
      <c r="M10" s="14">
        <v>0.47971936530410503</v>
      </c>
      <c r="N10" s="14"/>
      <c r="O10" s="14">
        <v>0.47200268507382498</v>
      </c>
      <c r="P10" s="14">
        <v>0.44165077766982203</v>
      </c>
      <c r="Q10" s="14"/>
      <c r="R10" s="14">
        <v>0.386891311399437</v>
      </c>
      <c r="S10" s="14">
        <v>0.47508768608572699</v>
      </c>
      <c r="T10" s="14">
        <v>0.42606161241104601</v>
      </c>
      <c r="U10" s="14">
        <v>0.646711482713483</v>
      </c>
      <c r="V10" s="14">
        <v>0.38531389186116199</v>
      </c>
      <c r="W10" s="14">
        <v>0.46077088718471498</v>
      </c>
      <c r="X10" s="14">
        <v>0.39519748681623801</v>
      </c>
      <c r="Y10" s="14">
        <v>0.48271086731997298</v>
      </c>
      <c r="Z10" s="14">
        <v>0.53166467826419495</v>
      </c>
      <c r="AA10" s="14"/>
      <c r="AB10" s="14">
        <v>0.34910186776493202</v>
      </c>
      <c r="AC10" s="14">
        <v>0.54332037151556201</v>
      </c>
      <c r="AD10" s="14">
        <v>0.50632471292645997</v>
      </c>
      <c r="AE10" s="14">
        <v>0.53590343845535404</v>
      </c>
      <c r="AF10" s="14"/>
      <c r="AG10" s="14">
        <v>0.48616219127980598</v>
      </c>
      <c r="AH10" s="14">
        <v>0.325593116559033</v>
      </c>
      <c r="AI10" s="14"/>
      <c r="AJ10" s="14">
        <v>0.43694699481955102</v>
      </c>
      <c r="AK10" s="14">
        <v>0.56225199198387099</v>
      </c>
      <c r="AL10" s="14"/>
      <c r="AM10" s="14">
        <v>0.49884711513604801</v>
      </c>
      <c r="AN10" s="14">
        <v>0.35704859559108798</v>
      </c>
    </row>
    <row r="11" spans="2:40" x14ac:dyDescent="0.35">
      <c r="B11" s="15" t="s">
        <v>162</v>
      </c>
      <c r="C11" s="14">
        <v>0.263956724975488</v>
      </c>
      <c r="D11" s="14">
        <v>0.23594028310020701</v>
      </c>
      <c r="E11" s="14">
        <v>0.29289176745395601</v>
      </c>
      <c r="F11" s="14"/>
      <c r="G11" s="14" t="s">
        <v>76</v>
      </c>
      <c r="H11" s="14" t="s">
        <v>76</v>
      </c>
      <c r="I11" s="14">
        <v>0.263956724975488</v>
      </c>
      <c r="J11" s="14"/>
      <c r="K11" s="14" t="s">
        <v>76</v>
      </c>
      <c r="L11" s="14">
        <v>0.26584062347663001</v>
      </c>
      <c r="M11" s="14">
        <v>0.261002848184476</v>
      </c>
      <c r="N11" s="14"/>
      <c r="O11" s="14">
        <v>0.28770906734985602</v>
      </c>
      <c r="P11" s="14">
        <v>0.15799124816510199</v>
      </c>
      <c r="Q11" s="14"/>
      <c r="R11" s="14">
        <v>0.182362861004915</v>
      </c>
      <c r="S11" s="14">
        <v>0.35722572518776402</v>
      </c>
      <c r="T11" s="14">
        <v>0.24985857579552201</v>
      </c>
      <c r="U11" s="14">
        <v>0.192274736914294</v>
      </c>
      <c r="V11" s="14">
        <v>0.38371342791250301</v>
      </c>
      <c r="W11" s="14">
        <v>0.25831869829481402</v>
      </c>
      <c r="X11" s="14">
        <v>0.31484985305568902</v>
      </c>
      <c r="Y11" s="14">
        <v>0.15666430003221901</v>
      </c>
      <c r="Z11" s="14">
        <v>0.27542453811678103</v>
      </c>
      <c r="AA11" s="14"/>
      <c r="AB11" s="14">
        <v>0.34533319997322998</v>
      </c>
      <c r="AC11" s="14">
        <v>0.152983286183446</v>
      </c>
      <c r="AD11" s="14">
        <v>0.297838361184387</v>
      </c>
      <c r="AE11" s="14">
        <v>0.187950988493821</v>
      </c>
      <c r="AF11" s="14"/>
      <c r="AG11" s="14">
        <v>0.177168077493155</v>
      </c>
      <c r="AH11" s="14">
        <v>0.35900115001518301</v>
      </c>
      <c r="AI11" s="14"/>
      <c r="AJ11" s="14">
        <v>0.232900791919675</v>
      </c>
      <c r="AK11" s="14">
        <v>0.29015634241793298</v>
      </c>
      <c r="AL11" s="14"/>
      <c r="AM11" s="14">
        <v>0.166383070505429</v>
      </c>
      <c r="AN11" s="14">
        <v>0.44364274317605101</v>
      </c>
    </row>
    <row r="12" spans="2:40" x14ac:dyDescent="0.35">
      <c r="B12" s="15" t="s">
        <v>163</v>
      </c>
      <c r="C12" s="14">
        <v>6.4170329676270302E-2</v>
      </c>
      <c r="D12" s="14">
        <v>6.68128737915826E-2</v>
      </c>
      <c r="E12" s="14">
        <v>6.1700342903851901E-2</v>
      </c>
      <c r="F12" s="14"/>
      <c r="G12" s="14" t="s">
        <v>76</v>
      </c>
      <c r="H12" s="14" t="s">
        <v>76</v>
      </c>
      <c r="I12" s="14">
        <v>6.4170329676270302E-2</v>
      </c>
      <c r="J12" s="14"/>
      <c r="K12" s="14" t="s">
        <v>76</v>
      </c>
      <c r="L12" s="14">
        <v>6.5158872075816304E-2</v>
      </c>
      <c r="M12" s="14">
        <v>6.2620335104280694E-2</v>
      </c>
      <c r="N12" s="14"/>
      <c r="O12" s="14">
        <v>7.9515327765131497E-2</v>
      </c>
      <c r="P12" s="14">
        <v>5.5875637022509399E-3</v>
      </c>
      <c r="Q12" s="14"/>
      <c r="R12" s="14">
        <v>3.5900226026776401E-2</v>
      </c>
      <c r="S12" s="14">
        <v>4.7263186765581902E-2</v>
      </c>
      <c r="T12" s="14">
        <v>0.11780677962958901</v>
      </c>
      <c r="U12" s="14">
        <v>7.0235228026680196E-2</v>
      </c>
      <c r="V12" s="14">
        <v>3.7779608524372899E-2</v>
      </c>
      <c r="W12" s="14">
        <v>0.10549383193892201</v>
      </c>
      <c r="X12" s="14">
        <v>0.149354565886159</v>
      </c>
      <c r="Y12" s="14">
        <v>6.1619374238136897E-2</v>
      </c>
      <c r="Z12" s="14">
        <v>1.91342317832645E-2</v>
      </c>
      <c r="AA12" s="14"/>
      <c r="AB12" s="14">
        <v>0.105513866564538</v>
      </c>
      <c r="AC12" s="14">
        <v>5.1649883290213798E-2</v>
      </c>
      <c r="AD12" s="14">
        <v>8.0631333644156603E-2</v>
      </c>
      <c r="AE12" s="14">
        <v>1.95455359031044E-2</v>
      </c>
      <c r="AF12" s="14"/>
      <c r="AG12" s="14">
        <v>1.9217238760089898E-2</v>
      </c>
      <c r="AH12" s="14">
        <v>0.17745884915041299</v>
      </c>
      <c r="AI12" s="14"/>
      <c r="AJ12" s="14">
        <v>6.7719056168516201E-2</v>
      </c>
      <c r="AK12" s="14">
        <v>3.6267366103252097E-2</v>
      </c>
      <c r="AL12" s="14"/>
      <c r="AM12" s="14">
        <v>1.30387285435506E-2</v>
      </c>
      <c r="AN12" s="14">
        <v>0.18049144072322601</v>
      </c>
    </row>
    <row r="13" spans="2:40" x14ac:dyDescent="0.35">
      <c r="B13" s="15" t="s">
        <v>70</v>
      </c>
      <c r="C13" s="21">
        <v>7.7623350142957803E-3</v>
      </c>
      <c r="D13" s="21">
        <v>1.0207167246909E-2</v>
      </c>
      <c r="E13" s="21">
        <v>5.32696453706075E-3</v>
      </c>
      <c r="F13" s="21"/>
      <c r="G13" s="21" t="s">
        <v>76</v>
      </c>
      <c r="H13" s="21" t="s">
        <v>76</v>
      </c>
      <c r="I13" s="21">
        <v>7.7623350142957803E-3</v>
      </c>
      <c r="J13" s="21"/>
      <c r="K13" s="21" t="s">
        <v>76</v>
      </c>
      <c r="L13" s="21">
        <v>7.18663489521746E-3</v>
      </c>
      <c r="M13" s="21">
        <v>8.6650095582251896E-3</v>
      </c>
      <c r="N13" s="21"/>
      <c r="O13" s="21">
        <v>9.7784778168080802E-3</v>
      </c>
      <c r="P13" s="21">
        <v>0</v>
      </c>
      <c r="Q13" s="21"/>
      <c r="R13" s="21">
        <v>0</v>
      </c>
      <c r="S13" s="21">
        <v>0</v>
      </c>
      <c r="T13" s="21">
        <v>3.3685316781878603E-2</v>
      </c>
      <c r="U13" s="21">
        <v>1.51852042797786E-2</v>
      </c>
      <c r="V13" s="21">
        <v>0</v>
      </c>
      <c r="W13" s="21">
        <v>1.12189708944153E-2</v>
      </c>
      <c r="X13" s="21">
        <v>0</v>
      </c>
      <c r="Y13" s="21">
        <v>3.5665958350483903E-2</v>
      </c>
      <c r="Z13" s="21">
        <v>0</v>
      </c>
      <c r="AA13" s="21"/>
      <c r="AB13" s="21">
        <v>0</v>
      </c>
      <c r="AC13" s="21">
        <v>8.2977730836705198E-3</v>
      </c>
      <c r="AD13" s="21">
        <v>0</v>
      </c>
      <c r="AE13" s="21">
        <v>0</v>
      </c>
      <c r="AF13" s="21"/>
      <c r="AG13" s="21">
        <v>0</v>
      </c>
      <c r="AH13" s="21">
        <v>0</v>
      </c>
      <c r="AI13" s="21"/>
      <c r="AJ13" s="21">
        <v>0</v>
      </c>
      <c r="AK13" s="21">
        <v>2.0472498269989599E-2</v>
      </c>
      <c r="AL13" s="21"/>
      <c r="AM13" s="21">
        <v>1.30424550199682E-2</v>
      </c>
      <c r="AN13" s="21">
        <v>0</v>
      </c>
    </row>
    <row r="14" spans="2:40" x14ac:dyDescent="0.35">
      <c r="B14" s="15" t="s">
        <v>164</v>
      </c>
      <c r="C14" s="30">
        <v>0.66411061033394603</v>
      </c>
      <c r="D14" s="30">
        <v>0.68703967586130199</v>
      </c>
      <c r="E14" s="30">
        <v>0.64008092510513204</v>
      </c>
      <c r="F14" s="30"/>
      <c r="G14" s="30" t="s">
        <v>76</v>
      </c>
      <c r="H14" s="30" t="s">
        <v>76</v>
      </c>
      <c r="I14" s="30">
        <v>0.66411061033394603</v>
      </c>
      <c r="J14" s="30"/>
      <c r="K14" s="30" t="s">
        <v>76</v>
      </c>
      <c r="L14" s="30">
        <v>0.66181386955233601</v>
      </c>
      <c r="M14" s="30">
        <v>0.66771180715301703</v>
      </c>
      <c r="N14" s="30"/>
      <c r="O14" s="30">
        <v>0.62299712706820498</v>
      </c>
      <c r="P14" s="30">
        <v>0.83642118813264699</v>
      </c>
      <c r="Q14" s="30"/>
      <c r="R14" s="30">
        <v>0.78173691296830905</v>
      </c>
      <c r="S14" s="30">
        <v>0.59551108804665398</v>
      </c>
      <c r="T14" s="30">
        <v>0.59864932779301006</v>
      </c>
      <c r="U14" s="30">
        <v>0.72230483077924701</v>
      </c>
      <c r="V14" s="30">
        <v>0.57850696356312403</v>
      </c>
      <c r="W14" s="30">
        <v>0.62496849887184902</v>
      </c>
      <c r="X14" s="30">
        <v>0.53579558105815195</v>
      </c>
      <c r="Y14" s="30">
        <v>0.74605036737915997</v>
      </c>
      <c r="Z14" s="30">
        <v>0.70544123009995496</v>
      </c>
      <c r="AA14" s="30"/>
      <c r="AB14" s="30">
        <v>0.54915293346223204</v>
      </c>
      <c r="AC14" s="30">
        <v>0.78706905744266997</v>
      </c>
      <c r="AD14" s="30">
        <v>0.62153030517145602</v>
      </c>
      <c r="AE14" s="30">
        <v>0.79250347560307499</v>
      </c>
      <c r="AF14" s="30"/>
      <c r="AG14" s="30">
        <v>0.80361468374675504</v>
      </c>
      <c r="AH14" s="30">
        <v>0.463540000834404</v>
      </c>
      <c r="AI14" s="30"/>
      <c r="AJ14" s="30">
        <v>0.69938015191180902</v>
      </c>
      <c r="AK14" s="30">
        <v>0.65310379320882495</v>
      </c>
      <c r="AL14" s="30"/>
      <c r="AM14" s="30">
        <v>0.80753574593105204</v>
      </c>
      <c r="AN14" s="30">
        <v>0.375865816100723</v>
      </c>
    </row>
    <row r="15" spans="2:40" x14ac:dyDescent="0.35">
      <c r="B15" s="27" t="s">
        <v>303</v>
      </c>
    </row>
    <row r="16" spans="2:40" x14ac:dyDescent="0.35">
      <c r="B16" t="s">
        <v>72</v>
      </c>
    </row>
    <row r="17" spans="2:2" x14ac:dyDescent="0.35">
      <c r="B17" t="s">
        <v>73</v>
      </c>
    </row>
    <row r="19" spans="2:2" x14ac:dyDescent="0.35">
      <c r="B19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dimension ref="B2:AN18"/>
  <sheetViews>
    <sheetView showGridLines="0" workbookViewId="0">
      <pane xSplit="2" topLeftCell="C1" activePane="topRight" state="frozen"/>
      <selection pane="topRight" activeCell="B17" sqref="B17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286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596</v>
      </c>
      <c r="D7" s="10">
        <v>313</v>
      </c>
      <c r="E7" s="10">
        <v>282</v>
      </c>
      <c r="F7" s="10"/>
      <c r="G7" s="10" t="s">
        <v>75</v>
      </c>
      <c r="H7" s="10" t="s">
        <v>75</v>
      </c>
      <c r="I7" s="10">
        <v>596</v>
      </c>
      <c r="J7" s="10"/>
      <c r="K7" s="10" t="s">
        <v>75</v>
      </c>
      <c r="L7" s="10">
        <v>431</v>
      </c>
      <c r="M7" s="10">
        <v>165</v>
      </c>
      <c r="N7" s="10"/>
      <c r="O7" s="10">
        <v>477</v>
      </c>
      <c r="P7" s="10">
        <v>107</v>
      </c>
      <c r="Q7" s="10"/>
      <c r="R7" s="10">
        <v>101</v>
      </c>
      <c r="S7" s="10">
        <v>105</v>
      </c>
      <c r="T7" s="10">
        <v>50</v>
      </c>
      <c r="U7" s="10">
        <v>60</v>
      </c>
      <c r="V7" s="10">
        <v>46</v>
      </c>
      <c r="W7" s="10">
        <v>74</v>
      </c>
      <c r="X7" s="10">
        <v>30</v>
      </c>
      <c r="Y7" s="10">
        <v>29</v>
      </c>
      <c r="Z7" s="10">
        <v>101</v>
      </c>
      <c r="AA7" s="10"/>
      <c r="AB7" s="10">
        <v>77</v>
      </c>
      <c r="AC7" s="10">
        <v>97</v>
      </c>
      <c r="AD7" s="10">
        <v>85</v>
      </c>
      <c r="AE7" s="10">
        <v>58</v>
      </c>
      <c r="AF7" s="10"/>
      <c r="AG7" s="10">
        <v>60</v>
      </c>
      <c r="AH7" s="10">
        <v>26</v>
      </c>
      <c r="AI7" s="10"/>
      <c r="AJ7" s="10">
        <v>86</v>
      </c>
      <c r="AK7" s="10">
        <v>67</v>
      </c>
      <c r="AL7" s="10"/>
      <c r="AM7" s="10">
        <v>367</v>
      </c>
      <c r="AN7" s="10">
        <v>113</v>
      </c>
    </row>
    <row r="8" spans="2:40" ht="30" customHeight="1" x14ac:dyDescent="0.35">
      <c r="B8" s="11" t="s">
        <v>20</v>
      </c>
      <c r="C8" s="11">
        <v>560</v>
      </c>
      <c r="D8" s="11">
        <v>280</v>
      </c>
      <c r="E8" s="11">
        <v>279</v>
      </c>
      <c r="F8" s="11"/>
      <c r="G8" s="11" t="s">
        <v>75</v>
      </c>
      <c r="H8" s="11" t="s">
        <v>75</v>
      </c>
      <c r="I8" s="11">
        <v>560</v>
      </c>
      <c r="J8" s="11"/>
      <c r="K8" s="11" t="s">
        <v>75</v>
      </c>
      <c r="L8" s="11">
        <v>342</v>
      </c>
      <c r="M8" s="11">
        <v>218</v>
      </c>
      <c r="N8" s="11"/>
      <c r="O8" s="11">
        <v>445</v>
      </c>
      <c r="P8" s="11">
        <v>105</v>
      </c>
      <c r="Q8" s="11"/>
      <c r="R8" s="11">
        <v>105</v>
      </c>
      <c r="S8" s="11">
        <v>95</v>
      </c>
      <c r="T8" s="11">
        <v>56</v>
      </c>
      <c r="U8" s="11">
        <v>64</v>
      </c>
      <c r="V8" s="11">
        <v>42</v>
      </c>
      <c r="W8" s="11">
        <v>55</v>
      </c>
      <c r="X8" s="11">
        <v>41</v>
      </c>
      <c r="Y8" s="11">
        <v>24</v>
      </c>
      <c r="Z8" s="11">
        <v>76</v>
      </c>
      <c r="AA8" s="11"/>
      <c r="AB8" s="11">
        <v>60</v>
      </c>
      <c r="AC8" s="11">
        <v>75</v>
      </c>
      <c r="AD8" s="11">
        <v>116</v>
      </c>
      <c r="AE8" s="11">
        <v>76</v>
      </c>
      <c r="AF8" s="11"/>
      <c r="AG8" s="11">
        <v>77</v>
      </c>
      <c r="AH8" s="11">
        <v>34</v>
      </c>
      <c r="AI8" s="11"/>
      <c r="AJ8" s="11">
        <v>111</v>
      </c>
      <c r="AK8" s="11">
        <v>92</v>
      </c>
      <c r="AL8" s="11"/>
      <c r="AM8" s="11">
        <v>333</v>
      </c>
      <c r="AN8" s="11">
        <v>121</v>
      </c>
    </row>
    <row r="9" spans="2:40" x14ac:dyDescent="0.35">
      <c r="B9" s="15" t="s">
        <v>166</v>
      </c>
      <c r="C9" s="14">
        <v>0.19222685198329101</v>
      </c>
      <c r="D9" s="14">
        <v>0.21440826057176701</v>
      </c>
      <c r="E9" s="14">
        <v>0.17048575005130301</v>
      </c>
      <c r="F9" s="14"/>
      <c r="G9" s="14" t="s">
        <v>76</v>
      </c>
      <c r="H9" s="14" t="s">
        <v>76</v>
      </c>
      <c r="I9" s="14">
        <v>0.19222685198329101</v>
      </c>
      <c r="J9" s="14"/>
      <c r="K9" s="14" t="s">
        <v>76</v>
      </c>
      <c r="L9" s="14">
        <v>0.19824961814387701</v>
      </c>
      <c r="M9" s="14">
        <v>0.18278339780109701</v>
      </c>
      <c r="N9" s="14"/>
      <c r="O9" s="14">
        <v>0.154834397257964</v>
      </c>
      <c r="P9" s="14">
        <v>0.36129124120214601</v>
      </c>
      <c r="Q9" s="14"/>
      <c r="R9" s="14">
        <v>0.352036341871795</v>
      </c>
      <c r="S9" s="14">
        <v>0.15163978263578601</v>
      </c>
      <c r="T9" s="14">
        <v>0.15845367535718</v>
      </c>
      <c r="U9" s="14">
        <v>0.13019131710005899</v>
      </c>
      <c r="V9" s="14">
        <v>0.18959231633380799</v>
      </c>
      <c r="W9" s="14">
        <v>0.127928175494465</v>
      </c>
      <c r="X9" s="14">
        <v>0.14953191131794599</v>
      </c>
      <c r="Y9" s="14">
        <v>0.15666430003221901</v>
      </c>
      <c r="Z9" s="14">
        <v>0.18138435836320599</v>
      </c>
      <c r="AA9" s="14"/>
      <c r="AB9" s="14">
        <v>0.14162722963653701</v>
      </c>
      <c r="AC9" s="14">
        <v>0.26996053234003697</v>
      </c>
      <c r="AD9" s="14">
        <v>0.15223066812179001</v>
      </c>
      <c r="AE9" s="14">
        <v>0.197283813994307</v>
      </c>
      <c r="AF9" s="14"/>
      <c r="AG9" s="14">
        <v>0.29900901039966898</v>
      </c>
      <c r="AH9" s="14">
        <v>0.15714693138410399</v>
      </c>
      <c r="AI9" s="14"/>
      <c r="AJ9" s="14">
        <v>0.25552759842072797</v>
      </c>
      <c r="AK9" s="14">
        <v>8.2951895932876593E-2</v>
      </c>
      <c r="AL9" s="14"/>
      <c r="AM9" s="14">
        <v>0.29139674946516397</v>
      </c>
      <c r="AN9" s="14">
        <v>5.9710287292219097E-2</v>
      </c>
    </row>
    <row r="10" spans="2:40" x14ac:dyDescent="0.35">
      <c r="B10" s="15" t="s">
        <v>167</v>
      </c>
      <c r="C10" s="14">
        <v>0.37473801621250102</v>
      </c>
      <c r="D10" s="14">
        <v>0.39973039509010899</v>
      </c>
      <c r="E10" s="14">
        <v>0.34779181283537097</v>
      </c>
      <c r="F10" s="14"/>
      <c r="G10" s="14" t="s">
        <v>76</v>
      </c>
      <c r="H10" s="14" t="s">
        <v>76</v>
      </c>
      <c r="I10" s="14">
        <v>0.37473801621250102</v>
      </c>
      <c r="J10" s="14"/>
      <c r="K10" s="14" t="s">
        <v>76</v>
      </c>
      <c r="L10" s="14">
        <v>0.38034928571455501</v>
      </c>
      <c r="M10" s="14">
        <v>0.36593977217749801</v>
      </c>
      <c r="N10" s="14"/>
      <c r="O10" s="14">
        <v>0.36693557133344401</v>
      </c>
      <c r="P10" s="14">
        <v>0.39355008743670999</v>
      </c>
      <c r="Q10" s="14"/>
      <c r="R10" s="14">
        <v>0.389376630782511</v>
      </c>
      <c r="S10" s="14">
        <v>0.37491409116326002</v>
      </c>
      <c r="T10" s="14">
        <v>0.325266097151443</v>
      </c>
      <c r="U10" s="14">
        <v>0.42006551252971203</v>
      </c>
      <c r="V10" s="14">
        <v>0.36964093724235803</v>
      </c>
      <c r="W10" s="14">
        <v>0.35501172686397298</v>
      </c>
      <c r="X10" s="14">
        <v>0.24173557635224799</v>
      </c>
      <c r="Y10" s="14">
        <v>0.36273158689000301</v>
      </c>
      <c r="Z10" s="14">
        <v>0.44553741484645798</v>
      </c>
      <c r="AA10" s="14"/>
      <c r="AB10" s="14">
        <v>0.36946409446584599</v>
      </c>
      <c r="AC10" s="14">
        <v>0.42226649989340298</v>
      </c>
      <c r="AD10" s="14">
        <v>0.385901318193344</v>
      </c>
      <c r="AE10" s="14">
        <v>0.40854902982907199</v>
      </c>
      <c r="AF10" s="14"/>
      <c r="AG10" s="14">
        <v>0.43895386289882199</v>
      </c>
      <c r="AH10" s="14">
        <v>0.28199865865305801</v>
      </c>
      <c r="AI10" s="14"/>
      <c r="AJ10" s="14">
        <v>0.39084633518311701</v>
      </c>
      <c r="AK10" s="14">
        <v>0.381036619320263</v>
      </c>
      <c r="AL10" s="14"/>
      <c r="AM10" s="14">
        <v>0.44497080816060502</v>
      </c>
      <c r="AN10" s="14">
        <v>0.22665862678106799</v>
      </c>
    </row>
    <row r="11" spans="2:40" x14ac:dyDescent="0.35">
      <c r="B11" s="15" t="s">
        <v>168</v>
      </c>
      <c r="C11" s="14">
        <v>0.31492585504086701</v>
      </c>
      <c r="D11" s="14">
        <v>0.27423299826495001</v>
      </c>
      <c r="E11" s="14">
        <v>0.35675371013088902</v>
      </c>
      <c r="F11" s="14"/>
      <c r="G11" s="14" t="s">
        <v>76</v>
      </c>
      <c r="H11" s="14" t="s">
        <v>76</v>
      </c>
      <c r="I11" s="14">
        <v>0.31492585504086701</v>
      </c>
      <c r="J11" s="14"/>
      <c r="K11" s="14" t="s">
        <v>76</v>
      </c>
      <c r="L11" s="14">
        <v>0.29002314098834903</v>
      </c>
      <c r="M11" s="14">
        <v>0.35397230527601498</v>
      </c>
      <c r="N11" s="14"/>
      <c r="O11" s="14">
        <v>0.34154525303685002</v>
      </c>
      <c r="P11" s="14">
        <v>0.20263389420376501</v>
      </c>
      <c r="Q11" s="14"/>
      <c r="R11" s="14">
        <v>0.164574383187649</v>
      </c>
      <c r="S11" s="14">
        <v>0.37704292988207699</v>
      </c>
      <c r="T11" s="14">
        <v>0.40418713238269699</v>
      </c>
      <c r="U11" s="14">
        <v>0.28698314630899702</v>
      </c>
      <c r="V11" s="14">
        <v>0.234771062584649</v>
      </c>
      <c r="W11" s="14">
        <v>0.38903936228151897</v>
      </c>
      <c r="X11" s="14">
        <v>0.44077491012867698</v>
      </c>
      <c r="Y11" s="14">
        <v>0.347867403077182</v>
      </c>
      <c r="Z11" s="14">
        <v>0.31491433266921798</v>
      </c>
      <c r="AA11" s="14"/>
      <c r="AB11" s="14">
        <v>0.32122503879848902</v>
      </c>
      <c r="AC11" s="14">
        <v>0.24558502407382901</v>
      </c>
      <c r="AD11" s="14">
        <v>0.39830724518303601</v>
      </c>
      <c r="AE11" s="14">
        <v>0.31107800793886697</v>
      </c>
      <c r="AF11" s="14"/>
      <c r="AG11" s="14">
        <v>0.22626017700189799</v>
      </c>
      <c r="AH11" s="14">
        <v>0.44540694726705399</v>
      </c>
      <c r="AI11" s="14"/>
      <c r="AJ11" s="14">
        <v>0.293429719897911</v>
      </c>
      <c r="AK11" s="14">
        <v>0.441552958965029</v>
      </c>
      <c r="AL11" s="14"/>
      <c r="AM11" s="14">
        <v>0.22683176516655301</v>
      </c>
      <c r="AN11" s="14">
        <v>0.437157916737137</v>
      </c>
    </row>
    <row r="12" spans="2:40" x14ac:dyDescent="0.35">
      <c r="B12" s="15" t="s">
        <v>169</v>
      </c>
      <c r="C12" s="14">
        <v>0.110949873756906</v>
      </c>
      <c r="D12" s="14">
        <v>0.10563060086662</v>
      </c>
      <c r="E12" s="14">
        <v>0.116620593294839</v>
      </c>
      <c r="F12" s="14"/>
      <c r="G12" s="14" t="s">
        <v>76</v>
      </c>
      <c r="H12" s="14" t="s">
        <v>76</v>
      </c>
      <c r="I12" s="14">
        <v>0.110949873756906</v>
      </c>
      <c r="J12" s="14"/>
      <c r="K12" s="14" t="s">
        <v>76</v>
      </c>
      <c r="L12" s="14">
        <v>0.12172752780424299</v>
      </c>
      <c r="M12" s="14">
        <v>9.4050947337742996E-2</v>
      </c>
      <c r="N12" s="14"/>
      <c r="O12" s="14">
        <v>0.12766583454220101</v>
      </c>
      <c r="P12" s="14">
        <v>4.2524777157379498E-2</v>
      </c>
      <c r="Q12" s="14"/>
      <c r="R12" s="14">
        <v>9.4012644158045805E-2</v>
      </c>
      <c r="S12" s="14">
        <v>8.8944838262240797E-2</v>
      </c>
      <c r="T12" s="14">
        <v>0.11209309510868</v>
      </c>
      <c r="U12" s="14">
        <v>0.14757481978145301</v>
      </c>
      <c r="V12" s="14">
        <v>0.186721973852227</v>
      </c>
      <c r="W12" s="14">
        <v>0.12802073536004299</v>
      </c>
      <c r="X12" s="14">
        <v>0.16795760220112901</v>
      </c>
      <c r="Y12" s="14">
        <v>9.7070751650112502E-2</v>
      </c>
      <c r="Z12" s="14">
        <v>4.9643648201926599E-2</v>
      </c>
      <c r="AA12" s="14"/>
      <c r="AB12" s="14">
        <v>0.154170794451192</v>
      </c>
      <c r="AC12" s="14">
        <v>5.3476536670407603E-2</v>
      </c>
      <c r="AD12" s="14">
        <v>5.7460146530387203E-2</v>
      </c>
      <c r="AE12" s="14">
        <v>8.3089148237753194E-2</v>
      </c>
      <c r="AF12" s="14"/>
      <c r="AG12" s="14">
        <v>3.57769496996116E-2</v>
      </c>
      <c r="AH12" s="14">
        <v>0.115447462695783</v>
      </c>
      <c r="AI12" s="14"/>
      <c r="AJ12" s="14">
        <v>6.0196346498244603E-2</v>
      </c>
      <c r="AK12" s="14">
        <v>8.6771418525718E-2</v>
      </c>
      <c r="AL12" s="14"/>
      <c r="AM12" s="14">
        <v>3.12878385219027E-2</v>
      </c>
      <c r="AN12" s="14">
        <v>0.26392343708973398</v>
      </c>
    </row>
    <row r="13" spans="2:40" x14ac:dyDescent="0.35">
      <c r="B13" s="15" t="s">
        <v>70</v>
      </c>
      <c r="C13" s="20">
        <v>7.1594030064345698E-3</v>
      </c>
      <c r="D13" s="20">
        <v>5.9977452065539697E-3</v>
      </c>
      <c r="E13" s="20">
        <v>8.3481336875984805E-3</v>
      </c>
      <c r="F13" s="20"/>
      <c r="G13" s="20" t="s">
        <v>76</v>
      </c>
      <c r="H13" s="20" t="s">
        <v>76</v>
      </c>
      <c r="I13" s="20">
        <v>7.1594030064345698E-3</v>
      </c>
      <c r="J13" s="20"/>
      <c r="K13" s="20" t="s">
        <v>76</v>
      </c>
      <c r="L13" s="20">
        <v>9.6504273489769303E-3</v>
      </c>
      <c r="M13" s="20">
        <v>3.2535774076463899E-3</v>
      </c>
      <c r="N13" s="20"/>
      <c r="O13" s="20">
        <v>9.0189438295405593E-3</v>
      </c>
      <c r="P13" s="20">
        <v>0</v>
      </c>
      <c r="Q13" s="20"/>
      <c r="R13" s="20">
        <v>0</v>
      </c>
      <c r="S13" s="20">
        <v>7.4583580566369096E-3</v>
      </c>
      <c r="T13" s="20">
        <v>0</v>
      </c>
      <c r="U13" s="20">
        <v>1.51852042797786E-2</v>
      </c>
      <c r="V13" s="20">
        <v>1.92737099869577E-2</v>
      </c>
      <c r="W13" s="20">
        <v>0</v>
      </c>
      <c r="X13" s="20">
        <v>0</v>
      </c>
      <c r="Y13" s="20">
        <v>3.5665958350483903E-2</v>
      </c>
      <c r="Z13" s="20">
        <v>8.5202459191906898E-3</v>
      </c>
      <c r="AA13" s="20"/>
      <c r="AB13" s="20">
        <v>1.35128426479359E-2</v>
      </c>
      <c r="AC13" s="20">
        <v>8.7114070223246395E-3</v>
      </c>
      <c r="AD13" s="20">
        <v>6.1006219714428902E-3</v>
      </c>
      <c r="AE13" s="20">
        <v>0</v>
      </c>
      <c r="AF13" s="20"/>
      <c r="AG13" s="20">
        <v>0</v>
      </c>
      <c r="AH13" s="20">
        <v>0</v>
      </c>
      <c r="AI13" s="20"/>
      <c r="AJ13" s="20">
        <v>0</v>
      </c>
      <c r="AK13" s="20">
        <v>7.6871072561126097E-3</v>
      </c>
      <c r="AL13" s="20"/>
      <c r="AM13" s="20">
        <v>5.5128386857754199E-3</v>
      </c>
      <c r="AN13" s="20">
        <v>1.2549732099841801E-2</v>
      </c>
    </row>
    <row r="14" spans="2:40" x14ac:dyDescent="0.35">
      <c r="B14" s="27" t="s">
        <v>303</v>
      </c>
    </row>
    <row r="15" spans="2:40" x14ac:dyDescent="0.35">
      <c r="B15" t="s">
        <v>72</v>
      </c>
    </row>
    <row r="16" spans="2:40" x14ac:dyDescent="0.35">
      <c r="B16" t="s">
        <v>73</v>
      </c>
    </row>
    <row r="18" spans="2:2" x14ac:dyDescent="0.35">
      <c r="B18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dimension ref="B2:AN18"/>
  <sheetViews>
    <sheetView showGridLines="0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287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596</v>
      </c>
      <c r="D7" s="10">
        <v>313</v>
      </c>
      <c r="E7" s="10">
        <v>282</v>
      </c>
      <c r="F7" s="10"/>
      <c r="G7" s="10" t="s">
        <v>75</v>
      </c>
      <c r="H7" s="10" t="s">
        <v>75</v>
      </c>
      <c r="I7" s="10">
        <v>596</v>
      </c>
      <c r="J7" s="10"/>
      <c r="K7" s="10" t="s">
        <v>75</v>
      </c>
      <c r="L7" s="10">
        <v>431</v>
      </c>
      <c r="M7" s="10">
        <v>165</v>
      </c>
      <c r="N7" s="10"/>
      <c r="O7" s="10">
        <v>477</v>
      </c>
      <c r="P7" s="10">
        <v>107</v>
      </c>
      <c r="Q7" s="10"/>
      <c r="R7" s="10">
        <v>101</v>
      </c>
      <c r="S7" s="10">
        <v>105</v>
      </c>
      <c r="T7" s="10">
        <v>50</v>
      </c>
      <c r="U7" s="10">
        <v>60</v>
      </c>
      <c r="V7" s="10">
        <v>46</v>
      </c>
      <c r="W7" s="10">
        <v>74</v>
      </c>
      <c r="X7" s="10">
        <v>30</v>
      </c>
      <c r="Y7" s="10">
        <v>29</v>
      </c>
      <c r="Z7" s="10">
        <v>101</v>
      </c>
      <c r="AA7" s="10"/>
      <c r="AB7" s="10">
        <v>77</v>
      </c>
      <c r="AC7" s="10">
        <v>97</v>
      </c>
      <c r="AD7" s="10">
        <v>85</v>
      </c>
      <c r="AE7" s="10">
        <v>58</v>
      </c>
      <c r="AF7" s="10"/>
      <c r="AG7" s="10">
        <v>60</v>
      </c>
      <c r="AH7" s="10">
        <v>26</v>
      </c>
      <c r="AI7" s="10"/>
      <c r="AJ7" s="10">
        <v>86</v>
      </c>
      <c r="AK7" s="10">
        <v>67</v>
      </c>
      <c r="AL7" s="10"/>
      <c r="AM7" s="10">
        <v>367</v>
      </c>
      <c r="AN7" s="10">
        <v>113</v>
      </c>
    </row>
    <row r="8" spans="2:40" ht="30" customHeight="1" x14ac:dyDescent="0.35">
      <c r="B8" s="11" t="s">
        <v>20</v>
      </c>
      <c r="C8" s="11">
        <v>560</v>
      </c>
      <c r="D8" s="11">
        <v>280</v>
      </c>
      <c r="E8" s="11">
        <v>279</v>
      </c>
      <c r="F8" s="11"/>
      <c r="G8" s="11" t="s">
        <v>75</v>
      </c>
      <c r="H8" s="11" t="s">
        <v>75</v>
      </c>
      <c r="I8" s="11">
        <v>560</v>
      </c>
      <c r="J8" s="11"/>
      <c r="K8" s="11" t="s">
        <v>75</v>
      </c>
      <c r="L8" s="11">
        <v>342</v>
      </c>
      <c r="M8" s="11">
        <v>218</v>
      </c>
      <c r="N8" s="11"/>
      <c r="O8" s="11">
        <v>445</v>
      </c>
      <c r="P8" s="11">
        <v>105</v>
      </c>
      <c r="Q8" s="11"/>
      <c r="R8" s="11">
        <v>105</v>
      </c>
      <c r="S8" s="11">
        <v>95</v>
      </c>
      <c r="T8" s="11">
        <v>56</v>
      </c>
      <c r="U8" s="11">
        <v>64</v>
      </c>
      <c r="V8" s="11">
        <v>42</v>
      </c>
      <c r="W8" s="11">
        <v>55</v>
      </c>
      <c r="X8" s="11">
        <v>41</v>
      </c>
      <c r="Y8" s="11">
        <v>24</v>
      </c>
      <c r="Z8" s="11">
        <v>76</v>
      </c>
      <c r="AA8" s="11"/>
      <c r="AB8" s="11">
        <v>60</v>
      </c>
      <c r="AC8" s="11">
        <v>75</v>
      </c>
      <c r="AD8" s="11">
        <v>116</v>
      </c>
      <c r="AE8" s="11">
        <v>76</v>
      </c>
      <c r="AF8" s="11"/>
      <c r="AG8" s="11">
        <v>77</v>
      </c>
      <c r="AH8" s="11">
        <v>34</v>
      </c>
      <c r="AI8" s="11"/>
      <c r="AJ8" s="11">
        <v>111</v>
      </c>
      <c r="AK8" s="11">
        <v>92</v>
      </c>
      <c r="AL8" s="11"/>
      <c r="AM8" s="11">
        <v>333</v>
      </c>
      <c r="AN8" s="11">
        <v>121</v>
      </c>
    </row>
    <row r="9" spans="2:40" x14ac:dyDescent="0.35">
      <c r="B9" s="15" t="s">
        <v>242</v>
      </c>
      <c r="C9" s="14">
        <v>0.47392866637584902</v>
      </c>
      <c r="D9" s="14">
        <v>0.47375137581369198</v>
      </c>
      <c r="E9" s="14">
        <v>0.47548612517276101</v>
      </c>
      <c r="F9" s="14"/>
      <c r="G9" s="14" t="s">
        <v>76</v>
      </c>
      <c r="H9" s="14" t="s">
        <v>76</v>
      </c>
      <c r="I9" s="14">
        <v>0.47392866637584902</v>
      </c>
      <c r="J9" s="14"/>
      <c r="K9" s="14" t="s">
        <v>76</v>
      </c>
      <c r="L9" s="14">
        <v>0.46764728426206098</v>
      </c>
      <c r="M9" s="14">
        <v>0.483777619931542</v>
      </c>
      <c r="N9" s="14"/>
      <c r="O9" s="14">
        <v>0.43932341207847803</v>
      </c>
      <c r="P9" s="14">
        <v>0.64299852148423697</v>
      </c>
      <c r="Q9" s="14"/>
      <c r="R9" s="14">
        <v>0.48236128895015801</v>
      </c>
      <c r="S9" s="14">
        <v>0.50582536285018698</v>
      </c>
      <c r="T9" s="14">
        <v>0.54202443702013403</v>
      </c>
      <c r="U9" s="14">
        <v>0.37280894878556697</v>
      </c>
      <c r="V9" s="14">
        <v>0.44133494773432402</v>
      </c>
      <c r="W9" s="14">
        <v>0.38411846930786803</v>
      </c>
      <c r="X9" s="14">
        <v>0.62538772241709095</v>
      </c>
      <c r="Y9" s="14">
        <v>0.40446663098193503</v>
      </c>
      <c r="Z9" s="14">
        <v>0.48032473419615201</v>
      </c>
      <c r="AA9" s="14"/>
      <c r="AB9" s="14">
        <v>0.45797998428608899</v>
      </c>
      <c r="AC9" s="14">
        <v>0.56670781969718098</v>
      </c>
      <c r="AD9" s="14">
        <v>0.43129877894204199</v>
      </c>
      <c r="AE9" s="14">
        <v>0.54985771821099005</v>
      </c>
      <c r="AF9" s="14"/>
      <c r="AG9" s="14">
        <v>0.60242560707540604</v>
      </c>
      <c r="AH9" s="14">
        <v>0.58558067678492798</v>
      </c>
      <c r="AI9" s="14"/>
      <c r="AJ9" s="14">
        <v>0.597262554631797</v>
      </c>
      <c r="AK9" s="14">
        <v>0.33740530736934998</v>
      </c>
      <c r="AL9" s="14"/>
      <c r="AM9" s="14">
        <v>0.54627429028419505</v>
      </c>
      <c r="AN9" s="14">
        <v>0.35030132338772801</v>
      </c>
    </row>
    <row r="10" spans="2:40" x14ac:dyDescent="0.35">
      <c r="B10" s="15" t="s">
        <v>243</v>
      </c>
      <c r="C10" s="14">
        <v>0.441715378364403</v>
      </c>
      <c r="D10" s="14">
        <v>0.44379277781075599</v>
      </c>
      <c r="E10" s="14">
        <v>0.43800211692222901</v>
      </c>
      <c r="F10" s="14"/>
      <c r="G10" s="14" t="s">
        <v>76</v>
      </c>
      <c r="H10" s="14" t="s">
        <v>76</v>
      </c>
      <c r="I10" s="14">
        <v>0.441715378364403</v>
      </c>
      <c r="J10" s="14"/>
      <c r="K10" s="14" t="s">
        <v>76</v>
      </c>
      <c r="L10" s="14">
        <v>0.43479196753932398</v>
      </c>
      <c r="M10" s="14">
        <v>0.45257100701872799</v>
      </c>
      <c r="N10" s="14"/>
      <c r="O10" s="14">
        <v>0.47207419742866402</v>
      </c>
      <c r="P10" s="14">
        <v>0.28235674113227099</v>
      </c>
      <c r="Q10" s="14"/>
      <c r="R10" s="14">
        <v>0.41646228002188901</v>
      </c>
      <c r="S10" s="14">
        <v>0.41009421537658602</v>
      </c>
      <c r="T10" s="14">
        <v>0.36153217757763501</v>
      </c>
      <c r="U10" s="14">
        <v>0.55675627455810095</v>
      </c>
      <c r="V10" s="14">
        <v>0.48445099045117201</v>
      </c>
      <c r="W10" s="14">
        <v>0.49398188136302401</v>
      </c>
      <c r="X10" s="14">
        <v>0.29120471700308498</v>
      </c>
      <c r="Y10" s="14">
        <v>0.56171787984266397</v>
      </c>
      <c r="Z10" s="14">
        <v>0.460400638917349</v>
      </c>
      <c r="AA10" s="14"/>
      <c r="AB10" s="14">
        <v>0.44339912628913503</v>
      </c>
      <c r="AC10" s="14">
        <v>0.38473809135426101</v>
      </c>
      <c r="AD10" s="14">
        <v>0.53587332636848695</v>
      </c>
      <c r="AE10" s="14">
        <v>0.397762040137836</v>
      </c>
      <c r="AF10" s="14"/>
      <c r="AG10" s="14">
        <v>0.36648736758662398</v>
      </c>
      <c r="AH10" s="14">
        <v>0.370938564845602</v>
      </c>
      <c r="AI10" s="14"/>
      <c r="AJ10" s="14">
        <v>0.36785168103219201</v>
      </c>
      <c r="AK10" s="14">
        <v>0.57606614068446105</v>
      </c>
      <c r="AL10" s="14"/>
      <c r="AM10" s="14">
        <v>0.39248895376693499</v>
      </c>
      <c r="AN10" s="14">
        <v>0.53988486814398795</v>
      </c>
    </row>
    <row r="11" spans="2:40" x14ac:dyDescent="0.35">
      <c r="B11" s="15" t="s">
        <v>244</v>
      </c>
      <c r="C11" s="14">
        <v>6.6984481174400395E-2</v>
      </c>
      <c r="D11" s="14">
        <v>6.5950958447340002E-2</v>
      </c>
      <c r="E11" s="14">
        <v>6.8218490294108106E-2</v>
      </c>
      <c r="F11" s="14"/>
      <c r="G11" s="14" t="s">
        <v>76</v>
      </c>
      <c r="H11" s="14" t="s">
        <v>76</v>
      </c>
      <c r="I11" s="14">
        <v>6.6984481174400395E-2</v>
      </c>
      <c r="J11" s="14"/>
      <c r="K11" s="14" t="s">
        <v>76</v>
      </c>
      <c r="L11" s="14">
        <v>7.5036861273360803E-2</v>
      </c>
      <c r="M11" s="14">
        <v>5.43586742785944E-2</v>
      </c>
      <c r="N11" s="14"/>
      <c r="O11" s="14">
        <v>6.67189528834288E-2</v>
      </c>
      <c r="P11" s="14">
        <v>7.4644737383492005E-2</v>
      </c>
      <c r="Q11" s="14"/>
      <c r="R11" s="14">
        <v>8.1952474690432806E-2</v>
      </c>
      <c r="S11" s="14">
        <v>6.8444112024184198E-2</v>
      </c>
      <c r="T11" s="14">
        <v>9.6443385402230505E-2</v>
      </c>
      <c r="U11" s="14">
        <v>2.7666291117696199E-2</v>
      </c>
      <c r="V11" s="14">
        <v>3.6547449358819699E-2</v>
      </c>
      <c r="W11" s="14">
        <v>9.9461707540276806E-2</v>
      </c>
      <c r="X11" s="14">
        <v>8.3407560579824097E-2</v>
      </c>
      <c r="Y11" s="14">
        <v>3.3815489175401198E-2</v>
      </c>
      <c r="Z11" s="14">
        <v>5.0754380967308797E-2</v>
      </c>
      <c r="AA11" s="14"/>
      <c r="AB11" s="14">
        <v>9.8620889424776495E-2</v>
      </c>
      <c r="AC11" s="14">
        <v>3.1544908842562697E-2</v>
      </c>
      <c r="AD11" s="14">
        <v>3.28278946894709E-2</v>
      </c>
      <c r="AE11" s="14">
        <v>5.2380241651173803E-2</v>
      </c>
      <c r="AF11" s="14"/>
      <c r="AG11" s="14">
        <v>3.1087025337970201E-2</v>
      </c>
      <c r="AH11" s="14">
        <v>4.3480758369470199E-2</v>
      </c>
      <c r="AI11" s="14"/>
      <c r="AJ11" s="14">
        <v>3.48857643360116E-2</v>
      </c>
      <c r="AK11" s="14">
        <v>8.65285519461894E-2</v>
      </c>
      <c r="AL11" s="14"/>
      <c r="AM11" s="14">
        <v>5.22918820709651E-2</v>
      </c>
      <c r="AN11" s="14">
        <v>7.2743407173778099E-2</v>
      </c>
    </row>
    <row r="12" spans="2:40" x14ac:dyDescent="0.35">
      <c r="B12" s="15" t="s">
        <v>245</v>
      </c>
      <c r="C12" s="14">
        <v>5.7177381338484696E-3</v>
      </c>
      <c r="D12" s="14">
        <v>3.0648496973827298E-3</v>
      </c>
      <c r="E12" s="14">
        <v>8.4015114109922302E-3</v>
      </c>
      <c r="F12" s="14"/>
      <c r="G12" s="14" t="s">
        <v>76</v>
      </c>
      <c r="H12" s="14" t="s">
        <v>76</v>
      </c>
      <c r="I12" s="14">
        <v>5.7177381338484696E-3</v>
      </c>
      <c r="J12" s="14"/>
      <c r="K12" s="14" t="s">
        <v>76</v>
      </c>
      <c r="L12" s="14">
        <v>9.3643486942683492E-3</v>
      </c>
      <c r="M12" s="14">
        <v>0</v>
      </c>
      <c r="N12" s="14"/>
      <c r="O12" s="14">
        <v>7.2028294838067299E-3</v>
      </c>
      <c r="P12" s="14">
        <v>0</v>
      </c>
      <c r="Q12" s="14"/>
      <c r="R12" s="14">
        <v>0</v>
      </c>
      <c r="S12" s="14">
        <v>0</v>
      </c>
      <c r="T12" s="14">
        <v>0</v>
      </c>
      <c r="U12" s="14">
        <v>2.7583281258857499E-2</v>
      </c>
      <c r="V12" s="14">
        <v>1.9392887776274199E-2</v>
      </c>
      <c r="W12" s="14">
        <v>1.12189708944153E-2</v>
      </c>
      <c r="X12" s="14">
        <v>0</v>
      </c>
      <c r="Y12" s="14">
        <v>0</v>
      </c>
      <c r="Z12" s="14">
        <v>0</v>
      </c>
      <c r="AA12" s="14"/>
      <c r="AB12" s="14">
        <v>0</v>
      </c>
      <c r="AC12" s="14">
        <v>0</v>
      </c>
      <c r="AD12" s="14">
        <v>0</v>
      </c>
      <c r="AE12" s="14">
        <v>0</v>
      </c>
      <c r="AF12" s="14"/>
      <c r="AG12" s="14">
        <v>0</v>
      </c>
      <c r="AH12" s="14">
        <v>0</v>
      </c>
      <c r="AI12" s="14"/>
      <c r="AJ12" s="14">
        <v>0</v>
      </c>
      <c r="AK12" s="14">
        <v>0</v>
      </c>
      <c r="AL12" s="14"/>
      <c r="AM12" s="14">
        <v>1.86007638638865E-3</v>
      </c>
      <c r="AN12" s="14">
        <v>1.42141546034501E-2</v>
      </c>
    </row>
    <row r="13" spans="2:40" x14ac:dyDescent="0.35">
      <c r="B13" s="15" t="s">
        <v>70</v>
      </c>
      <c r="C13" s="20">
        <v>1.1653735951499201E-2</v>
      </c>
      <c r="D13" s="20">
        <v>1.34400382308294E-2</v>
      </c>
      <c r="E13" s="20">
        <v>9.8917561999104196E-3</v>
      </c>
      <c r="F13" s="20"/>
      <c r="G13" s="20" t="s">
        <v>76</v>
      </c>
      <c r="H13" s="20" t="s">
        <v>76</v>
      </c>
      <c r="I13" s="20">
        <v>1.1653735951499201E-2</v>
      </c>
      <c r="J13" s="20"/>
      <c r="K13" s="20" t="s">
        <v>76</v>
      </c>
      <c r="L13" s="20">
        <v>1.31595382309861E-2</v>
      </c>
      <c r="M13" s="20">
        <v>9.2926987711354995E-3</v>
      </c>
      <c r="N13" s="20"/>
      <c r="O13" s="20">
        <v>1.4680608125622399E-2</v>
      </c>
      <c r="P13" s="20">
        <v>0</v>
      </c>
      <c r="Q13" s="20"/>
      <c r="R13" s="20">
        <v>1.9223956337519801E-2</v>
      </c>
      <c r="S13" s="20">
        <v>1.5636309749043099E-2</v>
      </c>
      <c r="T13" s="20">
        <v>0</v>
      </c>
      <c r="U13" s="20">
        <v>1.51852042797786E-2</v>
      </c>
      <c r="V13" s="20">
        <v>1.8273724679409801E-2</v>
      </c>
      <c r="W13" s="20">
        <v>1.12189708944153E-2</v>
      </c>
      <c r="X13" s="20">
        <v>0</v>
      </c>
      <c r="Y13" s="20">
        <v>0</v>
      </c>
      <c r="Z13" s="20">
        <v>8.5202459191906898E-3</v>
      </c>
      <c r="AA13" s="20"/>
      <c r="AB13" s="20">
        <v>0</v>
      </c>
      <c r="AC13" s="20">
        <v>1.7009180105995201E-2</v>
      </c>
      <c r="AD13" s="20">
        <v>0</v>
      </c>
      <c r="AE13" s="20">
        <v>0</v>
      </c>
      <c r="AF13" s="20"/>
      <c r="AG13" s="20">
        <v>0</v>
      </c>
      <c r="AH13" s="20">
        <v>0</v>
      </c>
      <c r="AI13" s="20"/>
      <c r="AJ13" s="20">
        <v>0</v>
      </c>
      <c r="AK13" s="20">
        <v>0</v>
      </c>
      <c r="AL13" s="20"/>
      <c r="AM13" s="20">
        <v>7.0847974915158101E-3</v>
      </c>
      <c r="AN13" s="20">
        <v>2.2856246691056299E-2</v>
      </c>
    </row>
    <row r="14" spans="2:40" x14ac:dyDescent="0.35">
      <c r="B14" s="27" t="s">
        <v>303</v>
      </c>
    </row>
    <row r="15" spans="2:40" x14ac:dyDescent="0.35">
      <c r="B15" t="s">
        <v>72</v>
      </c>
    </row>
    <row r="16" spans="2:40" x14ac:dyDescent="0.35">
      <c r="B16" t="s">
        <v>73</v>
      </c>
    </row>
    <row r="18" spans="2:2" x14ac:dyDescent="0.35">
      <c r="B18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dimension ref="B2:AN16"/>
  <sheetViews>
    <sheetView showGridLines="0" workbookViewId="0">
      <pane xSplit="2" topLeftCell="C1" activePane="topRight" state="frozen"/>
      <selection pane="topRight" activeCell="B12" sqref="B12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288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1216</v>
      </c>
      <c r="D7" s="10">
        <v>613</v>
      </c>
      <c r="E7" s="10">
        <v>598</v>
      </c>
      <c r="F7" s="10"/>
      <c r="G7" s="10" t="s">
        <v>75</v>
      </c>
      <c r="H7" s="10" t="s">
        <v>75</v>
      </c>
      <c r="I7" s="10">
        <v>1216</v>
      </c>
      <c r="J7" s="10"/>
      <c r="K7" s="10" t="s">
        <v>75</v>
      </c>
      <c r="L7" s="10">
        <v>924</v>
      </c>
      <c r="M7" s="10">
        <v>292</v>
      </c>
      <c r="N7" s="10"/>
      <c r="O7" s="10">
        <v>1020</v>
      </c>
      <c r="P7" s="10">
        <v>166</v>
      </c>
      <c r="Q7" s="10"/>
      <c r="R7" s="10">
        <v>177</v>
      </c>
      <c r="S7" s="10">
        <v>216</v>
      </c>
      <c r="T7" s="10">
        <v>97</v>
      </c>
      <c r="U7" s="10">
        <v>116</v>
      </c>
      <c r="V7" s="10">
        <v>104</v>
      </c>
      <c r="W7" s="10">
        <v>152</v>
      </c>
      <c r="X7" s="10">
        <v>76</v>
      </c>
      <c r="Y7" s="10">
        <v>70</v>
      </c>
      <c r="Z7" s="10">
        <v>208</v>
      </c>
      <c r="AA7" s="10"/>
      <c r="AB7" s="10">
        <v>152</v>
      </c>
      <c r="AC7" s="10">
        <v>147</v>
      </c>
      <c r="AD7" s="10">
        <v>152</v>
      </c>
      <c r="AE7" s="10">
        <v>106</v>
      </c>
      <c r="AF7" s="10"/>
      <c r="AG7" s="10">
        <v>95</v>
      </c>
      <c r="AH7" s="10">
        <v>46</v>
      </c>
      <c r="AI7" s="10"/>
      <c r="AJ7" s="10">
        <v>141</v>
      </c>
      <c r="AK7" s="10">
        <v>131</v>
      </c>
      <c r="AL7" s="10"/>
      <c r="AM7" s="10">
        <v>626</v>
      </c>
      <c r="AN7" s="10">
        <v>310</v>
      </c>
    </row>
    <row r="8" spans="2:40" ht="30" customHeight="1" x14ac:dyDescent="0.35">
      <c r="B8" s="11" t="s">
        <v>20</v>
      </c>
      <c r="C8" s="11">
        <v>1136</v>
      </c>
      <c r="D8" s="11">
        <v>540</v>
      </c>
      <c r="E8" s="11">
        <v>591</v>
      </c>
      <c r="F8" s="11"/>
      <c r="G8" s="11" t="s">
        <v>75</v>
      </c>
      <c r="H8" s="11" t="s">
        <v>75</v>
      </c>
      <c r="I8" s="11">
        <v>1136</v>
      </c>
      <c r="J8" s="11"/>
      <c r="K8" s="11" t="s">
        <v>75</v>
      </c>
      <c r="L8" s="11">
        <v>745</v>
      </c>
      <c r="M8" s="11">
        <v>391</v>
      </c>
      <c r="N8" s="11"/>
      <c r="O8" s="11">
        <v>946</v>
      </c>
      <c r="P8" s="11">
        <v>161</v>
      </c>
      <c r="Q8" s="11"/>
      <c r="R8" s="11">
        <v>183</v>
      </c>
      <c r="S8" s="11">
        <v>192</v>
      </c>
      <c r="T8" s="11">
        <v>104</v>
      </c>
      <c r="U8" s="11">
        <v>121</v>
      </c>
      <c r="V8" s="11">
        <v>99</v>
      </c>
      <c r="W8" s="11">
        <v>112</v>
      </c>
      <c r="X8" s="11">
        <v>107</v>
      </c>
      <c r="Y8" s="11">
        <v>62</v>
      </c>
      <c r="Z8" s="11">
        <v>157</v>
      </c>
      <c r="AA8" s="11"/>
      <c r="AB8" s="11">
        <v>117</v>
      </c>
      <c r="AC8" s="11">
        <v>117</v>
      </c>
      <c r="AD8" s="11">
        <v>211</v>
      </c>
      <c r="AE8" s="11">
        <v>141</v>
      </c>
      <c r="AF8" s="11"/>
      <c r="AG8" s="11">
        <v>117</v>
      </c>
      <c r="AH8" s="11">
        <v>63</v>
      </c>
      <c r="AI8" s="11"/>
      <c r="AJ8" s="11">
        <v>180</v>
      </c>
      <c r="AK8" s="11">
        <v>185</v>
      </c>
      <c r="AL8" s="11"/>
      <c r="AM8" s="11">
        <v>567</v>
      </c>
      <c r="AN8" s="11">
        <v>311</v>
      </c>
    </row>
    <row r="9" spans="2:40" x14ac:dyDescent="0.35">
      <c r="B9" s="15" t="s">
        <v>44</v>
      </c>
      <c r="C9" s="14">
        <v>0.43963449940087501</v>
      </c>
      <c r="D9" s="14">
        <v>0.49594268242963202</v>
      </c>
      <c r="E9" s="14">
        <v>0.38600657694207202</v>
      </c>
      <c r="F9" s="14"/>
      <c r="G9" s="14" t="s">
        <v>76</v>
      </c>
      <c r="H9" s="14" t="s">
        <v>76</v>
      </c>
      <c r="I9" s="14">
        <v>0.43963449940087501</v>
      </c>
      <c r="J9" s="14"/>
      <c r="K9" s="14" t="s">
        <v>76</v>
      </c>
      <c r="L9" s="14">
        <v>0.44544610970315202</v>
      </c>
      <c r="M9" s="14">
        <v>0.428582354515051</v>
      </c>
      <c r="N9" s="14"/>
      <c r="O9" s="14">
        <v>0.43529036545820199</v>
      </c>
      <c r="P9" s="14">
        <v>0.49065782606359398</v>
      </c>
      <c r="Q9" s="14"/>
      <c r="R9" s="14">
        <v>0.48556773182554003</v>
      </c>
      <c r="S9" s="14">
        <v>0.45406551290285402</v>
      </c>
      <c r="T9" s="14">
        <v>0.414771750510044</v>
      </c>
      <c r="U9" s="14">
        <v>0.480384043869165</v>
      </c>
      <c r="V9" s="14">
        <v>0.41284687458041502</v>
      </c>
      <c r="W9" s="14">
        <v>0.39643941529263099</v>
      </c>
      <c r="X9" s="14">
        <v>0.439942028201045</v>
      </c>
      <c r="Y9" s="14">
        <v>0.42492002249114802</v>
      </c>
      <c r="Z9" s="14">
        <v>0.40693013593680799</v>
      </c>
      <c r="AA9" s="14"/>
      <c r="AB9" s="14">
        <v>0.50138844279411898</v>
      </c>
      <c r="AC9" s="14">
        <v>0.50562899505820602</v>
      </c>
      <c r="AD9" s="14">
        <v>0.38936504431688401</v>
      </c>
      <c r="AE9" s="14">
        <v>0.47828294155607598</v>
      </c>
      <c r="AF9" s="14"/>
      <c r="AG9" s="14">
        <v>0.50691903818702799</v>
      </c>
      <c r="AH9" s="14">
        <v>0.43237023444365702</v>
      </c>
      <c r="AI9" s="14"/>
      <c r="AJ9" s="14">
        <v>0.48086423602853501</v>
      </c>
      <c r="AK9" s="14">
        <v>0.38026292179986798</v>
      </c>
      <c r="AL9" s="14"/>
      <c r="AM9" s="14">
        <v>0.54128827859837803</v>
      </c>
      <c r="AN9" s="14">
        <v>0.28169611556701601</v>
      </c>
    </row>
    <row r="10" spans="2:40" x14ac:dyDescent="0.35">
      <c r="B10" s="15" t="s">
        <v>45</v>
      </c>
      <c r="C10" s="14">
        <v>0.48282626948201901</v>
      </c>
      <c r="D10" s="14">
        <v>0.44192897450480101</v>
      </c>
      <c r="E10" s="14">
        <v>0.52170987139672598</v>
      </c>
      <c r="F10" s="14"/>
      <c r="G10" s="14" t="s">
        <v>76</v>
      </c>
      <c r="H10" s="14" t="s">
        <v>76</v>
      </c>
      <c r="I10" s="14">
        <v>0.48282626948201901</v>
      </c>
      <c r="J10" s="14"/>
      <c r="K10" s="14" t="s">
        <v>76</v>
      </c>
      <c r="L10" s="14">
        <v>0.469751614161461</v>
      </c>
      <c r="M10" s="14">
        <v>0.50769080399466304</v>
      </c>
      <c r="N10" s="14"/>
      <c r="O10" s="14">
        <v>0.486411162791</v>
      </c>
      <c r="P10" s="14">
        <v>0.47326385387206699</v>
      </c>
      <c r="Q10" s="14"/>
      <c r="R10" s="14">
        <v>0.46313545380651</v>
      </c>
      <c r="S10" s="14">
        <v>0.49434142030478501</v>
      </c>
      <c r="T10" s="14">
        <v>0.47551013822964699</v>
      </c>
      <c r="U10" s="14">
        <v>0.43393535384611098</v>
      </c>
      <c r="V10" s="14">
        <v>0.51044606910627799</v>
      </c>
      <c r="W10" s="14">
        <v>0.47741517361213198</v>
      </c>
      <c r="X10" s="14">
        <v>0.46306083875682202</v>
      </c>
      <c r="Y10" s="14">
        <v>0.53724698450831998</v>
      </c>
      <c r="Z10" s="14">
        <v>0.51246844633864697</v>
      </c>
      <c r="AA10" s="14"/>
      <c r="AB10" s="14">
        <v>0.41482200160378702</v>
      </c>
      <c r="AC10" s="14">
        <v>0.45066977442565498</v>
      </c>
      <c r="AD10" s="14">
        <v>0.51534989954074095</v>
      </c>
      <c r="AE10" s="14">
        <v>0.52171705844392402</v>
      </c>
      <c r="AF10" s="14"/>
      <c r="AG10" s="14">
        <v>0.46788531059152899</v>
      </c>
      <c r="AH10" s="14">
        <v>0.46190896576906199</v>
      </c>
      <c r="AI10" s="14"/>
      <c r="AJ10" s="14">
        <v>0.46579657845685501</v>
      </c>
      <c r="AK10" s="14">
        <v>0.55152449070637799</v>
      </c>
      <c r="AL10" s="14"/>
      <c r="AM10" s="14">
        <v>0.412258706488773</v>
      </c>
      <c r="AN10" s="14">
        <v>0.59420141113801594</v>
      </c>
    </row>
    <row r="11" spans="2:40" x14ac:dyDescent="0.35">
      <c r="B11" s="15" t="s">
        <v>70</v>
      </c>
      <c r="C11" s="20">
        <v>7.7539231117106699E-2</v>
      </c>
      <c r="D11" s="20">
        <v>6.21283430655672E-2</v>
      </c>
      <c r="E11" s="20">
        <v>9.2283551661201793E-2</v>
      </c>
      <c r="F11" s="20"/>
      <c r="G11" s="20" t="s">
        <v>76</v>
      </c>
      <c r="H11" s="20" t="s">
        <v>76</v>
      </c>
      <c r="I11" s="20">
        <v>7.7539231117106699E-2</v>
      </c>
      <c r="J11" s="20"/>
      <c r="K11" s="20" t="s">
        <v>76</v>
      </c>
      <c r="L11" s="20">
        <v>8.4802276135387405E-2</v>
      </c>
      <c r="M11" s="20">
        <v>6.3726841490285804E-2</v>
      </c>
      <c r="N11" s="20"/>
      <c r="O11" s="20">
        <v>7.8298471750797904E-2</v>
      </c>
      <c r="P11" s="20">
        <v>3.6078320064338802E-2</v>
      </c>
      <c r="Q11" s="20"/>
      <c r="R11" s="20">
        <v>5.129681436795E-2</v>
      </c>
      <c r="S11" s="20">
        <v>5.1593066792361503E-2</v>
      </c>
      <c r="T11" s="20">
        <v>0.109718111260309</v>
      </c>
      <c r="U11" s="20">
        <v>8.5680602284724003E-2</v>
      </c>
      <c r="V11" s="20">
        <v>7.6707056313307195E-2</v>
      </c>
      <c r="W11" s="20">
        <v>0.126145411095237</v>
      </c>
      <c r="X11" s="20">
        <v>9.6997133042132699E-2</v>
      </c>
      <c r="Y11" s="20">
        <v>3.7832993000532E-2</v>
      </c>
      <c r="Z11" s="20">
        <v>8.0601417724544794E-2</v>
      </c>
      <c r="AA11" s="20"/>
      <c r="AB11" s="20">
        <v>8.3789555602094307E-2</v>
      </c>
      <c r="AC11" s="20">
        <v>4.3701230516137897E-2</v>
      </c>
      <c r="AD11" s="20">
        <v>9.5285056142375299E-2</v>
      </c>
      <c r="AE11" s="20">
        <v>0</v>
      </c>
      <c r="AF11" s="20"/>
      <c r="AG11" s="20">
        <v>2.51956512214426E-2</v>
      </c>
      <c r="AH11" s="20">
        <v>0.10572079978728</v>
      </c>
      <c r="AI11" s="20"/>
      <c r="AJ11" s="20">
        <v>5.3339185514610601E-2</v>
      </c>
      <c r="AK11" s="20">
        <v>6.8212587493753696E-2</v>
      </c>
      <c r="AL11" s="20"/>
      <c r="AM11" s="20">
        <v>4.64530149128492E-2</v>
      </c>
      <c r="AN11" s="20">
        <v>0.124102473294969</v>
      </c>
    </row>
    <row r="12" spans="2:40" x14ac:dyDescent="0.35">
      <c r="B12" s="27" t="s">
        <v>390</v>
      </c>
    </row>
    <row r="13" spans="2:40" x14ac:dyDescent="0.35">
      <c r="B13" t="s">
        <v>72</v>
      </c>
    </row>
    <row r="14" spans="2:40" x14ac:dyDescent="0.35">
      <c r="B14" t="s">
        <v>73</v>
      </c>
    </row>
    <row r="16" spans="2:40" x14ac:dyDescent="0.35">
      <c r="B16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dimension ref="B2:AN18"/>
  <sheetViews>
    <sheetView showGridLines="0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289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544</v>
      </c>
      <c r="D7" s="10">
        <v>305</v>
      </c>
      <c r="E7" s="10">
        <v>236</v>
      </c>
      <c r="F7" s="10"/>
      <c r="G7" s="10" t="s">
        <v>75</v>
      </c>
      <c r="H7" s="10" t="s">
        <v>75</v>
      </c>
      <c r="I7" s="10">
        <v>544</v>
      </c>
      <c r="J7" s="10"/>
      <c r="K7" s="10" t="s">
        <v>75</v>
      </c>
      <c r="L7" s="10">
        <v>413</v>
      </c>
      <c r="M7" s="10">
        <v>131</v>
      </c>
      <c r="N7" s="10"/>
      <c r="O7" s="10">
        <v>444</v>
      </c>
      <c r="P7" s="10">
        <v>90</v>
      </c>
      <c r="Q7" s="10"/>
      <c r="R7" s="10">
        <v>86</v>
      </c>
      <c r="S7" s="10">
        <v>96</v>
      </c>
      <c r="T7" s="10">
        <v>42</v>
      </c>
      <c r="U7" s="10">
        <v>56</v>
      </c>
      <c r="V7" s="10">
        <v>48</v>
      </c>
      <c r="W7" s="10">
        <v>63</v>
      </c>
      <c r="X7" s="10">
        <v>36</v>
      </c>
      <c r="Y7" s="10">
        <v>28</v>
      </c>
      <c r="Z7" s="10">
        <v>89</v>
      </c>
      <c r="AA7" s="10"/>
      <c r="AB7" s="10">
        <v>78</v>
      </c>
      <c r="AC7" s="10">
        <v>75</v>
      </c>
      <c r="AD7" s="10">
        <v>61</v>
      </c>
      <c r="AE7" s="10">
        <v>54</v>
      </c>
      <c r="AF7" s="10"/>
      <c r="AG7" s="10">
        <v>51</v>
      </c>
      <c r="AH7" s="10">
        <v>19</v>
      </c>
      <c r="AI7" s="10"/>
      <c r="AJ7" s="10">
        <v>70</v>
      </c>
      <c r="AK7" s="10">
        <v>51</v>
      </c>
      <c r="AL7" s="10"/>
      <c r="AM7" s="10">
        <v>348</v>
      </c>
      <c r="AN7" s="10">
        <v>85</v>
      </c>
    </row>
    <row r="8" spans="2:40" ht="30" customHeight="1" x14ac:dyDescent="0.35">
      <c r="B8" s="11" t="s">
        <v>20</v>
      </c>
      <c r="C8" s="11">
        <v>499</v>
      </c>
      <c r="D8" s="11">
        <v>268</v>
      </c>
      <c r="E8" s="11">
        <v>228</v>
      </c>
      <c r="F8" s="11"/>
      <c r="G8" s="11" t="s">
        <v>75</v>
      </c>
      <c r="H8" s="11" t="s">
        <v>75</v>
      </c>
      <c r="I8" s="11">
        <v>499</v>
      </c>
      <c r="J8" s="11"/>
      <c r="K8" s="11" t="s">
        <v>75</v>
      </c>
      <c r="L8" s="11">
        <v>332</v>
      </c>
      <c r="M8" s="11">
        <v>168</v>
      </c>
      <c r="N8" s="11"/>
      <c r="O8" s="11">
        <v>412</v>
      </c>
      <c r="P8" s="11">
        <v>79</v>
      </c>
      <c r="Q8" s="11"/>
      <c r="R8" s="11">
        <v>89</v>
      </c>
      <c r="S8" s="11">
        <v>87</v>
      </c>
      <c r="T8" s="11">
        <v>43</v>
      </c>
      <c r="U8" s="11">
        <v>58</v>
      </c>
      <c r="V8" s="11">
        <v>41</v>
      </c>
      <c r="W8" s="11">
        <v>45</v>
      </c>
      <c r="X8" s="11">
        <v>47</v>
      </c>
      <c r="Y8" s="11">
        <v>26</v>
      </c>
      <c r="Z8" s="11">
        <v>64</v>
      </c>
      <c r="AA8" s="11"/>
      <c r="AB8" s="11">
        <v>59</v>
      </c>
      <c r="AC8" s="11">
        <v>59</v>
      </c>
      <c r="AD8" s="11">
        <v>82</v>
      </c>
      <c r="AE8" s="11">
        <v>67</v>
      </c>
      <c r="AF8" s="11"/>
      <c r="AG8" s="11">
        <v>59</v>
      </c>
      <c r="AH8" s="11">
        <v>27</v>
      </c>
      <c r="AI8" s="11"/>
      <c r="AJ8" s="11">
        <v>87</v>
      </c>
      <c r="AK8" s="11">
        <v>70</v>
      </c>
      <c r="AL8" s="11"/>
      <c r="AM8" s="11">
        <v>307</v>
      </c>
      <c r="AN8" s="11">
        <v>88</v>
      </c>
    </row>
    <row r="9" spans="2:40" x14ac:dyDescent="0.35">
      <c r="B9" s="15" t="s">
        <v>155</v>
      </c>
      <c r="C9" s="14">
        <v>0.171725824235924</v>
      </c>
      <c r="D9" s="14">
        <v>0.191325408338752</v>
      </c>
      <c r="E9" s="14">
        <v>0.151255409538715</v>
      </c>
      <c r="F9" s="14"/>
      <c r="G9" s="14" t="s">
        <v>76</v>
      </c>
      <c r="H9" s="14" t="s">
        <v>76</v>
      </c>
      <c r="I9" s="14">
        <v>0.171725824235924</v>
      </c>
      <c r="J9" s="14"/>
      <c r="K9" s="14" t="s">
        <v>76</v>
      </c>
      <c r="L9" s="14">
        <v>0.17892652768328299</v>
      </c>
      <c r="M9" s="14">
        <v>0.15749317016074799</v>
      </c>
      <c r="N9" s="14"/>
      <c r="O9" s="14">
        <v>0.14641219312386</v>
      </c>
      <c r="P9" s="14">
        <v>0.30134562980617202</v>
      </c>
      <c r="Q9" s="14"/>
      <c r="R9" s="14">
        <v>0.23389078589467899</v>
      </c>
      <c r="S9" s="14">
        <v>9.7046311684637995E-2</v>
      </c>
      <c r="T9" s="14">
        <v>0.23344807144729299</v>
      </c>
      <c r="U9" s="14">
        <v>0.189291606256526</v>
      </c>
      <c r="V9" s="14">
        <v>0.1737221857697</v>
      </c>
      <c r="W9" s="14">
        <v>0.141731092219848</v>
      </c>
      <c r="X9" s="14">
        <v>0.12900411526272701</v>
      </c>
      <c r="Y9" s="14">
        <v>0.181964050164095</v>
      </c>
      <c r="Z9" s="14">
        <v>0.176564542028669</v>
      </c>
      <c r="AA9" s="14"/>
      <c r="AB9" s="14">
        <v>0.14497308237549</v>
      </c>
      <c r="AC9" s="14">
        <v>0.27111332528450599</v>
      </c>
      <c r="AD9" s="14">
        <v>0.13576164000680399</v>
      </c>
      <c r="AE9" s="14">
        <v>0.13629467244844701</v>
      </c>
      <c r="AF9" s="14"/>
      <c r="AG9" s="14">
        <v>0.23172809817180301</v>
      </c>
      <c r="AH9" s="14">
        <v>0.180754114974498</v>
      </c>
      <c r="AI9" s="14"/>
      <c r="AJ9" s="14">
        <v>0.21570933492213901</v>
      </c>
      <c r="AK9" s="14">
        <v>8.0847347557702801E-2</v>
      </c>
      <c r="AL9" s="14"/>
      <c r="AM9" s="14">
        <v>0.22020647040146499</v>
      </c>
      <c r="AN9" s="14">
        <v>9.7378436978867694E-2</v>
      </c>
    </row>
    <row r="10" spans="2:40" x14ac:dyDescent="0.35">
      <c r="B10" s="15" t="s">
        <v>156</v>
      </c>
      <c r="C10" s="14">
        <v>0.48556982768970502</v>
      </c>
      <c r="D10" s="14">
        <v>0.47336545667282298</v>
      </c>
      <c r="E10" s="14">
        <v>0.50361560167303099</v>
      </c>
      <c r="F10" s="14"/>
      <c r="G10" s="14" t="s">
        <v>76</v>
      </c>
      <c r="H10" s="14" t="s">
        <v>76</v>
      </c>
      <c r="I10" s="14">
        <v>0.48556982768970502</v>
      </c>
      <c r="J10" s="14"/>
      <c r="K10" s="14" t="s">
        <v>76</v>
      </c>
      <c r="L10" s="14">
        <v>0.46298257439186802</v>
      </c>
      <c r="M10" s="14">
        <v>0.53021498840860903</v>
      </c>
      <c r="N10" s="14"/>
      <c r="O10" s="14">
        <v>0.478882263129079</v>
      </c>
      <c r="P10" s="14">
        <v>0.51777276531274496</v>
      </c>
      <c r="Q10" s="14"/>
      <c r="R10" s="14">
        <v>0.51782484313680999</v>
      </c>
      <c r="S10" s="14">
        <v>0.51411630609249803</v>
      </c>
      <c r="T10" s="14">
        <v>0.436840810003636</v>
      </c>
      <c r="U10" s="14">
        <v>0.40324488593005398</v>
      </c>
      <c r="V10" s="14">
        <v>0.40108576672972202</v>
      </c>
      <c r="W10" s="14">
        <v>0.55718272209728503</v>
      </c>
      <c r="X10" s="14">
        <v>0.52095530161422499</v>
      </c>
      <c r="Y10" s="14">
        <v>0.42667119143445598</v>
      </c>
      <c r="Z10" s="14">
        <v>0.51163949899723504</v>
      </c>
      <c r="AA10" s="14"/>
      <c r="AB10" s="14">
        <v>0.46296777869866101</v>
      </c>
      <c r="AC10" s="14">
        <v>0.46993553513514502</v>
      </c>
      <c r="AD10" s="14">
        <v>0.60399064285697102</v>
      </c>
      <c r="AE10" s="14">
        <v>0.50672289787617097</v>
      </c>
      <c r="AF10" s="14"/>
      <c r="AG10" s="14">
        <v>0.53679290548938996</v>
      </c>
      <c r="AH10" s="14">
        <v>0.67691502607397902</v>
      </c>
      <c r="AI10" s="14"/>
      <c r="AJ10" s="14">
        <v>0.58082680150644805</v>
      </c>
      <c r="AK10" s="14">
        <v>0.49504282034710201</v>
      </c>
      <c r="AL10" s="14"/>
      <c r="AM10" s="14">
        <v>0.51278827298926</v>
      </c>
      <c r="AN10" s="14">
        <v>0.36164105856526602</v>
      </c>
    </row>
    <row r="11" spans="2:40" x14ac:dyDescent="0.35">
      <c r="B11" s="15" t="s">
        <v>157</v>
      </c>
      <c r="C11" s="14">
        <v>0.21884962113450801</v>
      </c>
      <c r="D11" s="14">
        <v>0.231637666006967</v>
      </c>
      <c r="E11" s="14">
        <v>0.19949592865966201</v>
      </c>
      <c r="F11" s="14"/>
      <c r="G11" s="14" t="s">
        <v>76</v>
      </c>
      <c r="H11" s="14" t="s">
        <v>76</v>
      </c>
      <c r="I11" s="14">
        <v>0.21884962113450801</v>
      </c>
      <c r="J11" s="14"/>
      <c r="K11" s="14" t="s">
        <v>76</v>
      </c>
      <c r="L11" s="14">
        <v>0.219445239205423</v>
      </c>
      <c r="M11" s="14">
        <v>0.217672343660684</v>
      </c>
      <c r="N11" s="14"/>
      <c r="O11" s="14">
        <v>0.23036999795548399</v>
      </c>
      <c r="P11" s="14">
        <v>0.171964654137929</v>
      </c>
      <c r="Q11" s="14"/>
      <c r="R11" s="14">
        <v>0.18464441047225699</v>
      </c>
      <c r="S11" s="14">
        <v>0.25882376837569598</v>
      </c>
      <c r="T11" s="14">
        <v>0.228139968848042</v>
      </c>
      <c r="U11" s="14">
        <v>0.27452136575243202</v>
      </c>
      <c r="V11" s="14">
        <v>0.287931956794095</v>
      </c>
      <c r="W11" s="14">
        <v>0.180236868896687</v>
      </c>
      <c r="X11" s="14">
        <v>0.17040863249624899</v>
      </c>
      <c r="Y11" s="14">
        <v>0.209439255908348</v>
      </c>
      <c r="Z11" s="14">
        <v>0.177422474226274</v>
      </c>
      <c r="AA11" s="14"/>
      <c r="AB11" s="14">
        <v>0.21806464640811599</v>
      </c>
      <c r="AC11" s="14">
        <v>0.150170970640923</v>
      </c>
      <c r="AD11" s="14">
        <v>0.19298927937456201</v>
      </c>
      <c r="AE11" s="14">
        <v>0.243007208020355</v>
      </c>
      <c r="AF11" s="14"/>
      <c r="AG11" s="14">
        <v>0.18736434974742899</v>
      </c>
      <c r="AH11" s="14">
        <v>0.142330858951523</v>
      </c>
      <c r="AI11" s="14"/>
      <c r="AJ11" s="14">
        <v>0.17321240826439299</v>
      </c>
      <c r="AK11" s="14">
        <v>0.26437722564740002</v>
      </c>
      <c r="AL11" s="14"/>
      <c r="AM11" s="14">
        <v>0.182857809652855</v>
      </c>
      <c r="AN11" s="14">
        <v>0.27566641321848401</v>
      </c>
    </row>
    <row r="12" spans="2:40" x14ac:dyDescent="0.35">
      <c r="B12" s="15" t="s">
        <v>158</v>
      </c>
      <c r="C12" s="14">
        <v>0.11400364929349099</v>
      </c>
      <c r="D12" s="14">
        <v>9.1684954423714604E-2</v>
      </c>
      <c r="E12" s="14">
        <v>0.14194241142331099</v>
      </c>
      <c r="F12" s="14"/>
      <c r="G12" s="14" t="s">
        <v>76</v>
      </c>
      <c r="H12" s="14" t="s">
        <v>76</v>
      </c>
      <c r="I12" s="14">
        <v>0.11400364929349099</v>
      </c>
      <c r="J12" s="14"/>
      <c r="K12" s="14" t="s">
        <v>76</v>
      </c>
      <c r="L12" s="14">
        <v>0.123810641437217</v>
      </c>
      <c r="M12" s="14">
        <v>9.4619497769958899E-2</v>
      </c>
      <c r="N12" s="14"/>
      <c r="O12" s="14">
        <v>0.13449201161434499</v>
      </c>
      <c r="P12" s="14">
        <v>8.9169507431539792E-3</v>
      </c>
      <c r="Q12" s="14"/>
      <c r="R12" s="14">
        <v>5.4001351917111001E-2</v>
      </c>
      <c r="S12" s="14">
        <v>0.120361329479336</v>
      </c>
      <c r="T12" s="14">
        <v>8.3137629143435698E-2</v>
      </c>
      <c r="U12" s="14">
        <v>0.101213346367319</v>
      </c>
      <c r="V12" s="14">
        <v>0.13726009070648301</v>
      </c>
      <c r="W12" s="14">
        <v>0.107559402073987</v>
      </c>
      <c r="X12" s="14">
        <v>0.17963195062679799</v>
      </c>
      <c r="Y12" s="14">
        <v>0.18192550249310099</v>
      </c>
      <c r="Z12" s="14">
        <v>0.13437348474782199</v>
      </c>
      <c r="AA12" s="14"/>
      <c r="AB12" s="14">
        <v>0.14939619146585301</v>
      </c>
      <c r="AC12" s="14">
        <v>0.10878016893942601</v>
      </c>
      <c r="AD12" s="14">
        <v>6.7258437761662807E-2</v>
      </c>
      <c r="AE12" s="14">
        <v>0.11397522165502701</v>
      </c>
      <c r="AF12" s="14"/>
      <c r="AG12" s="14">
        <v>4.4114646591377399E-2</v>
      </c>
      <c r="AH12" s="14">
        <v>0</v>
      </c>
      <c r="AI12" s="14"/>
      <c r="AJ12" s="14">
        <v>3.025145530702E-2</v>
      </c>
      <c r="AK12" s="14">
        <v>0.15973260644779499</v>
      </c>
      <c r="AL12" s="14"/>
      <c r="AM12" s="14">
        <v>8.4147446956419694E-2</v>
      </c>
      <c r="AN12" s="14">
        <v>0.23976845455587001</v>
      </c>
    </row>
    <row r="13" spans="2:40" x14ac:dyDescent="0.35">
      <c r="B13" s="15" t="s">
        <v>70</v>
      </c>
      <c r="C13" s="20">
        <v>9.8510776463717302E-3</v>
      </c>
      <c r="D13" s="20">
        <v>1.19865145577434E-2</v>
      </c>
      <c r="E13" s="20">
        <v>3.6906487052811299E-3</v>
      </c>
      <c r="F13" s="20"/>
      <c r="G13" s="20" t="s">
        <v>76</v>
      </c>
      <c r="H13" s="20" t="s">
        <v>76</v>
      </c>
      <c r="I13" s="20">
        <v>9.8510776463717302E-3</v>
      </c>
      <c r="J13" s="20"/>
      <c r="K13" s="20" t="s">
        <v>76</v>
      </c>
      <c r="L13" s="20">
        <v>1.48350172822088E-2</v>
      </c>
      <c r="M13" s="20">
        <v>0</v>
      </c>
      <c r="N13" s="20"/>
      <c r="O13" s="20">
        <v>9.8435341772312498E-3</v>
      </c>
      <c r="P13" s="20">
        <v>0</v>
      </c>
      <c r="Q13" s="20"/>
      <c r="R13" s="20">
        <v>9.6386085791437294E-3</v>
      </c>
      <c r="S13" s="20">
        <v>9.6522843678320206E-3</v>
      </c>
      <c r="T13" s="20">
        <v>1.8433520557593099E-2</v>
      </c>
      <c r="U13" s="20">
        <v>3.1728795693669098E-2</v>
      </c>
      <c r="V13" s="20">
        <v>0</v>
      </c>
      <c r="W13" s="20">
        <v>1.3289914712192701E-2</v>
      </c>
      <c r="X13" s="20">
        <v>0</v>
      </c>
      <c r="Y13" s="20">
        <v>0</v>
      </c>
      <c r="Z13" s="20">
        <v>0</v>
      </c>
      <c r="AA13" s="20"/>
      <c r="AB13" s="20">
        <v>2.4598301051880701E-2</v>
      </c>
      <c r="AC13" s="20">
        <v>0</v>
      </c>
      <c r="AD13" s="20">
        <v>0</v>
      </c>
      <c r="AE13" s="20">
        <v>0</v>
      </c>
      <c r="AF13" s="20"/>
      <c r="AG13" s="20">
        <v>0</v>
      </c>
      <c r="AH13" s="20">
        <v>0</v>
      </c>
      <c r="AI13" s="20"/>
      <c r="AJ13" s="20">
        <v>0</v>
      </c>
      <c r="AK13" s="20">
        <v>0</v>
      </c>
      <c r="AL13" s="20"/>
      <c r="AM13" s="20">
        <v>0</v>
      </c>
      <c r="AN13" s="20">
        <v>2.55456366815127E-2</v>
      </c>
    </row>
    <row r="14" spans="2:40" x14ac:dyDescent="0.35">
      <c r="B14" s="27" t="s">
        <v>312</v>
      </c>
    </row>
    <row r="15" spans="2:40" x14ac:dyDescent="0.35">
      <c r="B15" t="s">
        <v>72</v>
      </c>
    </row>
    <row r="16" spans="2:40" x14ac:dyDescent="0.35">
      <c r="B16" t="s">
        <v>73</v>
      </c>
    </row>
    <row r="18" spans="2:2" x14ac:dyDescent="0.35">
      <c r="B18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dimension ref="B2:AN19"/>
  <sheetViews>
    <sheetView showGridLines="0" workbookViewId="0">
      <pane xSplit="2" topLeftCell="C1" activePane="topRight" state="frozen"/>
      <selection pane="topRight" activeCell="B19" sqref="B19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291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544</v>
      </c>
      <c r="D7" s="10">
        <v>305</v>
      </c>
      <c r="E7" s="10">
        <v>236</v>
      </c>
      <c r="F7" s="10"/>
      <c r="G7" s="10" t="s">
        <v>75</v>
      </c>
      <c r="H7" s="10" t="s">
        <v>75</v>
      </c>
      <c r="I7" s="10">
        <v>544</v>
      </c>
      <c r="J7" s="10"/>
      <c r="K7" s="10" t="s">
        <v>75</v>
      </c>
      <c r="L7" s="10">
        <v>413</v>
      </c>
      <c r="M7" s="10">
        <v>131</v>
      </c>
      <c r="N7" s="10"/>
      <c r="O7" s="10">
        <v>444</v>
      </c>
      <c r="P7" s="10">
        <v>90</v>
      </c>
      <c r="Q7" s="10"/>
      <c r="R7" s="10">
        <v>86</v>
      </c>
      <c r="S7" s="10">
        <v>96</v>
      </c>
      <c r="T7" s="10">
        <v>42</v>
      </c>
      <c r="U7" s="10">
        <v>56</v>
      </c>
      <c r="V7" s="10">
        <v>48</v>
      </c>
      <c r="W7" s="10">
        <v>63</v>
      </c>
      <c r="X7" s="10">
        <v>36</v>
      </c>
      <c r="Y7" s="10">
        <v>28</v>
      </c>
      <c r="Z7" s="10">
        <v>89</v>
      </c>
      <c r="AA7" s="10"/>
      <c r="AB7" s="10">
        <v>78</v>
      </c>
      <c r="AC7" s="10">
        <v>75</v>
      </c>
      <c r="AD7" s="10">
        <v>61</v>
      </c>
      <c r="AE7" s="10">
        <v>54</v>
      </c>
      <c r="AF7" s="10"/>
      <c r="AG7" s="10">
        <v>51</v>
      </c>
      <c r="AH7" s="10">
        <v>19</v>
      </c>
      <c r="AI7" s="10"/>
      <c r="AJ7" s="10">
        <v>70</v>
      </c>
      <c r="AK7" s="10">
        <v>51</v>
      </c>
      <c r="AL7" s="10"/>
      <c r="AM7" s="10">
        <v>348</v>
      </c>
      <c r="AN7" s="10">
        <v>85</v>
      </c>
    </row>
    <row r="8" spans="2:40" ht="30" customHeight="1" x14ac:dyDescent="0.35">
      <c r="B8" s="11" t="s">
        <v>20</v>
      </c>
      <c r="C8" s="11">
        <v>499</v>
      </c>
      <c r="D8" s="11">
        <v>268</v>
      </c>
      <c r="E8" s="11">
        <v>228</v>
      </c>
      <c r="F8" s="11"/>
      <c r="G8" s="11" t="s">
        <v>75</v>
      </c>
      <c r="H8" s="11" t="s">
        <v>75</v>
      </c>
      <c r="I8" s="11">
        <v>499</v>
      </c>
      <c r="J8" s="11"/>
      <c r="K8" s="11" t="s">
        <v>75</v>
      </c>
      <c r="L8" s="11">
        <v>332</v>
      </c>
      <c r="M8" s="11">
        <v>168</v>
      </c>
      <c r="N8" s="11"/>
      <c r="O8" s="11">
        <v>412</v>
      </c>
      <c r="P8" s="11">
        <v>79</v>
      </c>
      <c r="Q8" s="11"/>
      <c r="R8" s="11">
        <v>89</v>
      </c>
      <c r="S8" s="11">
        <v>87</v>
      </c>
      <c r="T8" s="11">
        <v>43</v>
      </c>
      <c r="U8" s="11">
        <v>58</v>
      </c>
      <c r="V8" s="11">
        <v>41</v>
      </c>
      <c r="W8" s="11">
        <v>45</v>
      </c>
      <c r="X8" s="11">
        <v>47</v>
      </c>
      <c r="Y8" s="11">
        <v>26</v>
      </c>
      <c r="Z8" s="11">
        <v>64</v>
      </c>
      <c r="AA8" s="11"/>
      <c r="AB8" s="11">
        <v>59</v>
      </c>
      <c r="AC8" s="11">
        <v>59</v>
      </c>
      <c r="AD8" s="11">
        <v>82</v>
      </c>
      <c r="AE8" s="11">
        <v>67</v>
      </c>
      <c r="AF8" s="11"/>
      <c r="AG8" s="11">
        <v>59</v>
      </c>
      <c r="AH8" s="11">
        <v>27</v>
      </c>
      <c r="AI8" s="11"/>
      <c r="AJ8" s="11">
        <v>87</v>
      </c>
      <c r="AK8" s="11">
        <v>70</v>
      </c>
      <c r="AL8" s="11"/>
      <c r="AM8" s="11">
        <v>307</v>
      </c>
      <c r="AN8" s="11">
        <v>88</v>
      </c>
    </row>
    <row r="9" spans="2:40" x14ac:dyDescent="0.35">
      <c r="B9" s="15" t="s">
        <v>160</v>
      </c>
      <c r="C9" s="14">
        <v>0.18389863089584399</v>
      </c>
      <c r="D9" s="14">
        <v>0.19584108627654401</v>
      </c>
      <c r="E9" s="14">
        <v>0.1690507993467</v>
      </c>
      <c r="F9" s="14"/>
      <c r="G9" s="14" t="s">
        <v>76</v>
      </c>
      <c r="H9" s="14" t="s">
        <v>76</v>
      </c>
      <c r="I9" s="14">
        <v>0.18389863089584399</v>
      </c>
      <c r="J9" s="14"/>
      <c r="K9" s="14" t="s">
        <v>76</v>
      </c>
      <c r="L9" s="14">
        <v>0.20525872999512099</v>
      </c>
      <c r="M9" s="14">
        <v>0.141679019476767</v>
      </c>
      <c r="N9" s="14"/>
      <c r="O9" s="14">
        <v>0.14305553109306901</v>
      </c>
      <c r="P9" s="14">
        <v>0.36838358437865798</v>
      </c>
      <c r="Q9" s="14"/>
      <c r="R9" s="14">
        <v>0.26845580427492399</v>
      </c>
      <c r="S9" s="14">
        <v>0.104272619820659</v>
      </c>
      <c r="T9" s="14">
        <v>0.25098061124014598</v>
      </c>
      <c r="U9" s="14">
        <v>0.17568201635039701</v>
      </c>
      <c r="V9" s="14">
        <v>0.153550428815933</v>
      </c>
      <c r="W9" s="14">
        <v>0.10195615609835</v>
      </c>
      <c r="X9" s="14">
        <v>0.14979224165736599</v>
      </c>
      <c r="Y9" s="14">
        <v>0.172417698917608</v>
      </c>
      <c r="Z9" s="14">
        <v>0.24368983966587099</v>
      </c>
      <c r="AA9" s="14"/>
      <c r="AB9" s="14">
        <v>0.17252249895024099</v>
      </c>
      <c r="AC9" s="14">
        <v>0.31375797414624301</v>
      </c>
      <c r="AD9" s="14">
        <v>0.132055759680066</v>
      </c>
      <c r="AE9" s="14">
        <v>0.110165400508346</v>
      </c>
      <c r="AF9" s="14"/>
      <c r="AG9" s="14">
        <v>0.22341261243982399</v>
      </c>
      <c r="AH9" s="14">
        <v>0.24184849896760599</v>
      </c>
      <c r="AI9" s="14"/>
      <c r="AJ9" s="14">
        <v>0.229206158148094</v>
      </c>
      <c r="AK9" s="14">
        <v>3.4904406381442897E-2</v>
      </c>
      <c r="AL9" s="14"/>
      <c r="AM9" s="14">
        <v>0.26445612948193398</v>
      </c>
      <c r="AN9" s="14">
        <v>3.9649144057374602E-2</v>
      </c>
    </row>
    <row r="10" spans="2:40" x14ac:dyDescent="0.35">
      <c r="B10" s="15" t="s">
        <v>161</v>
      </c>
      <c r="C10" s="14">
        <v>0.45831953546444398</v>
      </c>
      <c r="D10" s="14">
        <v>0.471849675237347</v>
      </c>
      <c r="E10" s="14">
        <v>0.441674096427146</v>
      </c>
      <c r="F10" s="14"/>
      <c r="G10" s="14" t="s">
        <v>76</v>
      </c>
      <c r="H10" s="14" t="s">
        <v>76</v>
      </c>
      <c r="I10" s="14">
        <v>0.45831953546444398</v>
      </c>
      <c r="J10" s="14"/>
      <c r="K10" s="14" t="s">
        <v>76</v>
      </c>
      <c r="L10" s="14">
        <v>0.463541493730662</v>
      </c>
      <c r="M10" s="14">
        <v>0.44799799866718198</v>
      </c>
      <c r="N10" s="14"/>
      <c r="O10" s="14">
        <v>0.47787634266158102</v>
      </c>
      <c r="P10" s="14">
        <v>0.36787475043338402</v>
      </c>
      <c r="Q10" s="14"/>
      <c r="R10" s="14">
        <v>0.55433280569823296</v>
      </c>
      <c r="S10" s="14">
        <v>0.41310557931717001</v>
      </c>
      <c r="T10" s="14">
        <v>0.44268987392184</v>
      </c>
      <c r="U10" s="14">
        <v>0.32354264375839598</v>
      </c>
      <c r="V10" s="14">
        <v>0.35699955000273897</v>
      </c>
      <c r="W10" s="14">
        <v>0.49583768674131601</v>
      </c>
      <c r="X10" s="14">
        <v>0.54239550211995902</v>
      </c>
      <c r="Y10" s="14">
        <v>0.46520219836444399</v>
      </c>
      <c r="Z10" s="14">
        <v>0.49314779951652998</v>
      </c>
      <c r="AA10" s="14"/>
      <c r="AB10" s="14">
        <v>0.42225857597830702</v>
      </c>
      <c r="AC10" s="14">
        <v>0.518551696479431</v>
      </c>
      <c r="AD10" s="14">
        <v>0.41455442363279899</v>
      </c>
      <c r="AE10" s="14">
        <v>0.52642167447519705</v>
      </c>
      <c r="AF10" s="14"/>
      <c r="AG10" s="14">
        <v>0.477092560968572</v>
      </c>
      <c r="AH10" s="14">
        <v>0.47723202624573502</v>
      </c>
      <c r="AI10" s="14"/>
      <c r="AJ10" s="14">
        <v>0.477136388449108</v>
      </c>
      <c r="AK10" s="14">
        <v>0.41814155767823202</v>
      </c>
      <c r="AL10" s="14"/>
      <c r="AM10" s="14">
        <v>0.52335012685578797</v>
      </c>
      <c r="AN10" s="14">
        <v>0.29092671646550899</v>
      </c>
    </row>
    <row r="11" spans="2:40" x14ac:dyDescent="0.35">
      <c r="B11" s="15" t="s">
        <v>162</v>
      </c>
      <c r="C11" s="14">
        <v>0.26649663890561398</v>
      </c>
      <c r="D11" s="14">
        <v>0.25056023932851201</v>
      </c>
      <c r="E11" s="14">
        <v>0.289213489305646</v>
      </c>
      <c r="F11" s="14"/>
      <c r="G11" s="14" t="s">
        <v>76</v>
      </c>
      <c r="H11" s="14" t="s">
        <v>76</v>
      </c>
      <c r="I11" s="14">
        <v>0.26649663890561398</v>
      </c>
      <c r="J11" s="14"/>
      <c r="K11" s="14" t="s">
        <v>76</v>
      </c>
      <c r="L11" s="14">
        <v>0.239869305672224</v>
      </c>
      <c r="M11" s="14">
        <v>0.31912727779052602</v>
      </c>
      <c r="N11" s="14"/>
      <c r="O11" s="14">
        <v>0.27458741869568898</v>
      </c>
      <c r="P11" s="14">
        <v>0.242316891368308</v>
      </c>
      <c r="Q11" s="14"/>
      <c r="R11" s="14">
        <v>7.9853197634391304E-2</v>
      </c>
      <c r="S11" s="14">
        <v>0.39245370824392201</v>
      </c>
      <c r="T11" s="14">
        <v>0.244938073964278</v>
      </c>
      <c r="U11" s="14">
        <v>0.40511999548378302</v>
      </c>
      <c r="V11" s="14">
        <v>0.41157621460827798</v>
      </c>
      <c r="W11" s="14">
        <v>0.26805253431888798</v>
      </c>
      <c r="X11" s="14">
        <v>0.20303870181623301</v>
      </c>
      <c r="Y11" s="14">
        <v>0.23334801007476899</v>
      </c>
      <c r="Z11" s="14">
        <v>0.209548355230806</v>
      </c>
      <c r="AA11" s="14"/>
      <c r="AB11" s="14">
        <v>0.29745692604333801</v>
      </c>
      <c r="AC11" s="14">
        <v>0.15248123212346601</v>
      </c>
      <c r="AD11" s="14">
        <v>0.35391849144981202</v>
      </c>
      <c r="AE11" s="14">
        <v>0.33030173080208702</v>
      </c>
      <c r="AF11" s="14"/>
      <c r="AG11" s="14">
        <v>0.29949482659160498</v>
      </c>
      <c r="AH11" s="14">
        <v>0.19794910556665599</v>
      </c>
      <c r="AI11" s="14"/>
      <c r="AJ11" s="14">
        <v>0.26758370719136398</v>
      </c>
      <c r="AK11" s="14">
        <v>0.411042961328485</v>
      </c>
      <c r="AL11" s="14"/>
      <c r="AM11" s="14">
        <v>0.195881312799985</v>
      </c>
      <c r="AN11" s="14">
        <v>0.358412650197109</v>
      </c>
    </row>
    <row r="12" spans="2:40" x14ac:dyDescent="0.35">
      <c r="B12" s="15" t="s">
        <v>163</v>
      </c>
      <c r="C12" s="14">
        <v>7.5386662450376896E-2</v>
      </c>
      <c r="D12" s="14">
        <v>6.7844323266439202E-2</v>
      </c>
      <c r="E12" s="14">
        <v>8.1581719176518699E-2</v>
      </c>
      <c r="F12" s="14"/>
      <c r="G12" s="14" t="s">
        <v>76</v>
      </c>
      <c r="H12" s="14" t="s">
        <v>76</v>
      </c>
      <c r="I12" s="14">
        <v>7.5386662450376896E-2</v>
      </c>
      <c r="J12" s="14"/>
      <c r="K12" s="14" t="s">
        <v>76</v>
      </c>
      <c r="L12" s="14">
        <v>6.9723399365514097E-2</v>
      </c>
      <c r="M12" s="14">
        <v>8.6580466640873502E-2</v>
      </c>
      <c r="N12" s="14"/>
      <c r="O12" s="14">
        <v>8.7498543014792401E-2</v>
      </c>
      <c r="P12" s="14">
        <v>9.4630642640114605E-3</v>
      </c>
      <c r="Q12" s="14"/>
      <c r="R12" s="14">
        <v>8.7719583813307606E-2</v>
      </c>
      <c r="S12" s="14">
        <v>7.1930035236840606E-2</v>
      </c>
      <c r="T12" s="14">
        <v>3.9398951209093397E-2</v>
      </c>
      <c r="U12" s="14">
        <v>7.8873917035935701E-2</v>
      </c>
      <c r="V12" s="14">
        <v>3.89400981418873E-2</v>
      </c>
      <c r="W12" s="14">
        <v>0.134153622841446</v>
      </c>
      <c r="X12" s="14">
        <v>8.0846980386611006E-2</v>
      </c>
      <c r="Y12" s="14">
        <v>9.6325050788519898E-2</v>
      </c>
      <c r="Z12" s="14">
        <v>5.3614005586792197E-2</v>
      </c>
      <c r="AA12" s="14"/>
      <c r="AB12" s="14">
        <v>6.6699843105434697E-2</v>
      </c>
      <c r="AC12" s="14">
        <v>1.52090972508591E-2</v>
      </c>
      <c r="AD12" s="14">
        <v>9.0060353788513597E-2</v>
      </c>
      <c r="AE12" s="14">
        <v>3.3111194214371101E-2</v>
      </c>
      <c r="AF12" s="14"/>
      <c r="AG12" s="14">
        <v>0</v>
      </c>
      <c r="AH12" s="14">
        <v>8.2970369220002699E-2</v>
      </c>
      <c r="AI12" s="14"/>
      <c r="AJ12" s="14">
        <v>2.6073746211433699E-2</v>
      </c>
      <c r="AK12" s="14">
        <v>0.124896929054178</v>
      </c>
      <c r="AL12" s="14"/>
      <c r="AM12" s="14">
        <v>1.6312430862292501E-2</v>
      </c>
      <c r="AN12" s="14">
        <v>0.28346301068850499</v>
      </c>
    </row>
    <row r="13" spans="2:40" x14ac:dyDescent="0.35">
      <c r="B13" s="15" t="s">
        <v>70</v>
      </c>
      <c r="C13" s="21">
        <v>1.58985322837214E-2</v>
      </c>
      <c r="D13" s="21">
        <v>1.39046758911583E-2</v>
      </c>
      <c r="E13" s="21">
        <v>1.84798957439893E-2</v>
      </c>
      <c r="F13" s="21"/>
      <c r="G13" s="21" t="s">
        <v>76</v>
      </c>
      <c r="H13" s="21" t="s">
        <v>76</v>
      </c>
      <c r="I13" s="21">
        <v>1.58985322837214E-2</v>
      </c>
      <c r="J13" s="21"/>
      <c r="K13" s="21" t="s">
        <v>76</v>
      </c>
      <c r="L13" s="21">
        <v>2.16070712364788E-2</v>
      </c>
      <c r="M13" s="21">
        <v>4.6152374246522703E-3</v>
      </c>
      <c r="N13" s="21"/>
      <c r="O13" s="21">
        <v>1.69821645348688E-2</v>
      </c>
      <c r="P13" s="21">
        <v>1.1961709555637899E-2</v>
      </c>
      <c r="Q13" s="21"/>
      <c r="R13" s="21">
        <v>9.6386085791437294E-3</v>
      </c>
      <c r="S13" s="21">
        <v>1.8238057381408199E-2</v>
      </c>
      <c r="T13" s="21">
        <v>2.1992489664642199E-2</v>
      </c>
      <c r="U13" s="21">
        <v>1.6781427371488598E-2</v>
      </c>
      <c r="V13" s="21">
        <v>3.8933708431163498E-2</v>
      </c>
      <c r="W13" s="21">
        <v>0</v>
      </c>
      <c r="X13" s="21">
        <v>2.3926574019830501E-2</v>
      </c>
      <c r="Y13" s="21">
        <v>3.2707041854659197E-2</v>
      </c>
      <c r="Z13" s="21">
        <v>0</v>
      </c>
      <c r="AA13" s="21"/>
      <c r="AB13" s="21">
        <v>4.1062155922679297E-2</v>
      </c>
      <c r="AC13" s="21">
        <v>0</v>
      </c>
      <c r="AD13" s="21">
        <v>9.4109714488100696E-3</v>
      </c>
      <c r="AE13" s="21">
        <v>0</v>
      </c>
      <c r="AF13" s="21"/>
      <c r="AG13" s="21">
        <v>0</v>
      </c>
      <c r="AH13" s="21">
        <v>0</v>
      </c>
      <c r="AI13" s="21"/>
      <c r="AJ13" s="21">
        <v>0</v>
      </c>
      <c r="AK13" s="21">
        <v>1.10141455576612E-2</v>
      </c>
      <c r="AL13" s="21"/>
      <c r="AM13" s="21">
        <v>0</v>
      </c>
      <c r="AN13" s="21">
        <v>2.75484785915023E-2</v>
      </c>
    </row>
    <row r="14" spans="2:40" x14ac:dyDescent="0.35">
      <c r="B14" s="15" t="s">
        <v>164</v>
      </c>
      <c r="C14" s="30">
        <v>0.64221816636028795</v>
      </c>
      <c r="D14" s="30">
        <v>0.66769076151389095</v>
      </c>
      <c r="E14" s="30">
        <v>0.61072489577384603</v>
      </c>
      <c r="F14" s="30"/>
      <c r="G14" s="30" t="s">
        <v>76</v>
      </c>
      <c r="H14" s="30" t="s">
        <v>76</v>
      </c>
      <c r="I14" s="30">
        <v>0.64221816636028795</v>
      </c>
      <c r="J14" s="30"/>
      <c r="K14" s="30" t="s">
        <v>76</v>
      </c>
      <c r="L14" s="30">
        <v>0.66880022372578296</v>
      </c>
      <c r="M14" s="30">
        <v>0.58967701814394902</v>
      </c>
      <c r="N14" s="30"/>
      <c r="O14" s="30">
        <v>0.62093187375464998</v>
      </c>
      <c r="P14" s="30">
        <v>0.73625833481204195</v>
      </c>
      <c r="Q14" s="30"/>
      <c r="R14" s="30">
        <v>0.82278860997315695</v>
      </c>
      <c r="S14" s="30">
        <v>0.51737819913782901</v>
      </c>
      <c r="T14" s="30">
        <v>0.69367048516198604</v>
      </c>
      <c r="U14" s="30">
        <v>0.49922466010879302</v>
      </c>
      <c r="V14" s="30">
        <v>0.51054997881867203</v>
      </c>
      <c r="W14" s="30">
        <v>0.59779384283966597</v>
      </c>
      <c r="X14" s="30">
        <v>0.69218774377732495</v>
      </c>
      <c r="Y14" s="30">
        <v>0.63761989728205204</v>
      </c>
      <c r="Z14" s="30">
        <v>0.73683763918240097</v>
      </c>
      <c r="AA14" s="30"/>
      <c r="AB14" s="30">
        <v>0.59478107492854804</v>
      </c>
      <c r="AC14" s="30">
        <v>0.83230967062567496</v>
      </c>
      <c r="AD14" s="30">
        <v>0.54661018331286504</v>
      </c>
      <c r="AE14" s="30">
        <v>0.63658707498354195</v>
      </c>
      <c r="AF14" s="30"/>
      <c r="AG14" s="30">
        <v>0.70050517340839502</v>
      </c>
      <c r="AH14" s="30">
        <v>0.71908052521334198</v>
      </c>
      <c r="AI14" s="30"/>
      <c r="AJ14" s="30">
        <v>0.70634254659720197</v>
      </c>
      <c r="AK14" s="30">
        <v>0.45304596405967501</v>
      </c>
      <c r="AL14" s="30"/>
      <c r="AM14" s="30">
        <v>0.78780625633772206</v>
      </c>
      <c r="AN14" s="30">
        <v>0.33057586052288401</v>
      </c>
    </row>
    <row r="15" spans="2:40" x14ac:dyDescent="0.35">
      <c r="B15" s="27" t="s">
        <v>312</v>
      </c>
    </row>
    <row r="16" spans="2:40" x14ac:dyDescent="0.35">
      <c r="B16" t="s">
        <v>72</v>
      </c>
    </row>
    <row r="17" spans="2:2" x14ac:dyDescent="0.35">
      <c r="B17" t="s">
        <v>73</v>
      </c>
    </row>
    <row r="19" spans="2:2" x14ac:dyDescent="0.35">
      <c r="B19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dimension ref="B2:AN18"/>
  <sheetViews>
    <sheetView showGridLines="0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292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544</v>
      </c>
      <c r="D7" s="10">
        <v>305</v>
      </c>
      <c r="E7" s="10">
        <v>236</v>
      </c>
      <c r="F7" s="10"/>
      <c r="G7" s="10" t="s">
        <v>75</v>
      </c>
      <c r="H7" s="10" t="s">
        <v>75</v>
      </c>
      <c r="I7" s="10">
        <v>544</v>
      </c>
      <c r="J7" s="10"/>
      <c r="K7" s="10" t="s">
        <v>75</v>
      </c>
      <c r="L7" s="10">
        <v>413</v>
      </c>
      <c r="M7" s="10">
        <v>131</v>
      </c>
      <c r="N7" s="10"/>
      <c r="O7" s="10">
        <v>444</v>
      </c>
      <c r="P7" s="10">
        <v>90</v>
      </c>
      <c r="Q7" s="10"/>
      <c r="R7" s="10">
        <v>86</v>
      </c>
      <c r="S7" s="10">
        <v>96</v>
      </c>
      <c r="T7" s="10">
        <v>42</v>
      </c>
      <c r="U7" s="10">
        <v>56</v>
      </c>
      <c r="V7" s="10">
        <v>48</v>
      </c>
      <c r="W7" s="10">
        <v>63</v>
      </c>
      <c r="X7" s="10">
        <v>36</v>
      </c>
      <c r="Y7" s="10">
        <v>28</v>
      </c>
      <c r="Z7" s="10">
        <v>89</v>
      </c>
      <c r="AA7" s="10"/>
      <c r="AB7" s="10">
        <v>78</v>
      </c>
      <c r="AC7" s="10">
        <v>75</v>
      </c>
      <c r="AD7" s="10">
        <v>61</v>
      </c>
      <c r="AE7" s="10">
        <v>54</v>
      </c>
      <c r="AF7" s="10"/>
      <c r="AG7" s="10">
        <v>51</v>
      </c>
      <c r="AH7" s="10">
        <v>19</v>
      </c>
      <c r="AI7" s="10"/>
      <c r="AJ7" s="10">
        <v>70</v>
      </c>
      <c r="AK7" s="10">
        <v>51</v>
      </c>
      <c r="AL7" s="10"/>
      <c r="AM7" s="10">
        <v>348</v>
      </c>
      <c r="AN7" s="10">
        <v>85</v>
      </c>
    </row>
    <row r="8" spans="2:40" ht="30" customHeight="1" x14ac:dyDescent="0.35">
      <c r="B8" s="11" t="s">
        <v>20</v>
      </c>
      <c r="C8" s="11">
        <v>499</v>
      </c>
      <c r="D8" s="11">
        <v>268</v>
      </c>
      <c r="E8" s="11">
        <v>228</v>
      </c>
      <c r="F8" s="11"/>
      <c r="G8" s="11" t="s">
        <v>75</v>
      </c>
      <c r="H8" s="11" t="s">
        <v>75</v>
      </c>
      <c r="I8" s="11">
        <v>499</v>
      </c>
      <c r="J8" s="11"/>
      <c r="K8" s="11" t="s">
        <v>75</v>
      </c>
      <c r="L8" s="11">
        <v>332</v>
      </c>
      <c r="M8" s="11">
        <v>168</v>
      </c>
      <c r="N8" s="11"/>
      <c r="O8" s="11">
        <v>412</v>
      </c>
      <c r="P8" s="11">
        <v>79</v>
      </c>
      <c r="Q8" s="11"/>
      <c r="R8" s="11">
        <v>89</v>
      </c>
      <c r="S8" s="11">
        <v>87</v>
      </c>
      <c r="T8" s="11">
        <v>43</v>
      </c>
      <c r="U8" s="11">
        <v>58</v>
      </c>
      <c r="V8" s="11">
        <v>41</v>
      </c>
      <c r="W8" s="11">
        <v>45</v>
      </c>
      <c r="X8" s="11">
        <v>47</v>
      </c>
      <c r="Y8" s="11">
        <v>26</v>
      </c>
      <c r="Z8" s="11">
        <v>64</v>
      </c>
      <c r="AA8" s="11"/>
      <c r="AB8" s="11">
        <v>59</v>
      </c>
      <c r="AC8" s="11">
        <v>59</v>
      </c>
      <c r="AD8" s="11">
        <v>82</v>
      </c>
      <c r="AE8" s="11">
        <v>67</v>
      </c>
      <c r="AF8" s="11"/>
      <c r="AG8" s="11">
        <v>59</v>
      </c>
      <c r="AH8" s="11">
        <v>27</v>
      </c>
      <c r="AI8" s="11"/>
      <c r="AJ8" s="11">
        <v>87</v>
      </c>
      <c r="AK8" s="11">
        <v>70</v>
      </c>
      <c r="AL8" s="11"/>
      <c r="AM8" s="11">
        <v>307</v>
      </c>
      <c r="AN8" s="11">
        <v>88</v>
      </c>
    </row>
    <row r="9" spans="2:40" x14ac:dyDescent="0.35">
      <c r="B9" s="15" t="s">
        <v>166</v>
      </c>
      <c r="C9" s="14">
        <v>0.23855599000675701</v>
      </c>
      <c r="D9" s="14">
        <v>0.25542965333794798</v>
      </c>
      <c r="E9" s="14">
        <v>0.22228895964023199</v>
      </c>
      <c r="F9" s="14"/>
      <c r="G9" s="14" t="s">
        <v>76</v>
      </c>
      <c r="H9" s="14" t="s">
        <v>76</v>
      </c>
      <c r="I9" s="14">
        <v>0.23855599000675701</v>
      </c>
      <c r="J9" s="14"/>
      <c r="K9" s="14" t="s">
        <v>76</v>
      </c>
      <c r="L9" s="14">
        <v>0.25158220420580801</v>
      </c>
      <c r="M9" s="14">
        <v>0.21280883877915699</v>
      </c>
      <c r="N9" s="14"/>
      <c r="O9" s="14">
        <v>0.223764878141509</v>
      </c>
      <c r="P9" s="14">
        <v>0.30106237688903498</v>
      </c>
      <c r="Q9" s="14"/>
      <c r="R9" s="14">
        <v>0.35277119639990501</v>
      </c>
      <c r="S9" s="14">
        <v>0.122125765448067</v>
      </c>
      <c r="T9" s="14">
        <v>0.31344643580614401</v>
      </c>
      <c r="U9" s="14">
        <v>0.16107210191927901</v>
      </c>
      <c r="V9" s="14">
        <v>0.25280018034260499</v>
      </c>
      <c r="W9" s="14">
        <v>0.116969931772184</v>
      </c>
      <c r="X9" s="14">
        <v>0.23074241230672199</v>
      </c>
      <c r="Y9" s="14">
        <v>0.185342626265592</v>
      </c>
      <c r="Z9" s="14">
        <v>0.362125012800739</v>
      </c>
      <c r="AA9" s="14"/>
      <c r="AB9" s="14">
        <v>0.27863582297107897</v>
      </c>
      <c r="AC9" s="14">
        <v>0.30030334942308001</v>
      </c>
      <c r="AD9" s="14">
        <v>0.18144661377394</v>
      </c>
      <c r="AE9" s="14">
        <v>0.227236654988444</v>
      </c>
      <c r="AF9" s="14"/>
      <c r="AG9" s="14">
        <v>0.35564778500592698</v>
      </c>
      <c r="AH9" s="14">
        <v>0.26583907626785303</v>
      </c>
      <c r="AI9" s="14"/>
      <c r="AJ9" s="14">
        <v>0.32742506524191101</v>
      </c>
      <c r="AK9" s="14">
        <v>8.3730868547768705E-2</v>
      </c>
      <c r="AL9" s="14"/>
      <c r="AM9" s="14">
        <v>0.33737570428993302</v>
      </c>
      <c r="AN9" s="14">
        <v>6.5199819060925701E-2</v>
      </c>
    </row>
    <row r="10" spans="2:40" x14ac:dyDescent="0.35">
      <c r="B10" s="15" t="s">
        <v>167</v>
      </c>
      <c r="C10" s="14">
        <v>0.39518034463901203</v>
      </c>
      <c r="D10" s="14">
        <v>0.40533134677678001</v>
      </c>
      <c r="E10" s="14">
        <v>0.37800292602692798</v>
      </c>
      <c r="F10" s="14"/>
      <c r="G10" s="14" t="s">
        <v>76</v>
      </c>
      <c r="H10" s="14" t="s">
        <v>76</v>
      </c>
      <c r="I10" s="14">
        <v>0.39518034463901203</v>
      </c>
      <c r="J10" s="14"/>
      <c r="K10" s="14" t="s">
        <v>76</v>
      </c>
      <c r="L10" s="14">
        <v>0.41052357544664603</v>
      </c>
      <c r="M10" s="14">
        <v>0.36485346087312898</v>
      </c>
      <c r="N10" s="14"/>
      <c r="O10" s="14">
        <v>0.39197491504431298</v>
      </c>
      <c r="P10" s="14">
        <v>0.40867566080499002</v>
      </c>
      <c r="Q10" s="14"/>
      <c r="R10" s="14">
        <v>0.445285582197533</v>
      </c>
      <c r="S10" s="14">
        <v>0.42936961617452601</v>
      </c>
      <c r="T10" s="14">
        <v>0.362805495201795</v>
      </c>
      <c r="U10" s="14">
        <v>0.360251212328905</v>
      </c>
      <c r="V10" s="14">
        <v>0.33690381688243598</v>
      </c>
      <c r="W10" s="14">
        <v>0.41050899451575501</v>
      </c>
      <c r="X10" s="14">
        <v>0.390670952736901</v>
      </c>
      <c r="Y10" s="14">
        <v>0.50956765796502901</v>
      </c>
      <c r="Z10" s="14">
        <v>0.31467023235084202</v>
      </c>
      <c r="AA10" s="14"/>
      <c r="AB10" s="14">
        <v>0.29039681046558202</v>
      </c>
      <c r="AC10" s="14">
        <v>0.489096125135219</v>
      </c>
      <c r="AD10" s="14">
        <v>0.32223089981842801</v>
      </c>
      <c r="AE10" s="14">
        <v>0.41929373994753899</v>
      </c>
      <c r="AF10" s="14"/>
      <c r="AG10" s="14">
        <v>0.40764607960882399</v>
      </c>
      <c r="AH10" s="14">
        <v>0.48326725712197899</v>
      </c>
      <c r="AI10" s="14"/>
      <c r="AJ10" s="14">
        <v>0.43141031507292799</v>
      </c>
      <c r="AK10" s="14">
        <v>0.29626717601361202</v>
      </c>
      <c r="AL10" s="14"/>
      <c r="AM10" s="14">
        <v>0.45493030955834002</v>
      </c>
      <c r="AN10" s="14">
        <v>0.26124713039833602</v>
      </c>
    </row>
    <row r="11" spans="2:40" x14ac:dyDescent="0.35">
      <c r="B11" s="15" t="s">
        <v>168</v>
      </c>
      <c r="C11" s="14">
        <v>0.24450045794598901</v>
      </c>
      <c r="D11" s="14">
        <v>0.25576166294109898</v>
      </c>
      <c r="E11" s="14">
        <v>0.23491939186858701</v>
      </c>
      <c r="F11" s="14"/>
      <c r="G11" s="14" t="s">
        <v>76</v>
      </c>
      <c r="H11" s="14" t="s">
        <v>76</v>
      </c>
      <c r="I11" s="14">
        <v>0.24450045794598901</v>
      </c>
      <c r="J11" s="14"/>
      <c r="K11" s="14" t="s">
        <v>76</v>
      </c>
      <c r="L11" s="14">
        <v>0.22287582320616101</v>
      </c>
      <c r="M11" s="14">
        <v>0.28724294109420201</v>
      </c>
      <c r="N11" s="14"/>
      <c r="O11" s="14">
        <v>0.24663386782806501</v>
      </c>
      <c r="P11" s="14">
        <v>0.24897949078973799</v>
      </c>
      <c r="Q11" s="14"/>
      <c r="R11" s="14">
        <v>0.128602177222123</v>
      </c>
      <c r="S11" s="14">
        <v>0.30326164787933402</v>
      </c>
      <c r="T11" s="14">
        <v>0.23801287175675501</v>
      </c>
      <c r="U11" s="14">
        <v>0.32613745795631499</v>
      </c>
      <c r="V11" s="14">
        <v>0.27105996463467302</v>
      </c>
      <c r="W11" s="14">
        <v>0.27164538383484299</v>
      </c>
      <c r="X11" s="14">
        <v>0.19779332570559899</v>
      </c>
      <c r="Y11" s="14">
        <v>0.20876466498085799</v>
      </c>
      <c r="Z11" s="14">
        <v>0.26906461728284298</v>
      </c>
      <c r="AA11" s="14"/>
      <c r="AB11" s="14">
        <v>0.237125635163913</v>
      </c>
      <c r="AC11" s="14">
        <v>0.19963071531631499</v>
      </c>
      <c r="AD11" s="14">
        <v>0.35513727165338099</v>
      </c>
      <c r="AE11" s="14">
        <v>0.26186165543359002</v>
      </c>
      <c r="AF11" s="14"/>
      <c r="AG11" s="14">
        <v>0.22150033097390801</v>
      </c>
      <c r="AH11" s="14">
        <v>0.16792329739016501</v>
      </c>
      <c r="AI11" s="14"/>
      <c r="AJ11" s="14">
        <v>0.20466354948725601</v>
      </c>
      <c r="AK11" s="14">
        <v>0.39216459995644898</v>
      </c>
      <c r="AL11" s="14"/>
      <c r="AM11" s="14">
        <v>0.18130194283394199</v>
      </c>
      <c r="AN11" s="14">
        <v>0.31514904351044198</v>
      </c>
    </row>
    <row r="12" spans="2:40" x14ac:dyDescent="0.35">
      <c r="B12" s="15" t="s">
        <v>169</v>
      </c>
      <c r="C12" s="14">
        <v>0.112995220953788</v>
      </c>
      <c r="D12" s="14">
        <v>7.2783415806412496E-2</v>
      </c>
      <c r="E12" s="14">
        <v>0.161951102893194</v>
      </c>
      <c r="F12" s="14"/>
      <c r="G12" s="14" t="s">
        <v>76</v>
      </c>
      <c r="H12" s="14" t="s">
        <v>76</v>
      </c>
      <c r="I12" s="14">
        <v>0.112995220953788</v>
      </c>
      <c r="J12" s="14"/>
      <c r="K12" s="14" t="s">
        <v>76</v>
      </c>
      <c r="L12" s="14">
        <v>0.101814437610125</v>
      </c>
      <c r="M12" s="14">
        <v>0.135094759253512</v>
      </c>
      <c r="N12" s="14"/>
      <c r="O12" s="14">
        <v>0.129096228009971</v>
      </c>
      <c r="P12" s="14">
        <v>4.1282471516236201E-2</v>
      </c>
      <c r="Q12" s="14"/>
      <c r="R12" s="14">
        <v>7.3341044180439102E-2</v>
      </c>
      <c r="S12" s="14">
        <v>0.145242970498073</v>
      </c>
      <c r="T12" s="14">
        <v>8.5735197235306093E-2</v>
      </c>
      <c r="U12" s="14">
        <v>0.120810432101831</v>
      </c>
      <c r="V12" s="14">
        <v>0.120344490364972</v>
      </c>
      <c r="W12" s="14">
        <v>0.20087568987721799</v>
      </c>
      <c r="X12" s="14">
        <v>0.15686673523094799</v>
      </c>
      <c r="Y12" s="14">
        <v>9.6325050788519898E-2</v>
      </c>
      <c r="Z12" s="14">
        <v>4.3999465477530197E-2</v>
      </c>
      <c r="AA12" s="14"/>
      <c r="AB12" s="14">
        <v>0.19384173139942501</v>
      </c>
      <c r="AC12" s="14">
        <v>0</v>
      </c>
      <c r="AD12" s="14">
        <v>0.141185214754252</v>
      </c>
      <c r="AE12" s="14">
        <v>9.1607949630426899E-2</v>
      </c>
      <c r="AF12" s="14"/>
      <c r="AG12" s="14">
        <v>1.5205804411341299E-2</v>
      </c>
      <c r="AH12" s="14">
        <v>8.2970369220002699E-2</v>
      </c>
      <c r="AI12" s="14"/>
      <c r="AJ12" s="14">
        <v>3.6501070197905099E-2</v>
      </c>
      <c r="AK12" s="14">
        <v>0.22783735548216999</v>
      </c>
      <c r="AL12" s="14"/>
      <c r="AM12" s="14">
        <v>2.4283523016731201E-2</v>
      </c>
      <c r="AN12" s="14">
        <v>0.35840400703029601</v>
      </c>
    </row>
    <row r="13" spans="2:40" x14ac:dyDescent="0.35">
      <c r="B13" s="15" t="s">
        <v>70</v>
      </c>
      <c r="C13" s="20">
        <v>8.7679864544542296E-3</v>
      </c>
      <c r="D13" s="20">
        <v>1.0693921137760101E-2</v>
      </c>
      <c r="E13" s="20">
        <v>2.8376195710579999E-3</v>
      </c>
      <c r="F13" s="20"/>
      <c r="G13" s="20" t="s">
        <v>76</v>
      </c>
      <c r="H13" s="20" t="s">
        <v>76</v>
      </c>
      <c r="I13" s="20">
        <v>8.7679864544542296E-3</v>
      </c>
      <c r="J13" s="20"/>
      <c r="K13" s="20" t="s">
        <v>76</v>
      </c>
      <c r="L13" s="20">
        <v>1.3203959531260899E-2</v>
      </c>
      <c r="M13" s="20">
        <v>0</v>
      </c>
      <c r="N13" s="20"/>
      <c r="O13" s="20">
        <v>8.5301109761427903E-3</v>
      </c>
      <c r="P13" s="20">
        <v>0</v>
      </c>
      <c r="Q13" s="20"/>
      <c r="R13" s="20">
        <v>0</v>
      </c>
      <c r="S13" s="20">
        <v>0</v>
      </c>
      <c r="T13" s="20">
        <v>0</v>
      </c>
      <c r="U13" s="20">
        <v>3.1728795693669098E-2</v>
      </c>
      <c r="V13" s="20">
        <v>1.8891547775312999E-2</v>
      </c>
      <c r="W13" s="20">
        <v>0</v>
      </c>
      <c r="X13" s="20">
        <v>2.3926574019830501E-2</v>
      </c>
      <c r="Y13" s="20">
        <v>0</v>
      </c>
      <c r="Z13" s="20">
        <v>1.0140672088045999E-2</v>
      </c>
      <c r="AA13" s="20"/>
      <c r="AB13" s="20">
        <v>0</v>
      </c>
      <c r="AC13" s="20">
        <v>1.09698101253854E-2</v>
      </c>
      <c r="AD13" s="20">
        <v>0</v>
      </c>
      <c r="AE13" s="20">
        <v>0</v>
      </c>
      <c r="AF13" s="20"/>
      <c r="AG13" s="20">
        <v>0</v>
      </c>
      <c r="AH13" s="20">
        <v>0</v>
      </c>
      <c r="AI13" s="20"/>
      <c r="AJ13" s="20">
        <v>0</v>
      </c>
      <c r="AK13" s="20">
        <v>0</v>
      </c>
      <c r="AL13" s="20"/>
      <c r="AM13" s="20">
        <v>2.1085203010531399E-3</v>
      </c>
      <c r="AN13" s="20">
        <v>0</v>
      </c>
    </row>
    <row r="14" spans="2:40" x14ac:dyDescent="0.35">
      <c r="B14" s="27" t="s">
        <v>312</v>
      </c>
    </row>
    <row r="15" spans="2:40" x14ac:dyDescent="0.35">
      <c r="B15" t="s">
        <v>72</v>
      </c>
    </row>
    <row r="16" spans="2:40" x14ac:dyDescent="0.35">
      <c r="B16" t="s">
        <v>73</v>
      </c>
    </row>
    <row r="18" spans="2:2" x14ac:dyDescent="0.35">
      <c r="B18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dimension ref="B2:AN18"/>
  <sheetViews>
    <sheetView showGridLines="0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293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544</v>
      </c>
      <c r="D7" s="10">
        <v>305</v>
      </c>
      <c r="E7" s="10">
        <v>236</v>
      </c>
      <c r="F7" s="10"/>
      <c r="G7" s="10" t="s">
        <v>75</v>
      </c>
      <c r="H7" s="10" t="s">
        <v>75</v>
      </c>
      <c r="I7" s="10">
        <v>544</v>
      </c>
      <c r="J7" s="10"/>
      <c r="K7" s="10" t="s">
        <v>75</v>
      </c>
      <c r="L7" s="10">
        <v>413</v>
      </c>
      <c r="M7" s="10">
        <v>131</v>
      </c>
      <c r="N7" s="10"/>
      <c r="O7" s="10">
        <v>444</v>
      </c>
      <c r="P7" s="10">
        <v>90</v>
      </c>
      <c r="Q7" s="10"/>
      <c r="R7" s="10">
        <v>86</v>
      </c>
      <c r="S7" s="10">
        <v>96</v>
      </c>
      <c r="T7" s="10">
        <v>42</v>
      </c>
      <c r="U7" s="10">
        <v>56</v>
      </c>
      <c r="V7" s="10">
        <v>48</v>
      </c>
      <c r="W7" s="10">
        <v>63</v>
      </c>
      <c r="X7" s="10">
        <v>36</v>
      </c>
      <c r="Y7" s="10">
        <v>28</v>
      </c>
      <c r="Z7" s="10">
        <v>89</v>
      </c>
      <c r="AA7" s="10"/>
      <c r="AB7" s="10">
        <v>78</v>
      </c>
      <c r="AC7" s="10">
        <v>75</v>
      </c>
      <c r="AD7" s="10">
        <v>61</v>
      </c>
      <c r="AE7" s="10">
        <v>54</v>
      </c>
      <c r="AF7" s="10"/>
      <c r="AG7" s="10">
        <v>51</v>
      </c>
      <c r="AH7" s="10">
        <v>19</v>
      </c>
      <c r="AI7" s="10"/>
      <c r="AJ7" s="10">
        <v>70</v>
      </c>
      <c r="AK7" s="10">
        <v>51</v>
      </c>
      <c r="AL7" s="10"/>
      <c r="AM7" s="10">
        <v>348</v>
      </c>
      <c r="AN7" s="10">
        <v>85</v>
      </c>
    </row>
    <row r="8" spans="2:40" ht="30" customHeight="1" x14ac:dyDescent="0.35">
      <c r="B8" s="11" t="s">
        <v>20</v>
      </c>
      <c r="C8" s="11">
        <v>499</v>
      </c>
      <c r="D8" s="11">
        <v>268</v>
      </c>
      <c r="E8" s="11">
        <v>228</v>
      </c>
      <c r="F8" s="11"/>
      <c r="G8" s="11" t="s">
        <v>75</v>
      </c>
      <c r="H8" s="11" t="s">
        <v>75</v>
      </c>
      <c r="I8" s="11">
        <v>499</v>
      </c>
      <c r="J8" s="11"/>
      <c r="K8" s="11" t="s">
        <v>75</v>
      </c>
      <c r="L8" s="11">
        <v>332</v>
      </c>
      <c r="M8" s="11">
        <v>168</v>
      </c>
      <c r="N8" s="11"/>
      <c r="O8" s="11">
        <v>412</v>
      </c>
      <c r="P8" s="11">
        <v>79</v>
      </c>
      <c r="Q8" s="11"/>
      <c r="R8" s="11">
        <v>89</v>
      </c>
      <c r="S8" s="11">
        <v>87</v>
      </c>
      <c r="T8" s="11">
        <v>43</v>
      </c>
      <c r="U8" s="11">
        <v>58</v>
      </c>
      <c r="V8" s="11">
        <v>41</v>
      </c>
      <c r="W8" s="11">
        <v>45</v>
      </c>
      <c r="X8" s="11">
        <v>47</v>
      </c>
      <c r="Y8" s="11">
        <v>26</v>
      </c>
      <c r="Z8" s="11">
        <v>64</v>
      </c>
      <c r="AA8" s="11"/>
      <c r="AB8" s="11">
        <v>59</v>
      </c>
      <c r="AC8" s="11">
        <v>59</v>
      </c>
      <c r="AD8" s="11">
        <v>82</v>
      </c>
      <c r="AE8" s="11">
        <v>67</v>
      </c>
      <c r="AF8" s="11"/>
      <c r="AG8" s="11">
        <v>59</v>
      </c>
      <c r="AH8" s="11">
        <v>27</v>
      </c>
      <c r="AI8" s="11"/>
      <c r="AJ8" s="11">
        <v>87</v>
      </c>
      <c r="AK8" s="11">
        <v>70</v>
      </c>
      <c r="AL8" s="11"/>
      <c r="AM8" s="11">
        <v>307</v>
      </c>
      <c r="AN8" s="11">
        <v>88</v>
      </c>
    </row>
    <row r="9" spans="2:40" x14ac:dyDescent="0.35">
      <c r="B9" s="15" t="s">
        <v>242</v>
      </c>
      <c r="C9" s="14">
        <v>0.30773056499544099</v>
      </c>
      <c r="D9" s="14">
        <v>0.31051575631393602</v>
      </c>
      <c r="E9" s="14">
        <v>0.30549803388969798</v>
      </c>
      <c r="F9" s="14"/>
      <c r="G9" s="14" t="s">
        <v>76</v>
      </c>
      <c r="H9" s="14" t="s">
        <v>76</v>
      </c>
      <c r="I9" s="14">
        <v>0.30773056499544099</v>
      </c>
      <c r="J9" s="14"/>
      <c r="K9" s="14" t="s">
        <v>76</v>
      </c>
      <c r="L9" s="14">
        <v>0.317851621382577</v>
      </c>
      <c r="M9" s="14">
        <v>0.28772564526967498</v>
      </c>
      <c r="N9" s="14"/>
      <c r="O9" s="14">
        <v>0.29363145891514297</v>
      </c>
      <c r="P9" s="14">
        <v>0.35587424495537801</v>
      </c>
      <c r="Q9" s="14"/>
      <c r="R9" s="14">
        <v>0.374646911704208</v>
      </c>
      <c r="S9" s="14">
        <v>0.16747850998601599</v>
      </c>
      <c r="T9" s="14">
        <v>0.39047307685564497</v>
      </c>
      <c r="U9" s="14">
        <v>0.25056465943551498</v>
      </c>
      <c r="V9" s="14">
        <v>0.40407672206929501</v>
      </c>
      <c r="W9" s="14">
        <v>0.237984998426893</v>
      </c>
      <c r="X9" s="14">
        <v>0.42379179209283702</v>
      </c>
      <c r="Y9" s="14">
        <v>0.23311650187688601</v>
      </c>
      <c r="Z9" s="14">
        <v>0.33498194485586602</v>
      </c>
      <c r="AA9" s="14"/>
      <c r="AB9" s="14">
        <v>0.37042494339988102</v>
      </c>
      <c r="AC9" s="14">
        <v>0.32703913914545801</v>
      </c>
      <c r="AD9" s="14">
        <v>0.31202853465557401</v>
      </c>
      <c r="AE9" s="14">
        <v>0.225120042302037</v>
      </c>
      <c r="AF9" s="14"/>
      <c r="AG9" s="14">
        <v>0.35909567490561101</v>
      </c>
      <c r="AH9" s="14">
        <v>0.47727664895798499</v>
      </c>
      <c r="AI9" s="14"/>
      <c r="AJ9" s="14">
        <v>0.39623448425923602</v>
      </c>
      <c r="AK9" s="14">
        <v>0.16938876484750601</v>
      </c>
      <c r="AL9" s="14"/>
      <c r="AM9" s="14">
        <v>0.40024443073348498</v>
      </c>
      <c r="AN9" s="14">
        <v>0.19212305578564701</v>
      </c>
    </row>
    <row r="10" spans="2:40" x14ac:dyDescent="0.35">
      <c r="B10" s="15" t="s">
        <v>243</v>
      </c>
      <c r="C10" s="14">
        <v>0.49924640803162001</v>
      </c>
      <c r="D10" s="14">
        <v>0.510414739861765</v>
      </c>
      <c r="E10" s="14">
        <v>0.48219140470148603</v>
      </c>
      <c r="F10" s="14"/>
      <c r="G10" s="14" t="s">
        <v>76</v>
      </c>
      <c r="H10" s="14" t="s">
        <v>76</v>
      </c>
      <c r="I10" s="14">
        <v>0.49924640803162001</v>
      </c>
      <c r="J10" s="14"/>
      <c r="K10" s="14" t="s">
        <v>76</v>
      </c>
      <c r="L10" s="14">
        <v>0.497574954569515</v>
      </c>
      <c r="M10" s="14">
        <v>0.50255014343786197</v>
      </c>
      <c r="N10" s="14"/>
      <c r="O10" s="14">
        <v>0.50483734419582205</v>
      </c>
      <c r="P10" s="14">
        <v>0.48496025922276098</v>
      </c>
      <c r="Q10" s="14"/>
      <c r="R10" s="14">
        <v>0.42959355869100302</v>
      </c>
      <c r="S10" s="14">
        <v>0.60123693598945205</v>
      </c>
      <c r="T10" s="14">
        <v>0.46457023684424398</v>
      </c>
      <c r="U10" s="14">
        <v>0.51388609554139297</v>
      </c>
      <c r="V10" s="14">
        <v>0.38442438614756502</v>
      </c>
      <c r="W10" s="14">
        <v>0.51889145553246796</v>
      </c>
      <c r="X10" s="14">
        <v>0.423804930851929</v>
      </c>
      <c r="Y10" s="14">
        <v>0.51980126660404302</v>
      </c>
      <c r="Z10" s="14">
        <v>0.57354380231748803</v>
      </c>
      <c r="AA10" s="14"/>
      <c r="AB10" s="14">
        <v>0.38907574381625099</v>
      </c>
      <c r="AC10" s="14">
        <v>0.54438162187930195</v>
      </c>
      <c r="AD10" s="14">
        <v>0.49454653681417199</v>
      </c>
      <c r="AE10" s="14">
        <v>0.54891152800402199</v>
      </c>
      <c r="AF10" s="14"/>
      <c r="AG10" s="14">
        <v>0.54649631592768699</v>
      </c>
      <c r="AH10" s="14">
        <v>0.439752981822013</v>
      </c>
      <c r="AI10" s="14"/>
      <c r="AJ10" s="14">
        <v>0.51295182734220501</v>
      </c>
      <c r="AK10" s="14">
        <v>0.47074588369817999</v>
      </c>
      <c r="AL10" s="14"/>
      <c r="AM10" s="14">
        <v>0.49561573682135202</v>
      </c>
      <c r="AN10" s="14">
        <v>0.45815665632746799</v>
      </c>
    </row>
    <row r="11" spans="2:40" x14ac:dyDescent="0.35">
      <c r="B11" s="15" t="s">
        <v>244</v>
      </c>
      <c r="C11" s="14">
        <v>0.102507411628439</v>
      </c>
      <c r="D11" s="14">
        <v>0.10625520839773001</v>
      </c>
      <c r="E11" s="14">
        <v>9.9634802074112197E-2</v>
      </c>
      <c r="F11" s="14"/>
      <c r="G11" s="14" t="s">
        <v>76</v>
      </c>
      <c r="H11" s="14" t="s">
        <v>76</v>
      </c>
      <c r="I11" s="14">
        <v>0.102507411628439</v>
      </c>
      <c r="J11" s="14"/>
      <c r="K11" s="14" t="s">
        <v>76</v>
      </c>
      <c r="L11" s="14">
        <v>0.10276459680652</v>
      </c>
      <c r="M11" s="14">
        <v>0.10199906856173099</v>
      </c>
      <c r="N11" s="14"/>
      <c r="O11" s="14">
        <v>9.9953900138973498E-2</v>
      </c>
      <c r="P11" s="14">
        <v>0.116535667174386</v>
      </c>
      <c r="Q11" s="14"/>
      <c r="R11" s="14">
        <v>9.8398096495780005E-2</v>
      </c>
      <c r="S11" s="14">
        <v>0.12948597431838499</v>
      </c>
      <c r="T11" s="14">
        <v>8.5220742878721306E-2</v>
      </c>
      <c r="U11" s="14">
        <v>0.104357431722702</v>
      </c>
      <c r="V11" s="14">
        <v>0.152633450397787</v>
      </c>
      <c r="W11" s="14">
        <v>0.129250108870722</v>
      </c>
      <c r="X11" s="14">
        <v>5.0783867567070498E-2</v>
      </c>
      <c r="Y11" s="14">
        <v>0.12334300685493001</v>
      </c>
      <c r="Z11" s="14">
        <v>6.0126057955773603E-2</v>
      </c>
      <c r="AA11" s="14"/>
      <c r="AB11" s="14">
        <v>0.15824774265547001</v>
      </c>
      <c r="AC11" s="14">
        <v>0.10281112367727201</v>
      </c>
      <c r="AD11" s="14">
        <v>0.101251332297023</v>
      </c>
      <c r="AE11" s="14">
        <v>0.130618480590042</v>
      </c>
      <c r="AF11" s="14"/>
      <c r="AG11" s="14">
        <v>6.8872486079259901E-2</v>
      </c>
      <c r="AH11" s="14">
        <v>3.1459676229754201E-2</v>
      </c>
      <c r="AI11" s="14"/>
      <c r="AJ11" s="14">
        <v>5.7115371843862901E-2</v>
      </c>
      <c r="AK11" s="14">
        <v>0.173100091860317</v>
      </c>
      <c r="AL11" s="14"/>
      <c r="AM11" s="14">
        <v>7.6629091500257707E-2</v>
      </c>
      <c r="AN11" s="14">
        <v>8.3649712393972994E-2</v>
      </c>
    </row>
    <row r="12" spans="2:40" x14ac:dyDescent="0.35">
      <c r="B12" s="15" t="s">
        <v>245</v>
      </c>
      <c r="C12" s="14">
        <v>6.0627551557570998E-2</v>
      </c>
      <c r="D12" s="14">
        <v>4.1789641619799103E-2</v>
      </c>
      <c r="E12" s="14">
        <v>8.3676799520138803E-2</v>
      </c>
      <c r="F12" s="14"/>
      <c r="G12" s="14" t="s">
        <v>76</v>
      </c>
      <c r="H12" s="14" t="s">
        <v>76</v>
      </c>
      <c r="I12" s="14">
        <v>6.0627551557570998E-2</v>
      </c>
      <c r="J12" s="14"/>
      <c r="K12" s="14" t="s">
        <v>76</v>
      </c>
      <c r="L12" s="14">
        <v>4.55188940021009E-2</v>
      </c>
      <c r="M12" s="14">
        <v>9.0490786184485097E-2</v>
      </c>
      <c r="N12" s="14"/>
      <c r="O12" s="14">
        <v>6.5333186645291405E-2</v>
      </c>
      <c r="P12" s="14">
        <v>4.2629828647474201E-2</v>
      </c>
      <c r="Q12" s="14"/>
      <c r="R12" s="14">
        <v>5.2936214288930299E-2</v>
      </c>
      <c r="S12" s="14">
        <v>8.3560522625697797E-2</v>
      </c>
      <c r="T12" s="14">
        <v>2.0851445526269601E-2</v>
      </c>
      <c r="U12" s="14">
        <v>6.7866303910886494E-2</v>
      </c>
      <c r="V12" s="14">
        <v>2.00485503665743E-2</v>
      </c>
      <c r="W12" s="14">
        <v>9.9942407336062203E-2</v>
      </c>
      <c r="X12" s="14">
        <v>7.7692835468332999E-2</v>
      </c>
      <c r="Y12" s="14">
        <v>9.6325050788519898E-2</v>
      </c>
      <c r="Z12" s="14">
        <v>3.1348194870872502E-2</v>
      </c>
      <c r="AA12" s="14"/>
      <c r="AB12" s="14">
        <v>6.8455477702258599E-2</v>
      </c>
      <c r="AC12" s="14">
        <v>1.0464972621612801E-2</v>
      </c>
      <c r="AD12" s="14">
        <v>9.2173596233230695E-2</v>
      </c>
      <c r="AE12" s="14">
        <v>8.2489451815320802E-2</v>
      </c>
      <c r="AF12" s="14"/>
      <c r="AG12" s="14">
        <v>1.0967436455187499E-2</v>
      </c>
      <c r="AH12" s="14">
        <v>5.1510692990248602E-2</v>
      </c>
      <c r="AI12" s="14"/>
      <c r="AJ12" s="14">
        <v>2.37083051703454E-2</v>
      </c>
      <c r="AK12" s="14">
        <v>0.18676525959399601</v>
      </c>
      <c r="AL12" s="14"/>
      <c r="AM12" s="14">
        <v>1.1687331294340301E-2</v>
      </c>
      <c r="AN12" s="14">
        <v>0.20577271765833299</v>
      </c>
    </row>
    <row r="13" spans="2:40" x14ac:dyDescent="0.35">
      <c r="B13" s="15" t="s">
        <v>70</v>
      </c>
      <c r="C13" s="20">
        <v>2.9888063786929198E-2</v>
      </c>
      <c r="D13" s="20">
        <v>3.1024653806770101E-2</v>
      </c>
      <c r="E13" s="20">
        <v>2.8998959814564899E-2</v>
      </c>
      <c r="F13" s="20"/>
      <c r="G13" s="20" t="s">
        <v>76</v>
      </c>
      <c r="H13" s="20" t="s">
        <v>76</v>
      </c>
      <c r="I13" s="20">
        <v>2.9888063786929198E-2</v>
      </c>
      <c r="J13" s="20"/>
      <c r="K13" s="20" t="s">
        <v>76</v>
      </c>
      <c r="L13" s="20">
        <v>3.6289933239287198E-2</v>
      </c>
      <c r="M13" s="20">
        <v>1.72343565462472E-2</v>
      </c>
      <c r="N13" s="20"/>
      <c r="O13" s="20">
        <v>3.62441101047703E-2</v>
      </c>
      <c r="P13" s="20">
        <v>0</v>
      </c>
      <c r="Q13" s="20"/>
      <c r="R13" s="20">
        <v>4.4425218820079097E-2</v>
      </c>
      <c r="S13" s="20">
        <v>1.8238057080448601E-2</v>
      </c>
      <c r="T13" s="20">
        <v>3.8884497895120697E-2</v>
      </c>
      <c r="U13" s="20">
        <v>6.3325509389503196E-2</v>
      </c>
      <c r="V13" s="20">
        <v>3.8816891018778298E-2</v>
      </c>
      <c r="W13" s="20">
        <v>1.39310298338553E-2</v>
      </c>
      <c r="X13" s="20">
        <v>2.3926574019830501E-2</v>
      </c>
      <c r="Y13" s="20">
        <v>2.7414173875620701E-2</v>
      </c>
      <c r="Z13" s="20">
        <v>0</v>
      </c>
      <c r="AA13" s="20"/>
      <c r="AB13" s="20">
        <v>1.3796092426138501E-2</v>
      </c>
      <c r="AC13" s="20">
        <v>1.53031426763549E-2</v>
      </c>
      <c r="AD13" s="20">
        <v>0</v>
      </c>
      <c r="AE13" s="20">
        <v>1.2860497288577501E-2</v>
      </c>
      <c r="AF13" s="20"/>
      <c r="AG13" s="20">
        <v>1.4568086632254699E-2</v>
      </c>
      <c r="AH13" s="20">
        <v>0</v>
      </c>
      <c r="AI13" s="20"/>
      <c r="AJ13" s="20">
        <v>9.9900113843502201E-3</v>
      </c>
      <c r="AK13" s="20">
        <v>0</v>
      </c>
      <c r="AL13" s="20"/>
      <c r="AM13" s="20">
        <v>1.58234096505659E-2</v>
      </c>
      <c r="AN13" s="20">
        <v>6.0297857834579603E-2</v>
      </c>
    </row>
    <row r="14" spans="2:40" x14ac:dyDescent="0.35">
      <c r="B14" s="27" t="s">
        <v>312</v>
      </c>
    </row>
    <row r="15" spans="2:40" x14ac:dyDescent="0.35">
      <c r="B15" t="s">
        <v>72</v>
      </c>
    </row>
    <row r="16" spans="2:40" x14ac:dyDescent="0.35">
      <c r="B16" t="s">
        <v>73</v>
      </c>
    </row>
    <row r="18" spans="2:2" x14ac:dyDescent="0.35">
      <c r="B18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dimension ref="B2:AN22"/>
  <sheetViews>
    <sheetView showGridLines="0" workbookViewId="0">
      <pane xSplit="2" topLeftCell="C1" activePane="topRight" state="frozen"/>
      <selection pane="topRight" activeCell="B22" sqref="B22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302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428</v>
      </c>
      <c r="D7" s="10">
        <v>233</v>
      </c>
      <c r="E7" s="10">
        <v>195</v>
      </c>
      <c r="F7" s="10"/>
      <c r="G7" s="10">
        <v>428</v>
      </c>
      <c r="H7" s="10" t="s">
        <v>75</v>
      </c>
      <c r="I7" s="10" t="s">
        <v>75</v>
      </c>
      <c r="J7" s="10"/>
      <c r="K7" s="10">
        <v>428</v>
      </c>
      <c r="L7" s="10" t="s">
        <v>75</v>
      </c>
      <c r="M7" s="10" t="s">
        <v>75</v>
      </c>
      <c r="N7" s="10"/>
      <c r="O7" s="10">
        <v>380</v>
      </c>
      <c r="P7" s="10">
        <v>43</v>
      </c>
      <c r="Q7" s="10"/>
      <c r="R7" s="10">
        <v>68</v>
      </c>
      <c r="S7" s="10">
        <v>65</v>
      </c>
      <c r="T7" s="10">
        <v>43</v>
      </c>
      <c r="U7" s="10">
        <v>41</v>
      </c>
      <c r="V7" s="10">
        <v>41</v>
      </c>
      <c r="W7" s="10">
        <v>57</v>
      </c>
      <c r="X7" s="10">
        <v>27</v>
      </c>
      <c r="Y7" s="10">
        <v>21</v>
      </c>
      <c r="Z7" s="10">
        <v>65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301</v>
      </c>
      <c r="AN7" s="10">
        <v>63</v>
      </c>
    </row>
    <row r="8" spans="2:40" ht="30" customHeight="1" x14ac:dyDescent="0.35">
      <c r="B8" s="11" t="s">
        <v>20</v>
      </c>
      <c r="C8" s="11">
        <v>556</v>
      </c>
      <c r="D8" s="11">
        <v>292</v>
      </c>
      <c r="E8" s="11">
        <v>264</v>
      </c>
      <c r="F8" s="11"/>
      <c r="G8" s="11">
        <v>556</v>
      </c>
      <c r="H8" s="11" t="s">
        <v>75</v>
      </c>
      <c r="I8" s="11" t="s">
        <v>75</v>
      </c>
      <c r="J8" s="11"/>
      <c r="K8" s="11">
        <v>556</v>
      </c>
      <c r="L8" s="11" t="s">
        <v>75</v>
      </c>
      <c r="M8" s="11" t="s">
        <v>75</v>
      </c>
      <c r="N8" s="11"/>
      <c r="O8" s="11">
        <v>497</v>
      </c>
      <c r="P8" s="11">
        <v>53</v>
      </c>
      <c r="Q8" s="11"/>
      <c r="R8" s="11">
        <v>96</v>
      </c>
      <c r="S8" s="11">
        <v>78</v>
      </c>
      <c r="T8" s="11">
        <v>58</v>
      </c>
      <c r="U8" s="11">
        <v>62</v>
      </c>
      <c r="V8" s="11">
        <v>53</v>
      </c>
      <c r="W8" s="11">
        <v>57</v>
      </c>
      <c r="X8" s="11">
        <v>54</v>
      </c>
      <c r="Y8" s="11">
        <v>26</v>
      </c>
      <c r="Z8" s="11">
        <v>72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396</v>
      </c>
      <c r="AN8" s="11">
        <v>77</v>
      </c>
    </row>
    <row r="9" spans="2:40" ht="29" x14ac:dyDescent="0.35">
      <c r="B9" s="15" t="s">
        <v>294</v>
      </c>
      <c r="C9" s="14">
        <v>0.38216161180157698</v>
      </c>
      <c r="D9" s="14">
        <v>0.42023032314654202</v>
      </c>
      <c r="E9" s="14">
        <v>0.33997922291293198</v>
      </c>
      <c r="F9" s="14"/>
      <c r="G9" s="14">
        <v>0.38216161180157698</v>
      </c>
      <c r="H9" s="14" t="s">
        <v>76</v>
      </c>
      <c r="I9" s="14" t="s">
        <v>76</v>
      </c>
      <c r="J9" s="14"/>
      <c r="K9" s="14">
        <v>0.38216161180157698</v>
      </c>
      <c r="L9" s="14" t="s">
        <v>76</v>
      </c>
      <c r="M9" s="14" t="s">
        <v>76</v>
      </c>
      <c r="N9" s="14"/>
      <c r="O9" s="14">
        <v>0.39461233557754399</v>
      </c>
      <c r="P9" s="14">
        <v>0.26946531290631998</v>
      </c>
      <c r="Q9" s="14"/>
      <c r="R9" s="14">
        <v>0.31838804982844399</v>
      </c>
      <c r="S9" s="14">
        <v>0.46085612613511601</v>
      </c>
      <c r="T9" s="14">
        <v>0.41124214284576599</v>
      </c>
      <c r="U9" s="14">
        <v>0.32236261540488298</v>
      </c>
      <c r="V9" s="14">
        <v>0.26425003994291202</v>
      </c>
      <c r="W9" s="14">
        <v>0.426713965642882</v>
      </c>
      <c r="X9" s="14">
        <v>0.40233140164482301</v>
      </c>
      <c r="Y9" s="14">
        <v>0.36329036577602303</v>
      </c>
      <c r="Z9" s="14">
        <v>0.45351113458819298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0.44113367433106798</v>
      </c>
      <c r="AN9" s="14">
        <v>0.19129148638714799</v>
      </c>
    </row>
    <row r="10" spans="2:40" ht="29" x14ac:dyDescent="0.35">
      <c r="B10" s="15" t="s">
        <v>295</v>
      </c>
      <c r="C10" s="14">
        <v>5.3033908247723298E-2</v>
      </c>
      <c r="D10" s="14">
        <v>5.9067594894473302E-2</v>
      </c>
      <c r="E10" s="14">
        <v>4.6348225765353301E-2</v>
      </c>
      <c r="F10" s="14"/>
      <c r="G10" s="14">
        <v>5.3033908247723298E-2</v>
      </c>
      <c r="H10" s="14" t="s">
        <v>76</v>
      </c>
      <c r="I10" s="14" t="s">
        <v>76</v>
      </c>
      <c r="J10" s="14"/>
      <c r="K10" s="14">
        <v>5.3033908247723298E-2</v>
      </c>
      <c r="L10" s="14" t="s">
        <v>76</v>
      </c>
      <c r="M10" s="14" t="s">
        <v>76</v>
      </c>
      <c r="N10" s="14"/>
      <c r="O10" s="14">
        <v>4.5600793198812002E-2</v>
      </c>
      <c r="P10" s="14">
        <v>0.12978882013479101</v>
      </c>
      <c r="Q10" s="14"/>
      <c r="R10" s="14">
        <v>5.27168852064673E-2</v>
      </c>
      <c r="S10" s="14">
        <v>2.30476441860329E-2</v>
      </c>
      <c r="T10" s="14">
        <v>0.10744873858521301</v>
      </c>
      <c r="U10" s="14">
        <v>0</v>
      </c>
      <c r="V10" s="14">
        <v>0.117531272660001</v>
      </c>
      <c r="W10" s="14">
        <v>4.22668808550326E-2</v>
      </c>
      <c r="X10" s="14">
        <v>2.3378224696034601E-2</v>
      </c>
      <c r="Y10" s="14">
        <v>0.13444636620237799</v>
      </c>
      <c r="Z10" s="14">
        <v>4.03255475295555E-2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5.1174310733285003E-2</v>
      </c>
      <c r="AN10" s="14">
        <v>5.3754575978530603E-2</v>
      </c>
    </row>
    <row r="11" spans="2:40" ht="43.5" x14ac:dyDescent="0.35">
      <c r="B11" s="15" t="s">
        <v>296</v>
      </c>
      <c r="C11" s="14">
        <v>3.6324653161151299E-2</v>
      </c>
      <c r="D11" s="14">
        <v>4.6174608608976299E-2</v>
      </c>
      <c r="E11" s="14">
        <v>2.5410318618252801E-2</v>
      </c>
      <c r="F11" s="14"/>
      <c r="G11" s="14">
        <v>3.6324653161151299E-2</v>
      </c>
      <c r="H11" s="14" t="s">
        <v>76</v>
      </c>
      <c r="I11" s="14" t="s">
        <v>76</v>
      </c>
      <c r="J11" s="14"/>
      <c r="K11" s="14">
        <v>3.6324653161151299E-2</v>
      </c>
      <c r="L11" s="14" t="s">
        <v>76</v>
      </c>
      <c r="M11" s="14" t="s">
        <v>76</v>
      </c>
      <c r="N11" s="14"/>
      <c r="O11" s="14">
        <v>3.3577867636414301E-2</v>
      </c>
      <c r="P11" s="14">
        <v>6.6800246469914296E-2</v>
      </c>
      <c r="Q11" s="14"/>
      <c r="R11" s="14">
        <v>6.0165196290249898E-2</v>
      </c>
      <c r="S11" s="14">
        <v>2.4313255845479598E-2</v>
      </c>
      <c r="T11" s="14">
        <v>5.4692731586244998E-2</v>
      </c>
      <c r="U11" s="14">
        <v>0</v>
      </c>
      <c r="V11" s="14">
        <v>2.0509173118583201E-2</v>
      </c>
      <c r="W11" s="14">
        <v>1.0852308309335999E-2</v>
      </c>
      <c r="X11" s="14">
        <v>0.11062037839288701</v>
      </c>
      <c r="Y11" s="14">
        <v>3.07639499884385E-2</v>
      </c>
      <c r="Z11" s="14">
        <v>1.21284247649006E-2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3.7125571752668E-2</v>
      </c>
      <c r="AN11" s="14">
        <v>3.3777701972283102E-2</v>
      </c>
    </row>
    <row r="12" spans="2:40" ht="43.5" x14ac:dyDescent="0.35">
      <c r="B12" s="15" t="s">
        <v>297</v>
      </c>
      <c r="C12" s="14">
        <v>0.26747225993171803</v>
      </c>
      <c r="D12" s="14">
        <v>0.245793834214104</v>
      </c>
      <c r="E12" s="14">
        <v>0.29149324072687999</v>
      </c>
      <c r="F12" s="14"/>
      <c r="G12" s="14">
        <v>0.26747225993171803</v>
      </c>
      <c r="H12" s="14" t="s">
        <v>76</v>
      </c>
      <c r="I12" s="14" t="s">
        <v>76</v>
      </c>
      <c r="J12" s="14"/>
      <c r="K12" s="14">
        <v>0.26747225993171803</v>
      </c>
      <c r="L12" s="14" t="s">
        <v>76</v>
      </c>
      <c r="M12" s="14" t="s">
        <v>76</v>
      </c>
      <c r="N12" s="14"/>
      <c r="O12" s="14">
        <v>0.26897791198297999</v>
      </c>
      <c r="P12" s="14">
        <v>0.26906951791100597</v>
      </c>
      <c r="Q12" s="14"/>
      <c r="R12" s="14">
        <v>0.314619992865737</v>
      </c>
      <c r="S12" s="14">
        <v>0.17132578972065601</v>
      </c>
      <c r="T12" s="14">
        <v>0.18047832598798699</v>
      </c>
      <c r="U12" s="14">
        <v>0.41246898839721002</v>
      </c>
      <c r="V12" s="14">
        <v>0.24620032322749899</v>
      </c>
      <c r="W12" s="14">
        <v>0.33025256182325002</v>
      </c>
      <c r="X12" s="14">
        <v>0.1239658110641</v>
      </c>
      <c r="Y12" s="14">
        <v>0.32881481139889701</v>
      </c>
      <c r="Z12" s="14">
        <v>0.305897816683948</v>
      </c>
      <c r="AA12" s="14"/>
      <c r="AB12" s="14" t="s">
        <v>76</v>
      </c>
      <c r="AC12" s="14" t="s">
        <v>76</v>
      </c>
      <c r="AD12" s="14" t="s">
        <v>76</v>
      </c>
      <c r="AE12" s="14" t="s">
        <v>76</v>
      </c>
      <c r="AF12" s="14"/>
      <c r="AG12" s="14" t="s">
        <v>76</v>
      </c>
      <c r="AH12" s="14" t="s">
        <v>76</v>
      </c>
      <c r="AI12" s="14"/>
      <c r="AJ12" s="14" t="s">
        <v>76</v>
      </c>
      <c r="AK12" s="14" t="s">
        <v>76</v>
      </c>
      <c r="AL12" s="14"/>
      <c r="AM12" s="14">
        <v>0.22460010630827701</v>
      </c>
      <c r="AN12" s="14">
        <v>0.43010121828160303</v>
      </c>
    </row>
    <row r="13" spans="2:40" ht="29" x14ac:dyDescent="0.35">
      <c r="B13" s="15" t="s">
        <v>298</v>
      </c>
      <c r="C13" s="14">
        <v>4.0240324649573403E-2</v>
      </c>
      <c r="D13" s="14">
        <v>2.6073000353549699E-2</v>
      </c>
      <c r="E13" s="14">
        <v>5.5938559810492797E-2</v>
      </c>
      <c r="F13" s="14"/>
      <c r="G13" s="14">
        <v>4.0240324649573403E-2</v>
      </c>
      <c r="H13" s="14" t="s">
        <v>76</v>
      </c>
      <c r="I13" s="14" t="s">
        <v>76</v>
      </c>
      <c r="J13" s="14"/>
      <c r="K13" s="14">
        <v>4.0240324649573403E-2</v>
      </c>
      <c r="L13" s="14" t="s">
        <v>76</v>
      </c>
      <c r="M13" s="14" t="s">
        <v>76</v>
      </c>
      <c r="N13" s="14"/>
      <c r="O13" s="14">
        <v>3.9266160802264201E-2</v>
      </c>
      <c r="P13" s="14">
        <v>5.4503080209922602E-2</v>
      </c>
      <c r="Q13" s="14"/>
      <c r="R13" s="14">
        <v>5.5467369208666802E-2</v>
      </c>
      <c r="S13" s="14">
        <v>3.7800354848248202E-2</v>
      </c>
      <c r="T13" s="14">
        <v>4.7958421059462401E-2</v>
      </c>
      <c r="U13" s="14">
        <v>9.0496607347501298E-2</v>
      </c>
      <c r="V13" s="14">
        <v>0</v>
      </c>
      <c r="W13" s="14">
        <v>3.76332617646397E-2</v>
      </c>
      <c r="X13" s="14">
        <v>4.8397975084799899E-2</v>
      </c>
      <c r="Y13" s="14">
        <v>3.7031353520270802E-2</v>
      </c>
      <c r="Z13" s="14">
        <v>0</v>
      </c>
      <c r="AA13" s="14"/>
      <c r="AB13" s="14" t="s">
        <v>76</v>
      </c>
      <c r="AC13" s="14" t="s">
        <v>76</v>
      </c>
      <c r="AD13" s="14" t="s">
        <v>76</v>
      </c>
      <c r="AE13" s="14" t="s">
        <v>76</v>
      </c>
      <c r="AF13" s="14"/>
      <c r="AG13" s="14" t="s">
        <v>76</v>
      </c>
      <c r="AH13" s="14" t="s">
        <v>76</v>
      </c>
      <c r="AI13" s="14"/>
      <c r="AJ13" s="14" t="s">
        <v>76</v>
      </c>
      <c r="AK13" s="14" t="s">
        <v>76</v>
      </c>
      <c r="AL13" s="14"/>
      <c r="AM13" s="14">
        <v>3.4024543360181098E-2</v>
      </c>
      <c r="AN13" s="14">
        <v>5.4792543076396201E-2</v>
      </c>
    </row>
    <row r="14" spans="2:40" ht="29" x14ac:dyDescent="0.35">
      <c r="B14" s="15" t="s">
        <v>299</v>
      </c>
      <c r="C14" s="14">
        <v>8.4485204772033695E-2</v>
      </c>
      <c r="D14" s="14">
        <v>7.6067480396057E-2</v>
      </c>
      <c r="E14" s="14">
        <v>9.3812542384470093E-2</v>
      </c>
      <c r="F14" s="14"/>
      <c r="G14" s="14">
        <v>8.4485204772033695E-2</v>
      </c>
      <c r="H14" s="14" t="s">
        <v>76</v>
      </c>
      <c r="I14" s="14" t="s">
        <v>76</v>
      </c>
      <c r="J14" s="14"/>
      <c r="K14" s="14">
        <v>8.4485204772033695E-2</v>
      </c>
      <c r="L14" s="14" t="s">
        <v>76</v>
      </c>
      <c r="M14" s="14" t="s">
        <v>76</v>
      </c>
      <c r="N14" s="14"/>
      <c r="O14" s="14">
        <v>9.2435306532567693E-2</v>
      </c>
      <c r="P14" s="14">
        <v>2.02219640658108E-2</v>
      </c>
      <c r="Q14" s="14"/>
      <c r="R14" s="14">
        <v>0</v>
      </c>
      <c r="S14" s="14">
        <v>0.14716900676977801</v>
      </c>
      <c r="T14" s="14">
        <v>0.14922357054900201</v>
      </c>
      <c r="U14" s="14">
        <v>0.100640719169506</v>
      </c>
      <c r="V14" s="14">
        <v>9.3905880075456499E-2</v>
      </c>
      <c r="W14" s="14">
        <v>3.6398606573803401E-2</v>
      </c>
      <c r="X14" s="14">
        <v>7.0544465421279207E-2</v>
      </c>
      <c r="Y14" s="14">
        <v>0</v>
      </c>
      <c r="Z14" s="14">
        <v>0.13557660979694799</v>
      </c>
      <c r="AA14" s="14"/>
      <c r="AB14" s="14" t="s">
        <v>76</v>
      </c>
      <c r="AC14" s="14" t="s">
        <v>76</v>
      </c>
      <c r="AD14" s="14" t="s">
        <v>76</v>
      </c>
      <c r="AE14" s="14" t="s">
        <v>76</v>
      </c>
      <c r="AF14" s="14"/>
      <c r="AG14" s="14" t="s">
        <v>76</v>
      </c>
      <c r="AH14" s="14" t="s">
        <v>76</v>
      </c>
      <c r="AI14" s="14"/>
      <c r="AJ14" s="14" t="s">
        <v>76</v>
      </c>
      <c r="AK14" s="14" t="s">
        <v>76</v>
      </c>
      <c r="AL14" s="14"/>
      <c r="AM14" s="14">
        <v>9.1506612695371498E-2</v>
      </c>
      <c r="AN14" s="14">
        <v>6.5682503107112003E-2</v>
      </c>
    </row>
    <row r="15" spans="2:40" ht="29" x14ac:dyDescent="0.35">
      <c r="B15" s="15" t="s">
        <v>300</v>
      </c>
      <c r="C15" s="14">
        <v>9.6831181965746194E-2</v>
      </c>
      <c r="D15" s="14">
        <v>9.7395354404264903E-2</v>
      </c>
      <c r="E15" s="14">
        <v>9.6206045459647893E-2</v>
      </c>
      <c r="F15" s="14"/>
      <c r="G15" s="14">
        <v>9.6831181965746194E-2</v>
      </c>
      <c r="H15" s="14" t="s">
        <v>76</v>
      </c>
      <c r="I15" s="14" t="s">
        <v>76</v>
      </c>
      <c r="J15" s="14"/>
      <c r="K15" s="14">
        <v>9.6831181965746194E-2</v>
      </c>
      <c r="L15" s="14" t="s">
        <v>76</v>
      </c>
      <c r="M15" s="14" t="s">
        <v>76</v>
      </c>
      <c r="N15" s="14"/>
      <c r="O15" s="14">
        <v>8.4646351305993905E-2</v>
      </c>
      <c r="P15" s="14">
        <v>0.190151058302235</v>
      </c>
      <c r="Q15" s="14"/>
      <c r="R15" s="14">
        <v>0.18875423176221801</v>
      </c>
      <c r="S15" s="14">
        <v>5.8042580937208897E-2</v>
      </c>
      <c r="T15" s="14">
        <v>0</v>
      </c>
      <c r="U15" s="14">
        <v>5.4266491659457003E-2</v>
      </c>
      <c r="V15" s="14">
        <v>0.20471577367906801</v>
      </c>
      <c r="W15" s="14">
        <v>4.8196304051040403E-2</v>
      </c>
      <c r="X15" s="14">
        <v>0.14268286543995501</v>
      </c>
      <c r="Y15" s="14">
        <v>0.105653153113992</v>
      </c>
      <c r="Z15" s="14">
        <v>5.2560466636454799E-2</v>
      </c>
      <c r="AA15" s="14"/>
      <c r="AB15" s="14" t="s">
        <v>76</v>
      </c>
      <c r="AC15" s="14" t="s">
        <v>76</v>
      </c>
      <c r="AD15" s="14" t="s">
        <v>76</v>
      </c>
      <c r="AE15" s="14" t="s">
        <v>76</v>
      </c>
      <c r="AF15" s="14"/>
      <c r="AG15" s="14" t="s">
        <v>76</v>
      </c>
      <c r="AH15" s="14" t="s">
        <v>76</v>
      </c>
      <c r="AI15" s="14"/>
      <c r="AJ15" s="14" t="s">
        <v>76</v>
      </c>
      <c r="AK15" s="14" t="s">
        <v>76</v>
      </c>
      <c r="AL15" s="14"/>
      <c r="AM15" s="14">
        <v>0.10698794687695699</v>
      </c>
      <c r="AN15" s="14">
        <v>5.2372101559949903E-2</v>
      </c>
    </row>
    <row r="16" spans="2:40" ht="29" x14ac:dyDescent="0.35">
      <c r="B16" s="15" t="s">
        <v>301</v>
      </c>
      <c r="C16" s="14">
        <v>1.7654051670621999E-2</v>
      </c>
      <c r="D16" s="14">
        <v>1.11944327664351E-2</v>
      </c>
      <c r="E16" s="14">
        <v>2.4811692343554698E-2</v>
      </c>
      <c r="F16" s="14"/>
      <c r="G16" s="14">
        <v>1.7654051670621999E-2</v>
      </c>
      <c r="H16" s="14" t="s">
        <v>76</v>
      </c>
      <c r="I16" s="14" t="s">
        <v>76</v>
      </c>
      <c r="J16" s="14"/>
      <c r="K16" s="14">
        <v>1.7654051670621999E-2</v>
      </c>
      <c r="L16" s="14" t="s">
        <v>76</v>
      </c>
      <c r="M16" s="14" t="s">
        <v>76</v>
      </c>
      <c r="N16" s="14"/>
      <c r="O16" s="14">
        <v>1.97636370981106E-2</v>
      </c>
      <c r="P16" s="14">
        <v>0</v>
      </c>
      <c r="Q16" s="14"/>
      <c r="R16" s="14">
        <v>9.8882748382167103E-3</v>
      </c>
      <c r="S16" s="14">
        <v>1.06518211480464E-2</v>
      </c>
      <c r="T16" s="14">
        <v>1.9228561864718E-2</v>
      </c>
      <c r="U16" s="14">
        <v>1.9764578021442599E-2</v>
      </c>
      <c r="V16" s="14">
        <v>5.2887537296479298E-2</v>
      </c>
      <c r="W16" s="14">
        <v>2.25620369933387E-2</v>
      </c>
      <c r="X16" s="14">
        <v>2.9680911940133701E-2</v>
      </c>
      <c r="Y16" s="14">
        <v>0</v>
      </c>
      <c r="Z16" s="14">
        <v>0</v>
      </c>
      <c r="AA16" s="14"/>
      <c r="AB16" s="14" t="s">
        <v>76</v>
      </c>
      <c r="AC16" s="14" t="s">
        <v>76</v>
      </c>
      <c r="AD16" s="14" t="s">
        <v>76</v>
      </c>
      <c r="AE16" s="14" t="s">
        <v>76</v>
      </c>
      <c r="AF16" s="14"/>
      <c r="AG16" s="14" t="s">
        <v>76</v>
      </c>
      <c r="AH16" s="14" t="s">
        <v>76</v>
      </c>
      <c r="AI16" s="14"/>
      <c r="AJ16" s="14" t="s">
        <v>76</v>
      </c>
      <c r="AK16" s="14" t="s">
        <v>76</v>
      </c>
      <c r="AL16" s="14"/>
      <c r="AM16" s="14">
        <v>6.8873583663459203E-3</v>
      </c>
      <c r="AN16" s="14">
        <v>7.6217611126278506E-2</v>
      </c>
    </row>
    <row r="17" spans="2:40" x14ac:dyDescent="0.35">
      <c r="B17" s="15" t="s">
        <v>70</v>
      </c>
      <c r="C17" s="20">
        <v>2.1796803799855002E-2</v>
      </c>
      <c r="D17" s="20">
        <v>1.80033712155971E-2</v>
      </c>
      <c r="E17" s="20">
        <v>2.60001519784159E-2</v>
      </c>
      <c r="F17" s="20"/>
      <c r="G17" s="20">
        <v>2.1796803799855002E-2</v>
      </c>
      <c r="H17" s="20" t="s">
        <v>76</v>
      </c>
      <c r="I17" s="20" t="s">
        <v>76</v>
      </c>
      <c r="J17" s="20"/>
      <c r="K17" s="20">
        <v>2.1796803799855002E-2</v>
      </c>
      <c r="L17" s="20" t="s">
        <v>76</v>
      </c>
      <c r="M17" s="20" t="s">
        <v>76</v>
      </c>
      <c r="N17" s="20"/>
      <c r="O17" s="20">
        <v>2.1119635865313801E-2</v>
      </c>
      <c r="P17" s="20">
        <v>0</v>
      </c>
      <c r="Q17" s="20"/>
      <c r="R17" s="20">
        <v>0</v>
      </c>
      <c r="S17" s="20">
        <v>6.6793420409434007E-2</v>
      </c>
      <c r="T17" s="20">
        <v>2.9727507521606099E-2</v>
      </c>
      <c r="U17" s="20">
        <v>0</v>
      </c>
      <c r="V17" s="20">
        <v>0</v>
      </c>
      <c r="W17" s="20">
        <v>4.5124073986677497E-2</v>
      </c>
      <c r="X17" s="20">
        <v>4.8397966315987702E-2</v>
      </c>
      <c r="Y17" s="20">
        <v>0</v>
      </c>
      <c r="Z17" s="20">
        <v>0</v>
      </c>
      <c r="AA17" s="20"/>
      <c r="AB17" s="20" t="s">
        <v>76</v>
      </c>
      <c r="AC17" s="20" t="s">
        <v>76</v>
      </c>
      <c r="AD17" s="20" t="s">
        <v>76</v>
      </c>
      <c r="AE17" s="20" t="s">
        <v>76</v>
      </c>
      <c r="AF17" s="20"/>
      <c r="AG17" s="20" t="s">
        <v>76</v>
      </c>
      <c r="AH17" s="20" t="s">
        <v>76</v>
      </c>
      <c r="AI17" s="20"/>
      <c r="AJ17" s="20" t="s">
        <v>76</v>
      </c>
      <c r="AK17" s="20" t="s">
        <v>76</v>
      </c>
      <c r="AL17" s="20"/>
      <c r="AM17" s="20">
        <v>6.5598755758460798E-3</v>
      </c>
      <c r="AN17" s="20">
        <v>4.2010258510698097E-2</v>
      </c>
    </row>
    <row r="18" spans="2:40" x14ac:dyDescent="0.35">
      <c r="B18" s="27" t="s">
        <v>389</v>
      </c>
    </row>
    <row r="19" spans="2:40" x14ac:dyDescent="0.35">
      <c r="B19" t="s">
        <v>72</v>
      </c>
    </row>
    <row r="20" spans="2:40" x14ac:dyDescent="0.35">
      <c r="B20" t="s">
        <v>73</v>
      </c>
    </row>
    <row r="22" spans="2:40" x14ac:dyDescent="0.35">
      <c r="B22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dimension ref="B2:AN22"/>
  <sheetViews>
    <sheetView showGridLines="0" workbookViewId="0">
      <pane xSplit="2" topLeftCell="C1" activePane="topRight" state="frozen"/>
      <selection pane="topRight" activeCell="C18" sqref="C18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304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428</v>
      </c>
      <c r="D7" s="10">
        <v>233</v>
      </c>
      <c r="E7" s="10">
        <v>195</v>
      </c>
      <c r="F7" s="10"/>
      <c r="G7" s="10">
        <v>428</v>
      </c>
      <c r="H7" s="10" t="s">
        <v>75</v>
      </c>
      <c r="I7" s="10" t="s">
        <v>75</v>
      </c>
      <c r="J7" s="10"/>
      <c r="K7" s="10">
        <v>428</v>
      </c>
      <c r="L7" s="10" t="s">
        <v>75</v>
      </c>
      <c r="M7" s="10" t="s">
        <v>75</v>
      </c>
      <c r="N7" s="10"/>
      <c r="O7" s="10">
        <v>380</v>
      </c>
      <c r="P7" s="10">
        <v>43</v>
      </c>
      <c r="Q7" s="10"/>
      <c r="R7" s="10">
        <v>68</v>
      </c>
      <c r="S7" s="10">
        <v>65</v>
      </c>
      <c r="T7" s="10">
        <v>43</v>
      </c>
      <c r="U7" s="10">
        <v>41</v>
      </c>
      <c r="V7" s="10">
        <v>41</v>
      </c>
      <c r="W7" s="10">
        <v>57</v>
      </c>
      <c r="X7" s="10">
        <v>27</v>
      </c>
      <c r="Y7" s="10">
        <v>21</v>
      </c>
      <c r="Z7" s="10">
        <v>65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301</v>
      </c>
      <c r="AN7" s="10">
        <v>63</v>
      </c>
    </row>
    <row r="8" spans="2:40" ht="30" customHeight="1" x14ac:dyDescent="0.35">
      <c r="B8" s="11" t="s">
        <v>20</v>
      </c>
      <c r="C8" s="11">
        <v>556</v>
      </c>
      <c r="D8" s="11">
        <v>292</v>
      </c>
      <c r="E8" s="11">
        <v>264</v>
      </c>
      <c r="F8" s="11"/>
      <c r="G8" s="11">
        <v>556</v>
      </c>
      <c r="H8" s="11" t="s">
        <v>75</v>
      </c>
      <c r="I8" s="11" t="s">
        <v>75</v>
      </c>
      <c r="J8" s="11"/>
      <c r="K8" s="11">
        <v>556</v>
      </c>
      <c r="L8" s="11" t="s">
        <v>75</v>
      </c>
      <c r="M8" s="11" t="s">
        <v>75</v>
      </c>
      <c r="N8" s="11"/>
      <c r="O8" s="11">
        <v>497</v>
      </c>
      <c r="P8" s="11">
        <v>53</v>
      </c>
      <c r="Q8" s="11"/>
      <c r="R8" s="11">
        <v>96</v>
      </c>
      <c r="S8" s="11">
        <v>78</v>
      </c>
      <c r="T8" s="11">
        <v>58</v>
      </c>
      <c r="U8" s="11">
        <v>62</v>
      </c>
      <c r="V8" s="11">
        <v>53</v>
      </c>
      <c r="W8" s="11">
        <v>57</v>
      </c>
      <c r="X8" s="11">
        <v>54</v>
      </c>
      <c r="Y8" s="11">
        <v>26</v>
      </c>
      <c r="Z8" s="11">
        <v>72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396</v>
      </c>
      <c r="AN8" s="11">
        <v>77</v>
      </c>
    </row>
    <row r="9" spans="2:40" ht="29" x14ac:dyDescent="0.35">
      <c r="B9" s="15" t="s">
        <v>294</v>
      </c>
      <c r="C9" s="14">
        <v>0.516450824920344</v>
      </c>
      <c r="D9" s="14">
        <v>0.56066506090845203</v>
      </c>
      <c r="E9" s="14">
        <v>0.46745883041955599</v>
      </c>
      <c r="F9" s="14"/>
      <c r="G9" s="14">
        <v>0.516450824920344</v>
      </c>
      <c r="H9" s="14" t="s">
        <v>76</v>
      </c>
      <c r="I9" s="14" t="s">
        <v>76</v>
      </c>
      <c r="J9" s="14"/>
      <c r="K9" s="14">
        <v>0.516450824920344</v>
      </c>
      <c r="L9" s="14" t="s">
        <v>76</v>
      </c>
      <c r="M9" s="14" t="s">
        <v>76</v>
      </c>
      <c r="N9" s="14"/>
      <c r="O9" s="14">
        <v>0.53714676105463099</v>
      </c>
      <c r="P9" s="14">
        <v>0.291262419034372</v>
      </c>
      <c r="Q9" s="14"/>
      <c r="R9" s="14">
        <v>0.41713839961626198</v>
      </c>
      <c r="S9" s="14">
        <v>0.621500235108429</v>
      </c>
      <c r="T9" s="14">
        <v>0.59782787508666702</v>
      </c>
      <c r="U9" s="14">
        <v>0.43057290269028298</v>
      </c>
      <c r="V9" s="14">
        <v>0.63273323848806595</v>
      </c>
      <c r="W9" s="14">
        <v>0.58808974166654704</v>
      </c>
      <c r="X9" s="14">
        <v>0.35547337243107502</v>
      </c>
      <c r="Y9" s="14">
        <v>0.42905921998166102</v>
      </c>
      <c r="Z9" s="14">
        <v>0.55201980711446197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0.55249207230899</v>
      </c>
      <c r="AN9" s="14">
        <v>0.48070266244693199</v>
      </c>
    </row>
    <row r="10" spans="2:40" ht="29" x14ac:dyDescent="0.35">
      <c r="B10" s="15" t="s">
        <v>295</v>
      </c>
      <c r="C10" s="14">
        <v>4.5121497267198503E-2</v>
      </c>
      <c r="D10" s="14">
        <v>4.3416638460777097E-2</v>
      </c>
      <c r="E10" s="14">
        <v>4.7010581888976902E-2</v>
      </c>
      <c r="F10" s="14"/>
      <c r="G10" s="14">
        <v>4.5121497267198503E-2</v>
      </c>
      <c r="H10" s="14" t="s">
        <v>76</v>
      </c>
      <c r="I10" s="14" t="s">
        <v>76</v>
      </c>
      <c r="J10" s="14"/>
      <c r="K10" s="14">
        <v>4.5121497267198503E-2</v>
      </c>
      <c r="L10" s="14" t="s">
        <v>76</v>
      </c>
      <c r="M10" s="14" t="s">
        <v>76</v>
      </c>
      <c r="N10" s="14"/>
      <c r="O10" s="14">
        <v>4.8601805038190199E-2</v>
      </c>
      <c r="P10" s="14">
        <v>1.8016430220889099E-2</v>
      </c>
      <c r="Q10" s="14"/>
      <c r="R10" s="14">
        <v>5.3753934371128902E-2</v>
      </c>
      <c r="S10" s="14">
        <v>6.7458646011443898E-2</v>
      </c>
      <c r="T10" s="14">
        <v>0</v>
      </c>
      <c r="U10" s="14">
        <v>0.113105298623075</v>
      </c>
      <c r="V10" s="14">
        <v>0</v>
      </c>
      <c r="W10" s="14">
        <v>3.71557789580036E-2</v>
      </c>
      <c r="X10" s="14">
        <v>2.8140966984951599E-2</v>
      </c>
      <c r="Y10" s="14">
        <v>3.9057802823342702E-2</v>
      </c>
      <c r="Z10" s="14">
        <v>4.2378233428251699E-2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5.7551533834093303E-2</v>
      </c>
      <c r="AN10" s="14">
        <v>1.2327054846636E-2</v>
      </c>
    </row>
    <row r="11" spans="2:40" ht="43.5" x14ac:dyDescent="0.35">
      <c r="B11" s="15" t="s">
        <v>296</v>
      </c>
      <c r="C11" s="14">
        <v>5.7511083504211101E-2</v>
      </c>
      <c r="D11" s="14">
        <v>4.0844626526714702E-2</v>
      </c>
      <c r="E11" s="14">
        <v>7.5978505825129994E-2</v>
      </c>
      <c r="F11" s="14"/>
      <c r="G11" s="14">
        <v>5.7511083504211101E-2</v>
      </c>
      <c r="H11" s="14" t="s">
        <v>76</v>
      </c>
      <c r="I11" s="14" t="s">
        <v>76</v>
      </c>
      <c r="J11" s="14"/>
      <c r="K11" s="14">
        <v>5.7511083504211101E-2</v>
      </c>
      <c r="L11" s="14" t="s">
        <v>76</v>
      </c>
      <c r="M11" s="14" t="s">
        <v>76</v>
      </c>
      <c r="N11" s="14"/>
      <c r="O11" s="14">
        <v>5.8572014896363801E-2</v>
      </c>
      <c r="P11" s="14">
        <v>5.4773472354742003E-2</v>
      </c>
      <c r="Q11" s="14"/>
      <c r="R11" s="14">
        <v>5.6419775471708802E-2</v>
      </c>
      <c r="S11" s="14">
        <v>4.9291747389326797E-2</v>
      </c>
      <c r="T11" s="14">
        <v>3.8457117144806999E-2</v>
      </c>
      <c r="U11" s="14">
        <v>3.8503711783162101E-2</v>
      </c>
      <c r="V11" s="14">
        <v>3.7760854265876997E-2</v>
      </c>
      <c r="W11" s="14">
        <v>4.72509148831394E-2</v>
      </c>
      <c r="X11" s="14">
        <v>0.19799241503751999</v>
      </c>
      <c r="Y11" s="14">
        <v>0</v>
      </c>
      <c r="Z11" s="14">
        <v>3.8527367215973898E-2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3.7616523116882503E-2</v>
      </c>
      <c r="AN11" s="14">
        <v>0.12015170605999501</v>
      </c>
    </row>
    <row r="12" spans="2:40" ht="43.5" x14ac:dyDescent="0.35">
      <c r="B12" s="15" t="s">
        <v>297</v>
      </c>
      <c r="C12" s="14">
        <v>5.0046937982589301E-2</v>
      </c>
      <c r="D12" s="14">
        <v>4.3878256900879098E-2</v>
      </c>
      <c r="E12" s="14">
        <v>5.6882202301383897E-2</v>
      </c>
      <c r="F12" s="14"/>
      <c r="G12" s="14">
        <v>5.0046937982589301E-2</v>
      </c>
      <c r="H12" s="14" t="s">
        <v>76</v>
      </c>
      <c r="I12" s="14" t="s">
        <v>76</v>
      </c>
      <c r="J12" s="14"/>
      <c r="K12" s="14">
        <v>5.0046937982589301E-2</v>
      </c>
      <c r="L12" s="14" t="s">
        <v>76</v>
      </c>
      <c r="M12" s="14" t="s">
        <v>76</v>
      </c>
      <c r="N12" s="14"/>
      <c r="O12" s="14">
        <v>4.0296656979407201E-2</v>
      </c>
      <c r="P12" s="14">
        <v>0.14826437708107701</v>
      </c>
      <c r="Q12" s="14"/>
      <c r="R12" s="14">
        <v>9.5648055275415506E-2</v>
      </c>
      <c r="S12" s="14">
        <v>0</v>
      </c>
      <c r="T12" s="14">
        <v>3.74594708889123E-2</v>
      </c>
      <c r="U12" s="14">
        <v>5.59486686125856E-2</v>
      </c>
      <c r="V12" s="14">
        <v>3.9954259599201403E-2</v>
      </c>
      <c r="W12" s="14">
        <v>5.7211031653293699E-2</v>
      </c>
      <c r="X12" s="14">
        <v>0.101457111720968</v>
      </c>
      <c r="Y12" s="14">
        <v>0</v>
      </c>
      <c r="Z12" s="14">
        <v>3.0249808663351099E-2</v>
      </c>
      <c r="AA12" s="14"/>
      <c r="AB12" s="14" t="s">
        <v>76</v>
      </c>
      <c r="AC12" s="14" t="s">
        <v>76</v>
      </c>
      <c r="AD12" s="14" t="s">
        <v>76</v>
      </c>
      <c r="AE12" s="14" t="s">
        <v>76</v>
      </c>
      <c r="AF12" s="14"/>
      <c r="AG12" s="14" t="s">
        <v>76</v>
      </c>
      <c r="AH12" s="14" t="s">
        <v>76</v>
      </c>
      <c r="AI12" s="14"/>
      <c r="AJ12" s="14" t="s">
        <v>76</v>
      </c>
      <c r="AK12" s="14" t="s">
        <v>76</v>
      </c>
      <c r="AL12" s="14"/>
      <c r="AM12" s="14">
        <v>5.0004215026985398E-2</v>
      </c>
      <c r="AN12" s="14">
        <v>4.7072559056076602E-2</v>
      </c>
    </row>
    <row r="13" spans="2:40" ht="29" x14ac:dyDescent="0.35">
      <c r="B13" s="15" t="s">
        <v>298</v>
      </c>
      <c r="C13" s="14">
        <v>3.0433831023698701E-2</v>
      </c>
      <c r="D13" s="14">
        <v>2.53029238475821E-2</v>
      </c>
      <c r="E13" s="14">
        <v>3.6119180335716303E-2</v>
      </c>
      <c r="F13" s="14"/>
      <c r="G13" s="14">
        <v>3.0433831023698701E-2</v>
      </c>
      <c r="H13" s="14" t="s">
        <v>76</v>
      </c>
      <c r="I13" s="14" t="s">
        <v>76</v>
      </c>
      <c r="J13" s="14"/>
      <c r="K13" s="14">
        <v>3.0433831023698701E-2</v>
      </c>
      <c r="L13" s="14" t="s">
        <v>76</v>
      </c>
      <c r="M13" s="14" t="s">
        <v>76</v>
      </c>
      <c r="N13" s="14"/>
      <c r="O13" s="14">
        <v>2.7766852828328598E-2</v>
      </c>
      <c r="P13" s="14">
        <v>5.9413400045527399E-2</v>
      </c>
      <c r="Q13" s="14"/>
      <c r="R13" s="14">
        <v>2.4456886440263899E-2</v>
      </c>
      <c r="S13" s="14">
        <v>3.3064089393361702E-2</v>
      </c>
      <c r="T13" s="14">
        <v>1.4298883269532299E-2</v>
      </c>
      <c r="U13" s="14">
        <v>5.0967443948763798E-2</v>
      </c>
      <c r="V13" s="14">
        <v>5.2216506329339801E-2</v>
      </c>
      <c r="W13" s="14">
        <v>0</v>
      </c>
      <c r="X13" s="14">
        <v>4.5886924039166901E-2</v>
      </c>
      <c r="Y13" s="14">
        <v>7.8115617998304895E-2</v>
      </c>
      <c r="Z13" s="14">
        <v>1.0075738866204401E-2</v>
      </c>
      <c r="AA13" s="14"/>
      <c r="AB13" s="14" t="s">
        <v>76</v>
      </c>
      <c r="AC13" s="14" t="s">
        <v>76</v>
      </c>
      <c r="AD13" s="14" t="s">
        <v>76</v>
      </c>
      <c r="AE13" s="14" t="s">
        <v>76</v>
      </c>
      <c r="AF13" s="14"/>
      <c r="AG13" s="14" t="s">
        <v>76</v>
      </c>
      <c r="AH13" s="14" t="s">
        <v>76</v>
      </c>
      <c r="AI13" s="14"/>
      <c r="AJ13" s="14" t="s">
        <v>76</v>
      </c>
      <c r="AK13" s="14" t="s">
        <v>76</v>
      </c>
      <c r="AL13" s="14"/>
      <c r="AM13" s="14">
        <v>3.1639790737561901E-2</v>
      </c>
      <c r="AN13" s="14">
        <v>1.08519456001957E-2</v>
      </c>
    </row>
    <row r="14" spans="2:40" ht="29" x14ac:dyDescent="0.35">
      <c r="B14" s="15" t="s">
        <v>299</v>
      </c>
      <c r="C14" s="14">
        <v>4.4848430440762199E-2</v>
      </c>
      <c r="D14" s="14">
        <v>3.6448123127068903E-2</v>
      </c>
      <c r="E14" s="14">
        <v>5.4156468915702603E-2</v>
      </c>
      <c r="F14" s="14"/>
      <c r="G14" s="14">
        <v>4.4848430440762199E-2</v>
      </c>
      <c r="H14" s="14" t="s">
        <v>76</v>
      </c>
      <c r="I14" s="14" t="s">
        <v>76</v>
      </c>
      <c r="J14" s="14"/>
      <c r="K14" s="14">
        <v>4.4848430440762199E-2</v>
      </c>
      <c r="L14" s="14" t="s">
        <v>76</v>
      </c>
      <c r="M14" s="14" t="s">
        <v>76</v>
      </c>
      <c r="N14" s="14"/>
      <c r="O14" s="14">
        <v>4.1603999114131998E-2</v>
      </c>
      <c r="P14" s="14">
        <v>8.1090707409355797E-2</v>
      </c>
      <c r="Q14" s="14"/>
      <c r="R14" s="14">
        <v>9.1662028790736705E-2</v>
      </c>
      <c r="S14" s="14">
        <v>3.37293271607641E-2</v>
      </c>
      <c r="T14" s="14">
        <v>3.7459475402574299E-2</v>
      </c>
      <c r="U14" s="14">
        <v>3.22283133672615E-2</v>
      </c>
      <c r="V14" s="14">
        <v>3.3442451215957097E-2</v>
      </c>
      <c r="W14" s="14">
        <v>0</v>
      </c>
      <c r="X14" s="14">
        <v>0</v>
      </c>
      <c r="Y14" s="14">
        <v>0</v>
      </c>
      <c r="Z14" s="14">
        <v>0.10535835543776099</v>
      </c>
      <c r="AA14" s="14"/>
      <c r="AB14" s="14" t="s">
        <v>76</v>
      </c>
      <c r="AC14" s="14" t="s">
        <v>76</v>
      </c>
      <c r="AD14" s="14" t="s">
        <v>76</v>
      </c>
      <c r="AE14" s="14" t="s">
        <v>76</v>
      </c>
      <c r="AF14" s="14"/>
      <c r="AG14" s="14" t="s">
        <v>76</v>
      </c>
      <c r="AH14" s="14" t="s">
        <v>76</v>
      </c>
      <c r="AI14" s="14"/>
      <c r="AJ14" s="14" t="s">
        <v>76</v>
      </c>
      <c r="AK14" s="14" t="s">
        <v>76</v>
      </c>
      <c r="AL14" s="14"/>
      <c r="AM14" s="14">
        <v>4.5495734492561397E-2</v>
      </c>
      <c r="AN14" s="14">
        <v>1.74514940979567E-2</v>
      </c>
    </row>
    <row r="15" spans="2:40" ht="29" x14ac:dyDescent="0.35">
      <c r="B15" s="15" t="s">
        <v>300</v>
      </c>
      <c r="C15" s="14">
        <v>0.13867703176941701</v>
      </c>
      <c r="D15" s="14">
        <v>0.130599826860611</v>
      </c>
      <c r="E15" s="14">
        <v>0.147627053626188</v>
      </c>
      <c r="F15" s="14"/>
      <c r="G15" s="14">
        <v>0.13867703176941701</v>
      </c>
      <c r="H15" s="14" t="s">
        <v>76</v>
      </c>
      <c r="I15" s="14" t="s">
        <v>76</v>
      </c>
      <c r="J15" s="14"/>
      <c r="K15" s="14">
        <v>0.13867703176941701</v>
      </c>
      <c r="L15" s="14" t="s">
        <v>76</v>
      </c>
      <c r="M15" s="14" t="s">
        <v>76</v>
      </c>
      <c r="N15" s="14"/>
      <c r="O15" s="14">
        <v>0.12618193915221901</v>
      </c>
      <c r="P15" s="14">
        <v>0.27395599984167102</v>
      </c>
      <c r="Q15" s="14"/>
      <c r="R15" s="14">
        <v>0.195264225688596</v>
      </c>
      <c r="S15" s="14">
        <v>6.5708665317600598E-2</v>
      </c>
      <c r="T15" s="14">
        <v>0.16445934159020301</v>
      </c>
      <c r="U15" s="14">
        <v>9.9983987812477707E-2</v>
      </c>
      <c r="V15" s="14">
        <v>0.162874351580963</v>
      </c>
      <c r="W15" s="14">
        <v>0.14726014407826499</v>
      </c>
      <c r="X15" s="14">
        <v>0.14708340749103099</v>
      </c>
      <c r="Y15" s="14">
        <v>0.198134387939084</v>
      </c>
      <c r="Z15" s="14">
        <v>0.10156091719019</v>
      </c>
      <c r="AA15" s="14"/>
      <c r="AB15" s="14" t="s">
        <v>76</v>
      </c>
      <c r="AC15" s="14" t="s">
        <v>76</v>
      </c>
      <c r="AD15" s="14" t="s">
        <v>76</v>
      </c>
      <c r="AE15" s="14" t="s">
        <v>76</v>
      </c>
      <c r="AF15" s="14"/>
      <c r="AG15" s="14" t="s">
        <v>76</v>
      </c>
      <c r="AH15" s="14" t="s">
        <v>76</v>
      </c>
      <c r="AI15" s="14"/>
      <c r="AJ15" s="14" t="s">
        <v>76</v>
      </c>
      <c r="AK15" s="14" t="s">
        <v>76</v>
      </c>
      <c r="AL15" s="14"/>
      <c r="AM15" s="14">
        <v>0.13807929687574699</v>
      </c>
      <c r="AN15" s="14">
        <v>0.116315029384221</v>
      </c>
    </row>
    <row r="16" spans="2:40" ht="29" x14ac:dyDescent="0.35">
      <c r="B16" s="15" t="s">
        <v>301</v>
      </c>
      <c r="C16" s="14">
        <v>1.5634810858377101E-2</v>
      </c>
      <c r="D16" s="14">
        <v>1.5350116650054599E-2</v>
      </c>
      <c r="E16" s="14">
        <v>1.5950268917910099E-2</v>
      </c>
      <c r="F16" s="14"/>
      <c r="G16" s="14">
        <v>1.5634810858377101E-2</v>
      </c>
      <c r="H16" s="14" t="s">
        <v>76</v>
      </c>
      <c r="I16" s="14" t="s">
        <v>76</v>
      </c>
      <c r="J16" s="14"/>
      <c r="K16" s="14">
        <v>1.5634810858377101E-2</v>
      </c>
      <c r="L16" s="14" t="s">
        <v>76</v>
      </c>
      <c r="M16" s="14" t="s">
        <v>76</v>
      </c>
      <c r="N16" s="14"/>
      <c r="O16" s="14">
        <v>1.1193945139952701E-2</v>
      </c>
      <c r="P16" s="14">
        <v>5.9464922126990297E-2</v>
      </c>
      <c r="Q16" s="14"/>
      <c r="R16" s="14">
        <v>9.8882748382167103E-3</v>
      </c>
      <c r="S16" s="14">
        <v>1.06518211480464E-2</v>
      </c>
      <c r="T16" s="14">
        <v>2.9727507521606099E-2</v>
      </c>
      <c r="U16" s="14">
        <v>5.4792751990224202E-2</v>
      </c>
      <c r="V16" s="14">
        <v>0</v>
      </c>
      <c r="W16" s="14">
        <v>0</v>
      </c>
      <c r="X16" s="14">
        <v>0</v>
      </c>
      <c r="Y16" s="14">
        <v>3.7031353520270802E-2</v>
      </c>
      <c r="Z16" s="14">
        <v>1.1499161614023701E-2</v>
      </c>
      <c r="AA16" s="14"/>
      <c r="AB16" s="14" t="s">
        <v>76</v>
      </c>
      <c r="AC16" s="14" t="s">
        <v>76</v>
      </c>
      <c r="AD16" s="14" t="s">
        <v>76</v>
      </c>
      <c r="AE16" s="14" t="s">
        <v>76</v>
      </c>
      <c r="AF16" s="14"/>
      <c r="AG16" s="14" t="s">
        <v>76</v>
      </c>
      <c r="AH16" s="14" t="s">
        <v>76</v>
      </c>
      <c r="AI16" s="14"/>
      <c r="AJ16" s="14" t="s">
        <v>76</v>
      </c>
      <c r="AK16" s="14" t="s">
        <v>76</v>
      </c>
      <c r="AL16" s="14"/>
      <c r="AM16" s="14">
        <v>2.3969823335342299E-3</v>
      </c>
      <c r="AN16" s="14">
        <v>5.4624508737297003E-2</v>
      </c>
    </row>
    <row r="17" spans="2:40" x14ac:dyDescent="0.35">
      <c r="B17" s="15" t="s">
        <v>70</v>
      </c>
      <c r="C17" s="20">
        <v>0.101275552233401</v>
      </c>
      <c r="D17" s="20">
        <v>0.10349442671786099</v>
      </c>
      <c r="E17" s="20">
        <v>9.8816907769436704E-2</v>
      </c>
      <c r="F17" s="20"/>
      <c r="G17" s="20">
        <v>0.101275552233401</v>
      </c>
      <c r="H17" s="20" t="s">
        <v>76</v>
      </c>
      <c r="I17" s="20" t="s">
        <v>76</v>
      </c>
      <c r="J17" s="20"/>
      <c r="K17" s="20">
        <v>0.101275552233401</v>
      </c>
      <c r="L17" s="20" t="s">
        <v>76</v>
      </c>
      <c r="M17" s="20" t="s">
        <v>76</v>
      </c>
      <c r="N17" s="20"/>
      <c r="O17" s="20">
        <v>0.108636025796776</v>
      </c>
      <c r="P17" s="20">
        <v>1.3758271885376001E-2</v>
      </c>
      <c r="Q17" s="20"/>
      <c r="R17" s="20">
        <v>5.5768419507671599E-2</v>
      </c>
      <c r="S17" s="20">
        <v>0.118595468471027</v>
      </c>
      <c r="T17" s="20">
        <v>8.0310329095697797E-2</v>
      </c>
      <c r="U17" s="20">
        <v>0.123896921172166</v>
      </c>
      <c r="V17" s="20">
        <v>4.1018338520596297E-2</v>
      </c>
      <c r="W17" s="20">
        <v>0.123032388760752</v>
      </c>
      <c r="X17" s="20">
        <v>0.123965802295288</v>
      </c>
      <c r="Y17" s="20">
        <v>0.218601617737337</v>
      </c>
      <c r="Z17" s="20">
        <v>0.108330610469783</v>
      </c>
      <c r="AA17" s="20"/>
      <c r="AB17" s="20" t="s">
        <v>76</v>
      </c>
      <c r="AC17" s="20" t="s">
        <v>76</v>
      </c>
      <c r="AD17" s="20" t="s">
        <v>76</v>
      </c>
      <c r="AE17" s="20" t="s">
        <v>76</v>
      </c>
      <c r="AF17" s="20"/>
      <c r="AG17" s="20" t="s">
        <v>76</v>
      </c>
      <c r="AH17" s="20" t="s">
        <v>76</v>
      </c>
      <c r="AI17" s="20"/>
      <c r="AJ17" s="20" t="s">
        <v>76</v>
      </c>
      <c r="AK17" s="20" t="s">
        <v>76</v>
      </c>
      <c r="AL17" s="20"/>
      <c r="AM17" s="20">
        <v>8.47238512736435E-2</v>
      </c>
      <c r="AN17" s="20">
        <v>0.14050303977069001</v>
      </c>
    </row>
    <row r="18" spans="2:40" x14ac:dyDescent="0.35">
      <c r="B18" s="27" t="s">
        <v>389</v>
      </c>
    </row>
    <row r="19" spans="2:40" x14ac:dyDescent="0.35">
      <c r="B19" t="s">
        <v>72</v>
      </c>
    </row>
    <row r="20" spans="2:40" x14ac:dyDescent="0.35">
      <c r="B20" t="s">
        <v>73</v>
      </c>
    </row>
    <row r="22" spans="2:40" x14ac:dyDescent="0.35">
      <c r="B22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dimension ref="B2:AN22"/>
  <sheetViews>
    <sheetView showGridLines="0" workbookViewId="0">
      <pane xSplit="2" topLeftCell="C1" activePane="topRight" state="frozen"/>
      <selection pane="topRight" activeCell="B18" sqref="B18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302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507</v>
      </c>
      <c r="D7" s="10">
        <v>269</v>
      </c>
      <c r="E7" s="10">
        <v>237</v>
      </c>
      <c r="F7" s="10"/>
      <c r="G7" s="10" t="s">
        <v>75</v>
      </c>
      <c r="H7" s="10">
        <v>507</v>
      </c>
      <c r="I7" s="10" t="s">
        <v>75</v>
      </c>
      <c r="J7" s="10"/>
      <c r="K7" s="10">
        <v>507</v>
      </c>
      <c r="L7" s="10" t="s">
        <v>75</v>
      </c>
      <c r="M7" s="10" t="s">
        <v>75</v>
      </c>
      <c r="N7" s="10"/>
      <c r="O7" s="10">
        <v>445</v>
      </c>
      <c r="P7" s="10">
        <v>50</v>
      </c>
      <c r="Q7" s="10"/>
      <c r="R7" s="10">
        <v>66</v>
      </c>
      <c r="S7" s="10">
        <v>89</v>
      </c>
      <c r="T7" s="10">
        <v>56</v>
      </c>
      <c r="U7" s="10">
        <v>54</v>
      </c>
      <c r="V7" s="10">
        <v>46</v>
      </c>
      <c r="W7" s="10">
        <v>63</v>
      </c>
      <c r="X7" s="10">
        <v>38</v>
      </c>
      <c r="Y7" s="10">
        <v>23</v>
      </c>
      <c r="Z7" s="10">
        <v>72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310</v>
      </c>
      <c r="AN7" s="10">
        <v>105</v>
      </c>
    </row>
    <row r="8" spans="2:40" ht="30" customHeight="1" x14ac:dyDescent="0.35">
      <c r="B8" s="11" t="s">
        <v>20</v>
      </c>
      <c r="C8" s="11">
        <v>457</v>
      </c>
      <c r="D8" s="11">
        <v>237</v>
      </c>
      <c r="E8" s="11">
        <v>219</v>
      </c>
      <c r="F8" s="11"/>
      <c r="G8" s="11" t="s">
        <v>75</v>
      </c>
      <c r="H8" s="11">
        <v>457</v>
      </c>
      <c r="I8" s="11" t="s">
        <v>75</v>
      </c>
      <c r="J8" s="11"/>
      <c r="K8" s="11">
        <v>457</v>
      </c>
      <c r="L8" s="11" t="s">
        <v>75</v>
      </c>
      <c r="M8" s="11" t="s">
        <v>75</v>
      </c>
      <c r="N8" s="11"/>
      <c r="O8" s="11">
        <v>400</v>
      </c>
      <c r="P8" s="11">
        <v>47</v>
      </c>
      <c r="Q8" s="11"/>
      <c r="R8" s="11">
        <v>66</v>
      </c>
      <c r="S8" s="11">
        <v>75</v>
      </c>
      <c r="T8" s="11">
        <v>53</v>
      </c>
      <c r="U8" s="11">
        <v>55</v>
      </c>
      <c r="V8" s="11">
        <v>42</v>
      </c>
      <c r="W8" s="11">
        <v>45</v>
      </c>
      <c r="X8" s="11">
        <v>51</v>
      </c>
      <c r="Y8" s="11">
        <v>19</v>
      </c>
      <c r="Z8" s="11">
        <v>51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277</v>
      </c>
      <c r="AN8" s="11">
        <v>97</v>
      </c>
    </row>
    <row r="9" spans="2:40" ht="29" x14ac:dyDescent="0.35">
      <c r="B9" s="15" t="s">
        <v>305</v>
      </c>
      <c r="C9" s="14">
        <v>0.31855047770595801</v>
      </c>
      <c r="D9" s="14">
        <v>0.37697412655286999</v>
      </c>
      <c r="E9" s="14">
        <v>0.25648597439333498</v>
      </c>
      <c r="F9" s="14"/>
      <c r="G9" s="14" t="s">
        <v>76</v>
      </c>
      <c r="H9" s="14">
        <v>0.31855047770595801</v>
      </c>
      <c r="I9" s="14" t="s">
        <v>76</v>
      </c>
      <c r="J9" s="14"/>
      <c r="K9" s="14">
        <v>0.31855047770595801</v>
      </c>
      <c r="L9" s="14" t="s">
        <v>76</v>
      </c>
      <c r="M9" s="14" t="s">
        <v>76</v>
      </c>
      <c r="N9" s="14"/>
      <c r="O9" s="14">
        <v>0.32684205320860599</v>
      </c>
      <c r="P9" s="14">
        <v>0.22564777437738701</v>
      </c>
      <c r="Q9" s="14"/>
      <c r="R9" s="14">
        <v>0.272581808706713</v>
      </c>
      <c r="S9" s="14">
        <v>0.34058729784588099</v>
      </c>
      <c r="T9" s="14">
        <v>0.371359405777065</v>
      </c>
      <c r="U9" s="14">
        <v>0.26621229952377201</v>
      </c>
      <c r="V9" s="14">
        <v>0.321378465590614</v>
      </c>
      <c r="W9" s="14">
        <v>0.32539707520128602</v>
      </c>
      <c r="X9" s="14">
        <v>0.32214005813096502</v>
      </c>
      <c r="Y9" s="14">
        <v>0.39618881812309598</v>
      </c>
      <c r="Z9" s="14">
        <v>0.30593156203922101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0.38246837878307599</v>
      </c>
      <c r="AN9" s="14">
        <v>0.223581289301441</v>
      </c>
    </row>
    <row r="10" spans="2:40" ht="29" x14ac:dyDescent="0.35">
      <c r="B10" s="15" t="s">
        <v>306</v>
      </c>
      <c r="C10" s="14">
        <v>0.11778290696676499</v>
      </c>
      <c r="D10" s="14">
        <v>0.130364384602143</v>
      </c>
      <c r="E10" s="14">
        <v>0.104599570925434</v>
      </c>
      <c r="F10" s="14"/>
      <c r="G10" s="14" t="s">
        <v>76</v>
      </c>
      <c r="H10" s="14">
        <v>0.11778290696676499</v>
      </c>
      <c r="I10" s="14" t="s">
        <v>76</v>
      </c>
      <c r="J10" s="14"/>
      <c r="K10" s="14">
        <v>0.11778290696676499</v>
      </c>
      <c r="L10" s="14" t="s">
        <v>76</v>
      </c>
      <c r="M10" s="14" t="s">
        <v>76</v>
      </c>
      <c r="N10" s="14"/>
      <c r="O10" s="14">
        <v>0.109599333613123</v>
      </c>
      <c r="P10" s="14">
        <v>0.19575066724253101</v>
      </c>
      <c r="Q10" s="14"/>
      <c r="R10" s="14">
        <v>0.15884578661363599</v>
      </c>
      <c r="S10" s="14">
        <v>0.13143103854586599</v>
      </c>
      <c r="T10" s="14">
        <v>0.137967644418894</v>
      </c>
      <c r="U10" s="14">
        <v>0.16324805867286599</v>
      </c>
      <c r="V10" s="14">
        <v>7.9551719376242502E-2</v>
      </c>
      <c r="W10" s="14">
        <v>0.109752165389708</v>
      </c>
      <c r="X10" s="14">
        <v>4.9509249489563499E-2</v>
      </c>
      <c r="Y10" s="14">
        <v>4.18617209979033E-2</v>
      </c>
      <c r="Z10" s="14">
        <v>0.110288618829413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0.15477448176084699</v>
      </c>
      <c r="AN10" s="14">
        <v>4.4441647708266301E-2</v>
      </c>
    </row>
    <row r="11" spans="2:40" ht="29" x14ac:dyDescent="0.35">
      <c r="B11" s="15" t="s">
        <v>307</v>
      </c>
      <c r="C11" s="14">
        <v>0.117576612646955</v>
      </c>
      <c r="D11" s="14">
        <v>0.103144771042356</v>
      </c>
      <c r="E11" s="14">
        <v>0.133634869903975</v>
      </c>
      <c r="F11" s="14"/>
      <c r="G11" s="14" t="s">
        <v>76</v>
      </c>
      <c r="H11" s="14">
        <v>0.117576612646955</v>
      </c>
      <c r="I11" s="14" t="s">
        <v>76</v>
      </c>
      <c r="J11" s="14"/>
      <c r="K11" s="14">
        <v>0.117576612646955</v>
      </c>
      <c r="L11" s="14" t="s">
        <v>76</v>
      </c>
      <c r="M11" s="14" t="s">
        <v>76</v>
      </c>
      <c r="N11" s="14"/>
      <c r="O11" s="14">
        <v>0.116890317001066</v>
      </c>
      <c r="P11" s="14">
        <v>0.111297685273227</v>
      </c>
      <c r="Q11" s="14"/>
      <c r="R11" s="14">
        <v>9.9934254007610093E-2</v>
      </c>
      <c r="S11" s="14">
        <v>6.8607588103435493E-2</v>
      </c>
      <c r="T11" s="14">
        <v>8.6899534892518199E-2</v>
      </c>
      <c r="U11" s="14">
        <v>5.8115921629382603E-2</v>
      </c>
      <c r="V11" s="14">
        <v>7.0937085528014199E-2</v>
      </c>
      <c r="W11" s="14">
        <v>0.17327816385502001</v>
      </c>
      <c r="X11" s="14">
        <v>0.25431943268176399</v>
      </c>
      <c r="Y11" s="14">
        <v>9.7853554725289102E-2</v>
      </c>
      <c r="Z11" s="14">
        <v>0.16842669008415101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7.8064461370102298E-2</v>
      </c>
      <c r="AN11" s="14">
        <v>0.15041608364210901</v>
      </c>
    </row>
    <row r="12" spans="2:40" ht="58" x14ac:dyDescent="0.35">
      <c r="B12" s="15" t="s">
        <v>308</v>
      </c>
      <c r="C12" s="14">
        <v>0.121762088717769</v>
      </c>
      <c r="D12" s="14">
        <v>0.12159513851305701</v>
      </c>
      <c r="E12" s="14">
        <v>0.11868944694791</v>
      </c>
      <c r="F12" s="14"/>
      <c r="G12" s="14" t="s">
        <v>76</v>
      </c>
      <c r="H12" s="14">
        <v>0.121762088717769</v>
      </c>
      <c r="I12" s="14" t="s">
        <v>76</v>
      </c>
      <c r="J12" s="14"/>
      <c r="K12" s="14">
        <v>0.121762088717769</v>
      </c>
      <c r="L12" s="14" t="s">
        <v>76</v>
      </c>
      <c r="M12" s="14" t="s">
        <v>76</v>
      </c>
      <c r="N12" s="14"/>
      <c r="O12" s="14">
        <v>0.120038516812498</v>
      </c>
      <c r="P12" s="14">
        <v>0.14717655527882501</v>
      </c>
      <c r="Q12" s="14"/>
      <c r="R12" s="14">
        <v>0.108426934203711</v>
      </c>
      <c r="S12" s="14">
        <v>0.11305807203302801</v>
      </c>
      <c r="T12" s="14">
        <v>7.1863038867560194E-2</v>
      </c>
      <c r="U12" s="14">
        <v>0.14795997667262001</v>
      </c>
      <c r="V12" s="14">
        <v>0.13368831044908999</v>
      </c>
      <c r="W12" s="14">
        <v>0.153300486992826</v>
      </c>
      <c r="X12" s="14">
        <v>8.6291126560594095E-2</v>
      </c>
      <c r="Y12" s="14">
        <v>0.21165596742012799</v>
      </c>
      <c r="Z12" s="14">
        <v>0.13875218611029599</v>
      </c>
      <c r="AA12" s="14"/>
      <c r="AB12" s="14" t="s">
        <v>76</v>
      </c>
      <c r="AC12" s="14" t="s">
        <v>76</v>
      </c>
      <c r="AD12" s="14" t="s">
        <v>76</v>
      </c>
      <c r="AE12" s="14" t="s">
        <v>76</v>
      </c>
      <c r="AF12" s="14"/>
      <c r="AG12" s="14" t="s">
        <v>76</v>
      </c>
      <c r="AH12" s="14" t="s">
        <v>76</v>
      </c>
      <c r="AI12" s="14"/>
      <c r="AJ12" s="14" t="s">
        <v>76</v>
      </c>
      <c r="AK12" s="14" t="s">
        <v>76</v>
      </c>
      <c r="AL12" s="14"/>
      <c r="AM12" s="14">
        <v>0.111412214260421</v>
      </c>
      <c r="AN12" s="14">
        <v>0.10707099391434401</v>
      </c>
    </row>
    <row r="13" spans="2:40" ht="29" x14ac:dyDescent="0.35">
      <c r="B13" s="15" t="s">
        <v>309</v>
      </c>
      <c r="C13" s="14">
        <v>8.0047220255660995E-2</v>
      </c>
      <c r="D13" s="14">
        <v>7.4027945611106899E-2</v>
      </c>
      <c r="E13" s="14">
        <v>8.68597120438344E-2</v>
      </c>
      <c r="F13" s="14"/>
      <c r="G13" s="14" t="s">
        <v>76</v>
      </c>
      <c r="H13" s="14">
        <v>8.0047220255660995E-2</v>
      </c>
      <c r="I13" s="14" t="s">
        <v>76</v>
      </c>
      <c r="J13" s="14"/>
      <c r="K13" s="14">
        <v>8.0047220255660995E-2</v>
      </c>
      <c r="L13" s="14" t="s">
        <v>76</v>
      </c>
      <c r="M13" s="14" t="s">
        <v>76</v>
      </c>
      <c r="N13" s="14"/>
      <c r="O13" s="14">
        <v>8.0237929725655494E-2</v>
      </c>
      <c r="P13" s="14">
        <v>7.58656575397475E-2</v>
      </c>
      <c r="Q13" s="14"/>
      <c r="R13" s="14">
        <v>0.12191913329651299</v>
      </c>
      <c r="S13" s="14">
        <v>3.2235881482400898E-2</v>
      </c>
      <c r="T13" s="14">
        <v>9.3937937367201504E-2</v>
      </c>
      <c r="U13" s="14">
        <v>0.16476087131554701</v>
      </c>
      <c r="V13" s="14">
        <v>8.6434195078484002E-2</v>
      </c>
      <c r="W13" s="14">
        <v>1.5432304607923801E-2</v>
      </c>
      <c r="X13" s="14">
        <v>2.4754624405641301E-2</v>
      </c>
      <c r="Y13" s="14">
        <v>7.9333136697421605E-2</v>
      </c>
      <c r="Z13" s="14">
        <v>9.7520484067087299E-2</v>
      </c>
      <c r="AA13" s="14"/>
      <c r="AB13" s="14" t="s">
        <v>76</v>
      </c>
      <c r="AC13" s="14" t="s">
        <v>76</v>
      </c>
      <c r="AD13" s="14" t="s">
        <v>76</v>
      </c>
      <c r="AE13" s="14" t="s">
        <v>76</v>
      </c>
      <c r="AF13" s="14"/>
      <c r="AG13" s="14" t="s">
        <v>76</v>
      </c>
      <c r="AH13" s="14" t="s">
        <v>76</v>
      </c>
      <c r="AI13" s="14"/>
      <c r="AJ13" s="14" t="s">
        <v>76</v>
      </c>
      <c r="AK13" s="14" t="s">
        <v>76</v>
      </c>
      <c r="AL13" s="14"/>
      <c r="AM13" s="14">
        <v>8.9314902270050303E-2</v>
      </c>
      <c r="AN13" s="14">
        <v>5.8272953172616299E-2</v>
      </c>
    </row>
    <row r="14" spans="2:40" x14ac:dyDescent="0.35">
      <c r="B14" s="15" t="s">
        <v>310</v>
      </c>
      <c r="C14" s="14">
        <v>0.10722712753374</v>
      </c>
      <c r="D14" s="14">
        <v>7.5379810872714406E-2</v>
      </c>
      <c r="E14" s="14">
        <v>0.14209958092500799</v>
      </c>
      <c r="F14" s="14"/>
      <c r="G14" s="14" t="s">
        <v>76</v>
      </c>
      <c r="H14" s="14">
        <v>0.10722712753374</v>
      </c>
      <c r="I14" s="14" t="s">
        <v>76</v>
      </c>
      <c r="J14" s="14"/>
      <c r="K14" s="14">
        <v>0.10722712753374</v>
      </c>
      <c r="L14" s="14" t="s">
        <v>76</v>
      </c>
      <c r="M14" s="14" t="s">
        <v>76</v>
      </c>
      <c r="N14" s="14"/>
      <c r="O14" s="14">
        <v>0.109587054983092</v>
      </c>
      <c r="P14" s="14">
        <v>9.2564492238477097E-2</v>
      </c>
      <c r="Q14" s="14"/>
      <c r="R14" s="14">
        <v>0.13993184435804301</v>
      </c>
      <c r="S14" s="14">
        <v>0.13479010493829099</v>
      </c>
      <c r="T14" s="14">
        <v>9.1957106740406899E-2</v>
      </c>
      <c r="U14" s="14">
        <v>0.12588569399820301</v>
      </c>
      <c r="V14" s="14">
        <v>8.2787369072865893E-2</v>
      </c>
      <c r="W14" s="14">
        <v>6.25379814848811E-2</v>
      </c>
      <c r="X14" s="14">
        <v>0.110083503724747</v>
      </c>
      <c r="Y14" s="14">
        <v>0.131245078523861</v>
      </c>
      <c r="Z14" s="14">
        <v>6.8028268232239494E-2</v>
      </c>
      <c r="AA14" s="14"/>
      <c r="AB14" s="14" t="s">
        <v>76</v>
      </c>
      <c r="AC14" s="14" t="s">
        <v>76</v>
      </c>
      <c r="AD14" s="14" t="s">
        <v>76</v>
      </c>
      <c r="AE14" s="14" t="s">
        <v>76</v>
      </c>
      <c r="AF14" s="14"/>
      <c r="AG14" s="14" t="s">
        <v>76</v>
      </c>
      <c r="AH14" s="14" t="s">
        <v>76</v>
      </c>
      <c r="AI14" s="14"/>
      <c r="AJ14" s="14" t="s">
        <v>76</v>
      </c>
      <c r="AK14" s="14" t="s">
        <v>76</v>
      </c>
      <c r="AL14" s="14"/>
      <c r="AM14" s="14">
        <v>9.4757153606208205E-2</v>
      </c>
      <c r="AN14" s="14">
        <v>0.135612957243091</v>
      </c>
    </row>
    <row r="15" spans="2:40" ht="43.5" x14ac:dyDescent="0.35">
      <c r="B15" s="15" t="s">
        <v>311</v>
      </c>
      <c r="C15" s="14">
        <v>4.2048451377017397E-2</v>
      </c>
      <c r="D15" s="14">
        <v>5.0201212698134497E-2</v>
      </c>
      <c r="E15" s="14">
        <v>3.3378720038123297E-2</v>
      </c>
      <c r="F15" s="14"/>
      <c r="G15" s="14" t="s">
        <v>76</v>
      </c>
      <c r="H15" s="14">
        <v>4.2048451377017397E-2</v>
      </c>
      <c r="I15" s="14" t="s">
        <v>76</v>
      </c>
      <c r="J15" s="14"/>
      <c r="K15" s="14">
        <v>4.2048451377017397E-2</v>
      </c>
      <c r="L15" s="14" t="s">
        <v>76</v>
      </c>
      <c r="M15" s="14" t="s">
        <v>76</v>
      </c>
      <c r="N15" s="14"/>
      <c r="O15" s="14">
        <v>3.6444502393547802E-2</v>
      </c>
      <c r="P15" s="14">
        <v>9.9752515295041297E-2</v>
      </c>
      <c r="Q15" s="14"/>
      <c r="R15" s="14">
        <v>5.6723238299078597E-2</v>
      </c>
      <c r="S15" s="14">
        <v>2.1594454109024799E-2</v>
      </c>
      <c r="T15" s="14">
        <v>7.3424496429976699E-2</v>
      </c>
      <c r="U15" s="14">
        <v>3.68156513725253E-2</v>
      </c>
      <c r="V15" s="14">
        <v>4.1964447420580003E-2</v>
      </c>
      <c r="W15" s="14">
        <v>8.9757981091687006E-2</v>
      </c>
      <c r="X15" s="14">
        <v>0</v>
      </c>
      <c r="Y15" s="14">
        <v>0</v>
      </c>
      <c r="Z15" s="14">
        <v>4.2128417282619297E-2</v>
      </c>
      <c r="AA15" s="14"/>
      <c r="AB15" s="14" t="s">
        <v>76</v>
      </c>
      <c r="AC15" s="14" t="s">
        <v>76</v>
      </c>
      <c r="AD15" s="14" t="s">
        <v>76</v>
      </c>
      <c r="AE15" s="14" t="s">
        <v>76</v>
      </c>
      <c r="AF15" s="14"/>
      <c r="AG15" s="14" t="s">
        <v>76</v>
      </c>
      <c r="AH15" s="14" t="s">
        <v>76</v>
      </c>
      <c r="AI15" s="14"/>
      <c r="AJ15" s="14" t="s">
        <v>76</v>
      </c>
      <c r="AK15" s="14" t="s">
        <v>76</v>
      </c>
      <c r="AL15" s="14"/>
      <c r="AM15" s="14">
        <v>5.7787275882537799E-2</v>
      </c>
      <c r="AN15" s="14">
        <v>1.6851388502389701E-2</v>
      </c>
    </row>
    <row r="16" spans="2:40" ht="29" x14ac:dyDescent="0.35">
      <c r="B16" s="15" t="s">
        <v>301</v>
      </c>
      <c r="C16" s="14">
        <v>6.3497077057002804E-2</v>
      </c>
      <c r="D16" s="14">
        <v>4.9220444512449002E-2</v>
      </c>
      <c r="E16" s="14">
        <v>7.9186984299125504E-2</v>
      </c>
      <c r="F16" s="14"/>
      <c r="G16" s="14" t="s">
        <v>76</v>
      </c>
      <c r="H16" s="14">
        <v>6.3497077057002804E-2</v>
      </c>
      <c r="I16" s="14" t="s">
        <v>76</v>
      </c>
      <c r="J16" s="14"/>
      <c r="K16" s="14">
        <v>6.3497077057002804E-2</v>
      </c>
      <c r="L16" s="14" t="s">
        <v>76</v>
      </c>
      <c r="M16" s="14" t="s">
        <v>76</v>
      </c>
      <c r="N16" s="14"/>
      <c r="O16" s="14">
        <v>6.7088888873646502E-2</v>
      </c>
      <c r="P16" s="14">
        <v>2.8478803068809601E-2</v>
      </c>
      <c r="Q16" s="14"/>
      <c r="R16" s="14">
        <v>4.1637000514696702E-2</v>
      </c>
      <c r="S16" s="14">
        <v>8.1113332464721605E-2</v>
      </c>
      <c r="T16" s="14">
        <v>5.5804184644224E-2</v>
      </c>
      <c r="U16" s="14">
        <v>1.85007634075426E-2</v>
      </c>
      <c r="V16" s="14">
        <v>0.157328913403633</v>
      </c>
      <c r="W16" s="14">
        <v>5.1967580921117799E-2</v>
      </c>
      <c r="X16" s="14">
        <v>0.102038119085398</v>
      </c>
      <c r="Y16" s="14">
        <v>0</v>
      </c>
      <c r="Z16" s="14">
        <v>4.0838162135663901E-2</v>
      </c>
      <c r="AA16" s="14"/>
      <c r="AB16" s="14" t="s">
        <v>76</v>
      </c>
      <c r="AC16" s="14" t="s">
        <v>76</v>
      </c>
      <c r="AD16" s="14" t="s">
        <v>76</v>
      </c>
      <c r="AE16" s="14" t="s">
        <v>76</v>
      </c>
      <c r="AF16" s="14"/>
      <c r="AG16" s="14" t="s">
        <v>76</v>
      </c>
      <c r="AH16" s="14" t="s">
        <v>76</v>
      </c>
      <c r="AI16" s="14"/>
      <c r="AJ16" s="14" t="s">
        <v>76</v>
      </c>
      <c r="AK16" s="14" t="s">
        <v>76</v>
      </c>
      <c r="AL16" s="14"/>
      <c r="AM16" s="14">
        <v>3.1048671797349902E-3</v>
      </c>
      <c r="AN16" s="14">
        <v>0.24465148337037099</v>
      </c>
    </row>
    <row r="17" spans="2:40" x14ac:dyDescent="0.35">
      <c r="B17" s="15" t="s">
        <v>70</v>
      </c>
      <c r="C17" s="20">
        <v>3.15080377391323E-2</v>
      </c>
      <c r="D17" s="20">
        <v>1.9092165595169502E-2</v>
      </c>
      <c r="E17" s="20">
        <v>4.50651405232542E-2</v>
      </c>
      <c r="F17" s="20"/>
      <c r="G17" s="20" t="s">
        <v>76</v>
      </c>
      <c r="H17" s="20">
        <v>3.15080377391323E-2</v>
      </c>
      <c r="I17" s="20" t="s">
        <v>76</v>
      </c>
      <c r="J17" s="20"/>
      <c r="K17" s="20">
        <v>3.15080377391323E-2</v>
      </c>
      <c r="L17" s="20" t="s">
        <v>76</v>
      </c>
      <c r="M17" s="20" t="s">
        <v>76</v>
      </c>
      <c r="N17" s="20"/>
      <c r="O17" s="20">
        <v>3.3271403388765303E-2</v>
      </c>
      <c r="P17" s="20">
        <v>2.3465849685955199E-2</v>
      </c>
      <c r="Q17" s="20"/>
      <c r="R17" s="20">
        <v>0</v>
      </c>
      <c r="S17" s="20">
        <v>7.6582230477351798E-2</v>
      </c>
      <c r="T17" s="20">
        <v>1.6786650862153901E-2</v>
      </c>
      <c r="U17" s="20">
        <v>1.85007634075426E-2</v>
      </c>
      <c r="V17" s="20">
        <v>2.5929494080476002E-2</v>
      </c>
      <c r="W17" s="20">
        <v>1.8576260455550699E-2</v>
      </c>
      <c r="X17" s="20">
        <v>5.0863885921327699E-2</v>
      </c>
      <c r="Y17" s="20">
        <v>4.1861723512300497E-2</v>
      </c>
      <c r="Z17" s="20">
        <v>2.8085611219307801E-2</v>
      </c>
      <c r="AA17" s="20"/>
      <c r="AB17" s="20" t="s">
        <v>76</v>
      </c>
      <c r="AC17" s="20" t="s">
        <v>76</v>
      </c>
      <c r="AD17" s="20" t="s">
        <v>76</v>
      </c>
      <c r="AE17" s="20" t="s">
        <v>76</v>
      </c>
      <c r="AF17" s="20"/>
      <c r="AG17" s="20" t="s">
        <v>76</v>
      </c>
      <c r="AH17" s="20" t="s">
        <v>76</v>
      </c>
      <c r="AI17" s="20"/>
      <c r="AJ17" s="20" t="s">
        <v>76</v>
      </c>
      <c r="AK17" s="20" t="s">
        <v>76</v>
      </c>
      <c r="AL17" s="20"/>
      <c r="AM17" s="20">
        <v>2.83162648870212E-2</v>
      </c>
      <c r="AN17" s="20">
        <v>1.9101203145372E-2</v>
      </c>
    </row>
    <row r="18" spans="2:40" x14ac:dyDescent="0.35">
      <c r="B18" s="28" t="s">
        <v>209</v>
      </c>
    </row>
    <row r="19" spans="2:40" x14ac:dyDescent="0.35">
      <c r="B19" t="s">
        <v>72</v>
      </c>
    </row>
    <row r="20" spans="2:40" x14ac:dyDescent="0.35">
      <c r="B20" t="s">
        <v>73</v>
      </c>
    </row>
    <row r="22" spans="2:40" x14ac:dyDescent="0.35">
      <c r="B22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dimension ref="B2:AN22"/>
  <sheetViews>
    <sheetView showGridLines="0" workbookViewId="0">
      <pane xSplit="2" topLeftCell="C1" activePane="topRight" state="frozen"/>
      <selection pane="topRight" activeCell="B19" sqref="B19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304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507</v>
      </c>
      <c r="D7" s="10">
        <v>269</v>
      </c>
      <c r="E7" s="10">
        <v>237</v>
      </c>
      <c r="F7" s="10"/>
      <c r="G7" s="10" t="s">
        <v>75</v>
      </c>
      <c r="H7" s="10">
        <v>507</v>
      </c>
      <c r="I7" s="10" t="s">
        <v>75</v>
      </c>
      <c r="J7" s="10"/>
      <c r="K7" s="10">
        <v>507</v>
      </c>
      <c r="L7" s="10" t="s">
        <v>75</v>
      </c>
      <c r="M7" s="10" t="s">
        <v>75</v>
      </c>
      <c r="N7" s="10"/>
      <c r="O7" s="10">
        <v>445</v>
      </c>
      <c r="P7" s="10">
        <v>50</v>
      </c>
      <c r="Q7" s="10"/>
      <c r="R7" s="10">
        <v>66</v>
      </c>
      <c r="S7" s="10">
        <v>89</v>
      </c>
      <c r="T7" s="10">
        <v>56</v>
      </c>
      <c r="U7" s="10">
        <v>54</v>
      </c>
      <c r="V7" s="10">
        <v>46</v>
      </c>
      <c r="W7" s="10">
        <v>63</v>
      </c>
      <c r="X7" s="10">
        <v>38</v>
      </c>
      <c r="Y7" s="10">
        <v>23</v>
      </c>
      <c r="Z7" s="10">
        <v>72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310</v>
      </c>
      <c r="AN7" s="10">
        <v>105</v>
      </c>
    </row>
    <row r="8" spans="2:40" ht="30" customHeight="1" x14ac:dyDescent="0.35">
      <c r="B8" s="11" t="s">
        <v>20</v>
      </c>
      <c r="C8" s="11">
        <v>457</v>
      </c>
      <c r="D8" s="11">
        <v>237</v>
      </c>
      <c r="E8" s="11">
        <v>219</v>
      </c>
      <c r="F8" s="11"/>
      <c r="G8" s="11" t="s">
        <v>75</v>
      </c>
      <c r="H8" s="11">
        <v>457</v>
      </c>
      <c r="I8" s="11" t="s">
        <v>75</v>
      </c>
      <c r="J8" s="11"/>
      <c r="K8" s="11">
        <v>457</v>
      </c>
      <c r="L8" s="11" t="s">
        <v>75</v>
      </c>
      <c r="M8" s="11" t="s">
        <v>75</v>
      </c>
      <c r="N8" s="11"/>
      <c r="O8" s="11">
        <v>400</v>
      </c>
      <c r="P8" s="11">
        <v>47</v>
      </c>
      <c r="Q8" s="11"/>
      <c r="R8" s="11">
        <v>66</v>
      </c>
      <c r="S8" s="11">
        <v>75</v>
      </c>
      <c r="T8" s="11">
        <v>53</v>
      </c>
      <c r="U8" s="11">
        <v>55</v>
      </c>
      <c r="V8" s="11">
        <v>42</v>
      </c>
      <c r="W8" s="11">
        <v>45</v>
      </c>
      <c r="X8" s="11">
        <v>51</v>
      </c>
      <c r="Y8" s="11">
        <v>19</v>
      </c>
      <c r="Z8" s="11">
        <v>51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277</v>
      </c>
      <c r="AN8" s="11">
        <v>97</v>
      </c>
    </row>
    <row r="9" spans="2:40" ht="29" x14ac:dyDescent="0.35">
      <c r="B9" s="15" t="s">
        <v>305</v>
      </c>
      <c r="C9" s="14">
        <v>0.36956890898698702</v>
      </c>
      <c r="D9" s="14">
        <v>0.36018937988377198</v>
      </c>
      <c r="E9" s="14">
        <v>0.38109144279940799</v>
      </c>
      <c r="F9" s="14"/>
      <c r="G9" s="14" t="s">
        <v>76</v>
      </c>
      <c r="H9" s="14">
        <v>0.36956890898698702</v>
      </c>
      <c r="I9" s="14" t="s">
        <v>76</v>
      </c>
      <c r="J9" s="14"/>
      <c r="K9" s="14">
        <v>0.36956890898698702</v>
      </c>
      <c r="L9" s="14" t="s">
        <v>76</v>
      </c>
      <c r="M9" s="14" t="s">
        <v>76</v>
      </c>
      <c r="N9" s="14"/>
      <c r="O9" s="14">
        <v>0.37023260028011101</v>
      </c>
      <c r="P9" s="14">
        <v>0.370010498106222</v>
      </c>
      <c r="Q9" s="14"/>
      <c r="R9" s="14">
        <v>0.34541322501670302</v>
      </c>
      <c r="S9" s="14">
        <v>0.33125364794788398</v>
      </c>
      <c r="T9" s="14">
        <v>0.36125346345982701</v>
      </c>
      <c r="U9" s="14">
        <v>0.380477900390574</v>
      </c>
      <c r="V9" s="14">
        <v>0.50089310857501901</v>
      </c>
      <c r="W9" s="14">
        <v>0.34342906919600702</v>
      </c>
      <c r="X9" s="14">
        <v>0.375661876736407</v>
      </c>
      <c r="Y9" s="14">
        <v>0.34251090548761798</v>
      </c>
      <c r="Z9" s="14">
        <v>0.372871476252154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0.380573399051851</v>
      </c>
      <c r="AN9" s="14">
        <v>0.35739805352936499</v>
      </c>
    </row>
    <row r="10" spans="2:40" ht="29" x14ac:dyDescent="0.35">
      <c r="B10" s="15" t="s">
        <v>306</v>
      </c>
      <c r="C10" s="14">
        <v>7.8525038381161205E-2</v>
      </c>
      <c r="D10" s="14">
        <v>7.7097714410758605E-2</v>
      </c>
      <c r="E10" s="14">
        <v>8.0361030056330496E-2</v>
      </c>
      <c r="F10" s="14"/>
      <c r="G10" s="14" t="s">
        <v>76</v>
      </c>
      <c r="H10" s="14">
        <v>7.8525038381161205E-2</v>
      </c>
      <c r="I10" s="14" t="s">
        <v>76</v>
      </c>
      <c r="J10" s="14"/>
      <c r="K10" s="14">
        <v>7.8525038381161205E-2</v>
      </c>
      <c r="L10" s="14" t="s">
        <v>76</v>
      </c>
      <c r="M10" s="14" t="s">
        <v>76</v>
      </c>
      <c r="N10" s="14"/>
      <c r="O10" s="14">
        <v>8.1011173179780099E-2</v>
      </c>
      <c r="P10" s="14">
        <v>5.79579895596763E-2</v>
      </c>
      <c r="Q10" s="14"/>
      <c r="R10" s="14">
        <v>8.0290066382425196E-2</v>
      </c>
      <c r="S10" s="14">
        <v>9.7158211168524203E-2</v>
      </c>
      <c r="T10" s="14">
        <v>9.0296103104927597E-2</v>
      </c>
      <c r="U10" s="14">
        <v>6.9723580432575302E-2</v>
      </c>
      <c r="V10" s="14">
        <v>6.3505481855964593E-2</v>
      </c>
      <c r="W10" s="14">
        <v>0.12143135334828099</v>
      </c>
      <c r="X10" s="14">
        <v>2.9797768857516199E-2</v>
      </c>
      <c r="Y10" s="14">
        <v>4.41525030001719E-2</v>
      </c>
      <c r="Z10" s="14">
        <v>8.2237991469887403E-2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9.4429108121511701E-2</v>
      </c>
      <c r="AN10" s="14">
        <v>8.4516218207185204E-2</v>
      </c>
    </row>
    <row r="11" spans="2:40" ht="29" x14ac:dyDescent="0.35">
      <c r="B11" s="15" t="s">
        <v>307</v>
      </c>
      <c r="C11" s="14">
        <v>0.20616399244841399</v>
      </c>
      <c r="D11" s="14">
        <v>0.19705443997799599</v>
      </c>
      <c r="E11" s="14">
        <v>0.21308452377644299</v>
      </c>
      <c r="F11" s="14"/>
      <c r="G11" s="14" t="s">
        <v>76</v>
      </c>
      <c r="H11" s="14">
        <v>0.20616399244841399</v>
      </c>
      <c r="I11" s="14" t="s">
        <v>76</v>
      </c>
      <c r="J11" s="14"/>
      <c r="K11" s="14">
        <v>0.20616399244841399</v>
      </c>
      <c r="L11" s="14" t="s">
        <v>76</v>
      </c>
      <c r="M11" s="14" t="s">
        <v>76</v>
      </c>
      <c r="N11" s="14"/>
      <c r="O11" s="14">
        <v>0.21487746628773199</v>
      </c>
      <c r="P11" s="14">
        <v>0.118645407893821</v>
      </c>
      <c r="Q11" s="14"/>
      <c r="R11" s="14">
        <v>0.19805575117114299</v>
      </c>
      <c r="S11" s="14">
        <v>0.14631824821616901</v>
      </c>
      <c r="T11" s="14">
        <v>0.160885880797832</v>
      </c>
      <c r="U11" s="14">
        <v>0.28077280570347402</v>
      </c>
      <c r="V11" s="14">
        <v>0.180567788366162</v>
      </c>
      <c r="W11" s="14">
        <v>0.196337462789126</v>
      </c>
      <c r="X11" s="14">
        <v>0.227182862506383</v>
      </c>
      <c r="Y11" s="14">
        <v>0.26872615016932599</v>
      </c>
      <c r="Z11" s="14">
        <v>0.25608044011529002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0.18696639807205301</v>
      </c>
      <c r="AN11" s="14">
        <v>0.22825513482427001</v>
      </c>
    </row>
    <row r="12" spans="2:40" ht="58" x14ac:dyDescent="0.35">
      <c r="B12" s="15" t="s">
        <v>308</v>
      </c>
      <c r="C12" s="14">
        <v>3.9861654692117797E-2</v>
      </c>
      <c r="D12" s="14">
        <v>5.0336659167149501E-2</v>
      </c>
      <c r="E12" s="14">
        <v>2.8669956535073201E-2</v>
      </c>
      <c r="F12" s="14"/>
      <c r="G12" s="14" t="s">
        <v>76</v>
      </c>
      <c r="H12" s="14">
        <v>3.9861654692117797E-2</v>
      </c>
      <c r="I12" s="14" t="s">
        <v>76</v>
      </c>
      <c r="J12" s="14"/>
      <c r="K12" s="14">
        <v>3.9861654692117797E-2</v>
      </c>
      <c r="L12" s="14" t="s">
        <v>76</v>
      </c>
      <c r="M12" s="14" t="s">
        <v>76</v>
      </c>
      <c r="N12" s="14"/>
      <c r="O12" s="14">
        <v>4.1087629093491E-2</v>
      </c>
      <c r="P12" s="14">
        <v>3.83300394897996E-2</v>
      </c>
      <c r="Q12" s="14"/>
      <c r="R12" s="14">
        <v>4.0833159698417602E-2</v>
      </c>
      <c r="S12" s="14">
        <v>5.7405637182591701E-2</v>
      </c>
      <c r="T12" s="14">
        <v>4.8902797325956197E-2</v>
      </c>
      <c r="U12" s="14">
        <v>3.5301659135230999E-2</v>
      </c>
      <c r="V12" s="14">
        <v>1.9281887774070802E-2</v>
      </c>
      <c r="W12" s="14">
        <v>3.00639303688491E-2</v>
      </c>
      <c r="X12" s="14">
        <v>3.1428383198613699E-2</v>
      </c>
      <c r="Y12" s="14">
        <v>4.1861723512300497E-2</v>
      </c>
      <c r="Z12" s="14">
        <v>4.1575882867408903E-2</v>
      </c>
      <c r="AA12" s="14"/>
      <c r="AB12" s="14" t="s">
        <v>76</v>
      </c>
      <c r="AC12" s="14" t="s">
        <v>76</v>
      </c>
      <c r="AD12" s="14" t="s">
        <v>76</v>
      </c>
      <c r="AE12" s="14" t="s">
        <v>76</v>
      </c>
      <c r="AF12" s="14"/>
      <c r="AG12" s="14" t="s">
        <v>76</v>
      </c>
      <c r="AH12" s="14" t="s">
        <v>76</v>
      </c>
      <c r="AI12" s="14"/>
      <c r="AJ12" s="14" t="s">
        <v>76</v>
      </c>
      <c r="AK12" s="14" t="s">
        <v>76</v>
      </c>
      <c r="AL12" s="14"/>
      <c r="AM12" s="14">
        <v>3.8725822640207998E-2</v>
      </c>
      <c r="AN12" s="14">
        <v>2.37403189728655E-2</v>
      </c>
    </row>
    <row r="13" spans="2:40" ht="29" x14ac:dyDescent="0.35">
      <c r="B13" s="15" t="s">
        <v>309</v>
      </c>
      <c r="C13" s="14">
        <v>6.0172093784571098E-2</v>
      </c>
      <c r="D13" s="14">
        <v>6.5542843279691093E-2</v>
      </c>
      <c r="E13" s="14">
        <v>5.4581073209263899E-2</v>
      </c>
      <c r="F13" s="14"/>
      <c r="G13" s="14" t="s">
        <v>76</v>
      </c>
      <c r="H13" s="14">
        <v>6.0172093784571098E-2</v>
      </c>
      <c r="I13" s="14" t="s">
        <v>76</v>
      </c>
      <c r="J13" s="14"/>
      <c r="K13" s="14">
        <v>6.0172093784571098E-2</v>
      </c>
      <c r="L13" s="14" t="s">
        <v>76</v>
      </c>
      <c r="M13" s="14" t="s">
        <v>76</v>
      </c>
      <c r="N13" s="14"/>
      <c r="O13" s="14">
        <v>6.6943545416837003E-2</v>
      </c>
      <c r="P13" s="14">
        <v>1.5538255633197299E-2</v>
      </c>
      <c r="Q13" s="14"/>
      <c r="R13" s="14">
        <v>5.2882449492439899E-2</v>
      </c>
      <c r="S13" s="14">
        <v>0.108381964082538</v>
      </c>
      <c r="T13" s="14">
        <v>9.1878751698931796E-2</v>
      </c>
      <c r="U13" s="14">
        <v>7.1343292037323799E-2</v>
      </c>
      <c r="V13" s="14">
        <v>2.15410344353846E-2</v>
      </c>
      <c r="W13" s="14">
        <v>7.5937074371085905E-2</v>
      </c>
      <c r="X13" s="14">
        <v>0</v>
      </c>
      <c r="Y13" s="14">
        <v>0</v>
      </c>
      <c r="Z13" s="14">
        <v>5.4714048489753302E-2</v>
      </c>
      <c r="AA13" s="14"/>
      <c r="AB13" s="14" t="s">
        <v>76</v>
      </c>
      <c r="AC13" s="14" t="s">
        <v>76</v>
      </c>
      <c r="AD13" s="14" t="s">
        <v>76</v>
      </c>
      <c r="AE13" s="14" t="s">
        <v>76</v>
      </c>
      <c r="AF13" s="14"/>
      <c r="AG13" s="14" t="s">
        <v>76</v>
      </c>
      <c r="AH13" s="14" t="s">
        <v>76</v>
      </c>
      <c r="AI13" s="14"/>
      <c r="AJ13" s="14" t="s">
        <v>76</v>
      </c>
      <c r="AK13" s="14" t="s">
        <v>76</v>
      </c>
      <c r="AL13" s="14"/>
      <c r="AM13" s="14">
        <v>7.1240773501104901E-2</v>
      </c>
      <c r="AN13" s="14">
        <v>4.11962645648851E-2</v>
      </c>
    </row>
    <row r="14" spans="2:40" x14ac:dyDescent="0.35">
      <c r="B14" s="15" t="s">
        <v>310</v>
      </c>
      <c r="C14" s="14">
        <v>2.68854321240268E-2</v>
      </c>
      <c r="D14" s="14">
        <v>2.48058262830596E-2</v>
      </c>
      <c r="E14" s="14">
        <v>2.9236234391752401E-2</v>
      </c>
      <c r="F14" s="14"/>
      <c r="G14" s="14" t="s">
        <v>76</v>
      </c>
      <c r="H14" s="14">
        <v>2.68854321240268E-2</v>
      </c>
      <c r="I14" s="14" t="s">
        <v>76</v>
      </c>
      <c r="J14" s="14"/>
      <c r="K14" s="14">
        <v>2.68854321240268E-2</v>
      </c>
      <c r="L14" s="14" t="s">
        <v>76</v>
      </c>
      <c r="M14" s="14" t="s">
        <v>76</v>
      </c>
      <c r="N14" s="14"/>
      <c r="O14" s="14">
        <v>2.4959678309630199E-2</v>
      </c>
      <c r="P14" s="14">
        <v>4.9526645394185498E-2</v>
      </c>
      <c r="Q14" s="14"/>
      <c r="R14" s="14">
        <v>2.97407222488794E-2</v>
      </c>
      <c r="S14" s="14">
        <v>2.1726211855078899E-2</v>
      </c>
      <c r="T14" s="14">
        <v>1.7705259470451901E-2</v>
      </c>
      <c r="U14" s="14">
        <v>0</v>
      </c>
      <c r="V14" s="14">
        <v>2.15410344353846E-2</v>
      </c>
      <c r="W14" s="14">
        <v>7.44087540589385E-2</v>
      </c>
      <c r="X14" s="14">
        <v>2.6109261945327301E-2</v>
      </c>
      <c r="Y14" s="14">
        <v>4.1861723512300497E-2</v>
      </c>
      <c r="Z14" s="14">
        <v>2.6795356299181301E-2</v>
      </c>
      <c r="AA14" s="14"/>
      <c r="AB14" s="14" t="s">
        <v>76</v>
      </c>
      <c r="AC14" s="14" t="s">
        <v>76</v>
      </c>
      <c r="AD14" s="14" t="s">
        <v>76</v>
      </c>
      <c r="AE14" s="14" t="s">
        <v>76</v>
      </c>
      <c r="AF14" s="14"/>
      <c r="AG14" s="14" t="s">
        <v>76</v>
      </c>
      <c r="AH14" s="14" t="s">
        <v>76</v>
      </c>
      <c r="AI14" s="14"/>
      <c r="AJ14" s="14" t="s">
        <v>76</v>
      </c>
      <c r="AK14" s="14" t="s">
        <v>76</v>
      </c>
      <c r="AL14" s="14"/>
      <c r="AM14" s="14">
        <v>2.27697124010924E-2</v>
      </c>
      <c r="AN14" s="14">
        <v>1.70845553859021E-2</v>
      </c>
    </row>
    <row r="15" spans="2:40" ht="43.5" x14ac:dyDescent="0.35">
      <c r="B15" s="15" t="s">
        <v>311</v>
      </c>
      <c r="C15" s="14">
        <v>9.7220414493055393E-2</v>
      </c>
      <c r="D15" s="14">
        <v>9.6803316339880402E-2</v>
      </c>
      <c r="E15" s="14">
        <v>9.8032075940698502E-2</v>
      </c>
      <c r="F15" s="14"/>
      <c r="G15" s="14" t="s">
        <v>76</v>
      </c>
      <c r="H15" s="14">
        <v>9.7220414493055393E-2</v>
      </c>
      <c r="I15" s="14" t="s">
        <v>76</v>
      </c>
      <c r="J15" s="14"/>
      <c r="K15" s="14">
        <v>9.7220414493055393E-2</v>
      </c>
      <c r="L15" s="14" t="s">
        <v>76</v>
      </c>
      <c r="M15" s="14" t="s">
        <v>76</v>
      </c>
      <c r="N15" s="14"/>
      <c r="O15" s="14">
        <v>8.0495615809675305E-2</v>
      </c>
      <c r="P15" s="14">
        <v>0.22705968406924401</v>
      </c>
      <c r="Q15" s="14"/>
      <c r="R15" s="14">
        <v>0.13164456043324799</v>
      </c>
      <c r="S15" s="14">
        <v>5.6663699024422101E-2</v>
      </c>
      <c r="T15" s="14">
        <v>0.137218643617602</v>
      </c>
      <c r="U15" s="14">
        <v>5.6175620610715703E-2</v>
      </c>
      <c r="V15" s="14">
        <v>8.3928895128109401E-2</v>
      </c>
      <c r="W15" s="14">
        <v>7.5743600299156097E-2</v>
      </c>
      <c r="X15" s="14">
        <v>7.6256187648464299E-2</v>
      </c>
      <c r="Y15" s="14">
        <v>0.130720264805639</v>
      </c>
      <c r="Z15" s="14">
        <v>0.15241058639141</v>
      </c>
      <c r="AA15" s="14"/>
      <c r="AB15" s="14" t="s">
        <v>76</v>
      </c>
      <c r="AC15" s="14" t="s">
        <v>76</v>
      </c>
      <c r="AD15" s="14" t="s">
        <v>76</v>
      </c>
      <c r="AE15" s="14" t="s">
        <v>76</v>
      </c>
      <c r="AF15" s="14"/>
      <c r="AG15" s="14" t="s">
        <v>76</v>
      </c>
      <c r="AH15" s="14" t="s">
        <v>76</v>
      </c>
      <c r="AI15" s="14"/>
      <c r="AJ15" s="14" t="s">
        <v>76</v>
      </c>
      <c r="AK15" s="14" t="s">
        <v>76</v>
      </c>
      <c r="AL15" s="14"/>
      <c r="AM15" s="14">
        <v>0.12393540876489</v>
      </c>
      <c r="AN15" s="14">
        <v>1.7305699474946899E-2</v>
      </c>
    </row>
    <row r="16" spans="2:40" ht="29" x14ac:dyDescent="0.35">
      <c r="B16" s="15" t="s">
        <v>301</v>
      </c>
      <c r="C16" s="14">
        <v>3.6904230749526298E-2</v>
      </c>
      <c r="D16" s="14">
        <v>1.8296329423068299E-2</v>
      </c>
      <c r="E16" s="14">
        <v>5.7184295651064802E-2</v>
      </c>
      <c r="F16" s="14"/>
      <c r="G16" s="14" t="s">
        <v>76</v>
      </c>
      <c r="H16" s="14">
        <v>3.6904230749526298E-2</v>
      </c>
      <c r="I16" s="14" t="s">
        <v>76</v>
      </c>
      <c r="J16" s="14"/>
      <c r="K16" s="14">
        <v>3.6904230749526298E-2</v>
      </c>
      <c r="L16" s="14" t="s">
        <v>76</v>
      </c>
      <c r="M16" s="14" t="s">
        <v>76</v>
      </c>
      <c r="N16" s="14"/>
      <c r="O16" s="14">
        <v>3.4601654303066803E-2</v>
      </c>
      <c r="P16" s="14">
        <v>2.8478803068809601E-2</v>
      </c>
      <c r="Q16" s="14"/>
      <c r="R16" s="14">
        <v>3.1132505807917699E-2</v>
      </c>
      <c r="S16" s="14">
        <v>7.0722889802268707E-2</v>
      </c>
      <c r="T16" s="14">
        <v>3.3553653675156503E-2</v>
      </c>
      <c r="U16" s="14">
        <v>1.85007634075426E-2</v>
      </c>
      <c r="V16" s="14">
        <v>6.7893942058225507E-2</v>
      </c>
      <c r="W16" s="14">
        <v>1.8576259751107702E-2</v>
      </c>
      <c r="X16" s="14">
        <v>2.6109260837405501E-2</v>
      </c>
      <c r="Y16" s="14">
        <v>8.83050060003438E-2</v>
      </c>
      <c r="Z16" s="14">
        <v>0</v>
      </c>
      <c r="AA16" s="14"/>
      <c r="AB16" s="14" t="s">
        <v>76</v>
      </c>
      <c r="AC16" s="14" t="s">
        <v>76</v>
      </c>
      <c r="AD16" s="14" t="s">
        <v>76</v>
      </c>
      <c r="AE16" s="14" t="s">
        <v>76</v>
      </c>
      <c r="AF16" s="14"/>
      <c r="AG16" s="14" t="s">
        <v>76</v>
      </c>
      <c r="AH16" s="14" t="s">
        <v>76</v>
      </c>
      <c r="AI16" s="14"/>
      <c r="AJ16" s="14" t="s">
        <v>76</v>
      </c>
      <c r="AK16" s="14" t="s">
        <v>76</v>
      </c>
      <c r="AL16" s="14"/>
      <c r="AM16" s="14">
        <v>3.0205710255076898E-3</v>
      </c>
      <c r="AN16" s="14">
        <v>0.13835348761507599</v>
      </c>
    </row>
    <row r="17" spans="2:40" x14ac:dyDescent="0.35">
      <c r="B17" s="15" t="s">
        <v>70</v>
      </c>
      <c r="C17" s="20">
        <v>8.4698234340140705E-2</v>
      </c>
      <c r="D17" s="20">
        <v>0.109873491234625</v>
      </c>
      <c r="E17" s="20">
        <v>5.7759367639965503E-2</v>
      </c>
      <c r="F17" s="20"/>
      <c r="G17" s="20" t="s">
        <v>76</v>
      </c>
      <c r="H17" s="20">
        <v>8.4698234340140705E-2</v>
      </c>
      <c r="I17" s="20" t="s">
        <v>76</v>
      </c>
      <c r="J17" s="20"/>
      <c r="K17" s="20">
        <v>8.4698234340140705E-2</v>
      </c>
      <c r="L17" s="20" t="s">
        <v>76</v>
      </c>
      <c r="M17" s="20" t="s">
        <v>76</v>
      </c>
      <c r="N17" s="20"/>
      <c r="O17" s="20">
        <v>8.5790637319676802E-2</v>
      </c>
      <c r="P17" s="20">
        <v>9.4452676785044806E-2</v>
      </c>
      <c r="Q17" s="20"/>
      <c r="R17" s="20">
        <v>9.0007559748825697E-2</v>
      </c>
      <c r="S17" s="20">
        <v>0.110369490720523</v>
      </c>
      <c r="T17" s="20">
        <v>5.8305446849314997E-2</v>
      </c>
      <c r="U17" s="20">
        <v>8.7704378282563097E-2</v>
      </c>
      <c r="V17" s="20">
        <v>4.0846827371679099E-2</v>
      </c>
      <c r="W17" s="20">
        <v>6.4072495817449004E-2</v>
      </c>
      <c r="X17" s="20">
        <v>0.20745439826988399</v>
      </c>
      <c r="Y17" s="20">
        <v>4.1861723512300497E-2</v>
      </c>
      <c r="Z17" s="20">
        <v>1.3314218114915699E-2</v>
      </c>
      <c r="AA17" s="20"/>
      <c r="AB17" s="20" t="s">
        <v>76</v>
      </c>
      <c r="AC17" s="20" t="s">
        <v>76</v>
      </c>
      <c r="AD17" s="20" t="s">
        <v>76</v>
      </c>
      <c r="AE17" s="20" t="s">
        <v>76</v>
      </c>
      <c r="AF17" s="20"/>
      <c r="AG17" s="20" t="s">
        <v>76</v>
      </c>
      <c r="AH17" s="20" t="s">
        <v>76</v>
      </c>
      <c r="AI17" s="20"/>
      <c r="AJ17" s="20" t="s">
        <v>76</v>
      </c>
      <c r="AK17" s="20" t="s">
        <v>76</v>
      </c>
      <c r="AL17" s="20"/>
      <c r="AM17" s="20">
        <v>7.8338806421781398E-2</v>
      </c>
      <c r="AN17" s="20">
        <v>9.2150267425504806E-2</v>
      </c>
    </row>
    <row r="18" spans="2:40" x14ac:dyDescent="0.35">
      <c r="B18" s="28" t="s">
        <v>209</v>
      </c>
    </row>
    <row r="19" spans="2:40" x14ac:dyDescent="0.35">
      <c r="B19" t="s">
        <v>72</v>
      </c>
    </row>
    <row r="20" spans="2:40" x14ac:dyDescent="0.35">
      <c r="B20" t="s">
        <v>73</v>
      </c>
    </row>
    <row r="22" spans="2:40" x14ac:dyDescent="0.35">
      <c r="B22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dimension ref="B2:AN24"/>
  <sheetViews>
    <sheetView showGridLines="0" workbookViewId="0">
      <pane xSplit="2" topLeftCell="C1" activePane="topRight" state="frozen"/>
      <selection pane="topRight" activeCell="B20" sqref="B20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302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1211</v>
      </c>
      <c r="D7" s="10">
        <v>610</v>
      </c>
      <c r="E7" s="10">
        <v>596</v>
      </c>
      <c r="F7" s="10"/>
      <c r="G7" s="10" t="s">
        <v>75</v>
      </c>
      <c r="H7" s="10" t="s">
        <v>75</v>
      </c>
      <c r="I7" s="10">
        <v>1211</v>
      </c>
      <c r="J7" s="10"/>
      <c r="K7" s="10" t="s">
        <v>75</v>
      </c>
      <c r="L7" s="10">
        <v>921</v>
      </c>
      <c r="M7" s="10">
        <v>290</v>
      </c>
      <c r="N7" s="10"/>
      <c r="O7" s="10">
        <v>1017</v>
      </c>
      <c r="P7" s="10">
        <v>165</v>
      </c>
      <c r="Q7" s="10"/>
      <c r="R7" s="10">
        <v>177</v>
      </c>
      <c r="S7" s="10">
        <v>215</v>
      </c>
      <c r="T7" s="10">
        <v>97</v>
      </c>
      <c r="U7" s="10">
        <v>116</v>
      </c>
      <c r="V7" s="10">
        <v>103</v>
      </c>
      <c r="W7" s="10">
        <v>151</v>
      </c>
      <c r="X7" s="10">
        <v>75</v>
      </c>
      <c r="Y7" s="10">
        <v>70</v>
      </c>
      <c r="Z7" s="10">
        <v>207</v>
      </c>
      <c r="AA7" s="10"/>
      <c r="AB7" s="10">
        <v>152</v>
      </c>
      <c r="AC7" s="10">
        <v>146</v>
      </c>
      <c r="AD7" s="10">
        <v>151</v>
      </c>
      <c r="AE7" s="10">
        <v>106</v>
      </c>
      <c r="AF7" s="10"/>
      <c r="AG7" s="10">
        <v>95</v>
      </c>
      <c r="AH7" s="10">
        <v>46</v>
      </c>
      <c r="AI7" s="10"/>
      <c r="AJ7" s="10">
        <v>141</v>
      </c>
      <c r="AK7" s="10">
        <v>130</v>
      </c>
      <c r="AL7" s="10"/>
      <c r="AM7" s="10">
        <v>624</v>
      </c>
      <c r="AN7" s="10">
        <v>308</v>
      </c>
    </row>
    <row r="8" spans="2:40" ht="30" customHeight="1" x14ac:dyDescent="0.35">
      <c r="B8" s="11" t="s">
        <v>20</v>
      </c>
      <c r="C8" s="11">
        <v>1131</v>
      </c>
      <c r="D8" s="11">
        <v>537</v>
      </c>
      <c r="E8" s="11">
        <v>589</v>
      </c>
      <c r="F8" s="11"/>
      <c r="G8" s="11" t="s">
        <v>75</v>
      </c>
      <c r="H8" s="11" t="s">
        <v>75</v>
      </c>
      <c r="I8" s="11">
        <v>1131</v>
      </c>
      <c r="J8" s="11"/>
      <c r="K8" s="11" t="s">
        <v>75</v>
      </c>
      <c r="L8" s="11">
        <v>742</v>
      </c>
      <c r="M8" s="11">
        <v>389</v>
      </c>
      <c r="N8" s="11"/>
      <c r="O8" s="11">
        <v>943</v>
      </c>
      <c r="P8" s="11">
        <v>161</v>
      </c>
      <c r="Q8" s="11"/>
      <c r="R8" s="11">
        <v>183</v>
      </c>
      <c r="S8" s="11">
        <v>191</v>
      </c>
      <c r="T8" s="11">
        <v>104</v>
      </c>
      <c r="U8" s="11">
        <v>121</v>
      </c>
      <c r="V8" s="11">
        <v>98</v>
      </c>
      <c r="W8" s="11">
        <v>112</v>
      </c>
      <c r="X8" s="11">
        <v>106</v>
      </c>
      <c r="Y8" s="11">
        <v>62</v>
      </c>
      <c r="Z8" s="11">
        <v>155</v>
      </c>
      <c r="AA8" s="11"/>
      <c r="AB8" s="11">
        <v>117</v>
      </c>
      <c r="AC8" s="11">
        <v>116</v>
      </c>
      <c r="AD8" s="11">
        <v>211</v>
      </c>
      <c r="AE8" s="11">
        <v>141</v>
      </c>
      <c r="AF8" s="11"/>
      <c r="AG8" s="11">
        <v>117</v>
      </c>
      <c r="AH8" s="11">
        <v>63</v>
      </c>
      <c r="AI8" s="11"/>
      <c r="AJ8" s="11">
        <v>180</v>
      </c>
      <c r="AK8" s="11">
        <v>183</v>
      </c>
      <c r="AL8" s="11"/>
      <c r="AM8" s="11">
        <v>565</v>
      </c>
      <c r="AN8" s="11">
        <v>309</v>
      </c>
    </row>
    <row r="9" spans="2:40" ht="58" x14ac:dyDescent="0.35">
      <c r="B9" s="15" t="s">
        <v>313</v>
      </c>
      <c r="C9" s="14">
        <v>0.317043736113099</v>
      </c>
      <c r="D9" s="14">
        <v>0.315553587833519</v>
      </c>
      <c r="E9" s="14">
        <v>0.32104601033190799</v>
      </c>
      <c r="F9" s="14"/>
      <c r="G9" s="14" t="s">
        <v>76</v>
      </c>
      <c r="H9" s="14" t="s">
        <v>76</v>
      </c>
      <c r="I9" s="14">
        <v>0.317043736113099</v>
      </c>
      <c r="J9" s="14"/>
      <c r="K9" s="14" t="s">
        <v>76</v>
      </c>
      <c r="L9" s="14">
        <v>0.33505056805898398</v>
      </c>
      <c r="M9" s="14">
        <v>0.28272651250105701</v>
      </c>
      <c r="N9" s="14"/>
      <c r="O9" s="14">
        <v>0.31436231589675401</v>
      </c>
      <c r="P9" s="14">
        <v>0.34392023623636597</v>
      </c>
      <c r="Q9" s="14"/>
      <c r="R9" s="14">
        <v>0.28901757709377601</v>
      </c>
      <c r="S9" s="14">
        <v>0.23552092499922</v>
      </c>
      <c r="T9" s="14">
        <v>0.30861504129772099</v>
      </c>
      <c r="U9" s="14">
        <v>0.36063657011804101</v>
      </c>
      <c r="V9" s="14">
        <v>0.284311518806112</v>
      </c>
      <c r="W9" s="14">
        <v>0.321588779107292</v>
      </c>
      <c r="X9" s="14">
        <v>0.38670422552808198</v>
      </c>
      <c r="Y9" s="14">
        <v>0.40378221383021101</v>
      </c>
      <c r="Z9" s="14">
        <v>0.35736454691636599</v>
      </c>
      <c r="AA9" s="14"/>
      <c r="AB9" s="14">
        <v>0.27948321352098399</v>
      </c>
      <c r="AC9" s="14">
        <v>0.30700114712495002</v>
      </c>
      <c r="AD9" s="14">
        <v>0.31032407788946598</v>
      </c>
      <c r="AE9" s="14">
        <v>0.26889952468760298</v>
      </c>
      <c r="AF9" s="14"/>
      <c r="AG9" s="14">
        <v>0.28024643210661798</v>
      </c>
      <c r="AH9" s="14">
        <v>0.27767650808961403</v>
      </c>
      <c r="AI9" s="14"/>
      <c r="AJ9" s="14">
        <v>0.27934824382641599</v>
      </c>
      <c r="AK9" s="14">
        <v>0.29233273927129899</v>
      </c>
      <c r="AL9" s="14"/>
      <c r="AM9" s="14">
        <v>0.31555710090623101</v>
      </c>
      <c r="AN9" s="14">
        <v>0.26573159423656401</v>
      </c>
    </row>
    <row r="10" spans="2:40" ht="58" x14ac:dyDescent="0.35">
      <c r="B10" s="15" t="s">
        <v>314</v>
      </c>
      <c r="C10" s="14">
        <v>8.7187368037838595E-2</v>
      </c>
      <c r="D10" s="14">
        <v>8.2016064049655099E-2</v>
      </c>
      <c r="E10" s="14">
        <v>9.2626346775160295E-2</v>
      </c>
      <c r="F10" s="14"/>
      <c r="G10" s="14" t="s">
        <v>76</v>
      </c>
      <c r="H10" s="14" t="s">
        <v>76</v>
      </c>
      <c r="I10" s="14">
        <v>8.7187368037838595E-2</v>
      </c>
      <c r="J10" s="14"/>
      <c r="K10" s="14" t="s">
        <v>76</v>
      </c>
      <c r="L10" s="14">
        <v>9.4391171753249001E-2</v>
      </c>
      <c r="M10" s="14">
        <v>7.3458437612878999E-2</v>
      </c>
      <c r="N10" s="14"/>
      <c r="O10" s="14">
        <v>8.0706161570117202E-2</v>
      </c>
      <c r="P10" s="14">
        <v>0.124822607092595</v>
      </c>
      <c r="Q10" s="14"/>
      <c r="R10" s="14">
        <v>7.6655924429128497E-2</v>
      </c>
      <c r="S10" s="14">
        <v>7.5767601996621498E-2</v>
      </c>
      <c r="T10" s="14">
        <v>6.7007783649572897E-2</v>
      </c>
      <c r="U10" s="14">
        <v>7.0363776519689003E-2</v>
      </c>
      <c r="V10" s="14">
        <v>0.102615221745954</v>
      </c>
      <c r="W10" s="14">
        <v>0.120176852445638</v>
      </c>
      <c r="X10" s="14">
        <v>6.7703943423478199E-2</v>
      </c>
      <c r="Y10" s="14">
        <v>0.112035388380148</v>
      </c>
      <c r="Z10" s="14">
        <v>0.11004520598776001</v>
      </c>
      <c r="AA10" s="14"/>
      <c r="AB10" s="14">
        <v>9.5742249529962006E-2</v>
      </c>
      <c r="AC10" s="14">
        <v>9.6443643999854695E-2</v>
      </c>
      <c r="AD10" s="14">
        <v>4.6848754695407398E-2</v>
      </c>
      <c r="AE10" s="14">
        <v>0.111863460686041</v>
      </c>
      <c r="AF10" s="14"/>
      <c r="AG10" s="14">
        <v>0.105362159903108</v>
      </c>
      <c r="AH10" s="14">
        <v>8.5230184581663704E-2</v>
      </c>
      <c r="AI10" s="14"/>
      <c r="AJ10" s="14">
        <v>9.8326035810955198E-2</v>
      </c>
      <c r="AK10" s="14">
        <v>5.1434286633216399E-2</v>
      </c>
      <c r="AL10" s="14"/>
      <c r="AM10" s="14">
        <v>9.2543921138563398E-2</v>
      </c>
      <c r="AN10" s="14">
        <v>7.4308566031836401E-2</v>
      </c>
    </row>
    <row r="11" spans="2:40" ht="58" x14ac:dyDescent="0.35">
      <c r="B11" s="15" t="s">
        <v>315</v>
      </c>
      <c r="C11" s="14">
        <v>4.0725844900999002E-2</v>
      </c>
      <c r="D11" s="14">
        <v>3.9222284084879003E-2</v>
      </c>
      <c r="E11" s="14">
        <v>3.9588816290063202E-2</v>
      </c>
      <c r="F11" s="14"/>
      <c r="G11" s="14" t="s">
        <v>76</v>
      </c>
      <c r="H11" s="14" t="s">
        <v>76</v>
      </c>
      <c r="I11" s="14">
        <v>4.0725844900999002E-2</v>
      </c>
      <c r="J11" s="14"/>
      <c r="K11" s="14" t="s">
        <v>76</v>
      </c>
      <c r="L11" s="14">
        <v>3.7445676161387498E-2</v>
      </c>
      <c r="M11" s="14">
        <v>4.6977154651696197E-2</v>
      </c>
      <c r="N11" s="14"/>
      <c r="O11" s="14">
        <v>4.1645066355416503E-2</v>
      </c>
      <c r="P11" s="14">
        <v>3.1479387624800702E-2</v>
      </c>
      <c r="Q11" s="14"/>
      <c r="R11" s="14">
        <v>3.55883526434706E-2</v>
      </c>
      <c r="S11" s="14">
        <v>5.1003259498760702E-2</v>
      </c>
      <c r="T11" s="14">
        <v>1.7770453997873401E-2</v>
      </c>
      <c r="U11" s="14">
        <v>7.7777882274258595E-2</v>
      </c>
      <c r="V11" s="14">
        <v>3.4388601702614902E-2</v>
      </c>
      <c r="W11" s="14">
        <v>4.1298186707557798E-2</v>
      </c>
      <c r="X11" s="14">
        <v>4.8021122881403602E-2</v>
      </c>
      <c r="Y11" s="14">
        <v>3.70423330791948E-2</v>
      </c>
      <c r="Z11" s="14">
        <v>2.0775134651822999E-2</v>
      </c>
      <c r="AA11" s="14"/>
      <c r="AB11" s="14">
        <v>1.72178843099586E-2</v>
      </c>
      <c r="AC11" s="14">
        <v>5.4334135193524001E-2</v>
      </c>
      <c r="AD11" s="14">
        <v>7.7283297139298393E-2</v>
      </c>
      <c r="AE11" s="14">
        <v>9.6877895146344397E-3</v>
      </c>
      <c r="AF11" s="14"/>
      <c r="AG11" s="14">
        <v>3.6786787484760303E-2</v>
      </c>
      <c r="AH11" s="14">
        <v>2.73471204853959E-2</v>
      </c>
      <c r="AI11" s="14"/>
      <c r="AJ11" s="14">
        <v>3.34876244699229E-2</v>
      </c>
      <c r="AK11" s="14">
        <v>6.6833904698049201E-2</v>
      </c>
      <c r="AL11" s="14"/>
      <c r="AM11" s="14">
        <v>4.72096064723279E-2</v>
      </c>
      <c r="AN11" s="14">
        <v>4.1393738634212099E-2</v>
      </c>
    </row>
    <row r="12" spans="2:40" ht="43.5" x14ac:dyDescent="0.35">
      <c r="B12" s="15" t="s">
        <v>316</v>
      </c>
      <c r="C12" s="14">
        <v>5.7857832080353201E-2</v>
      </c>
      <c r="D12" s="14">
        <v>4.9399201554154698E-2</v>
      </c>
      <c r="E12" s="14">
        <v>6.6047341258028497E-2</v>
      </c>
      <c r="F12" s="14"/>
      <c r="G12" s="14" t="s">
        <v>76</v>
      </c>
      <c r="H12" s="14" t="s">
        <v>76</v>
      </c>
      <c r="I12" s="14">
        <v>5.7857832080353201E-2</v>
      </c>
      <c r="J12" s="14"/>
      <c r="K12" s="14" t="s">
        <v>76</v>
      </c>
      <c r="L12" s="14">
        <v>6.5559818374903198E-2</v>
      </c>
      <c r="M12" s="14">
        <v>4.3179470738320902E-2</v>
      </c>
      <c r="N12" s="14"/>
      <c r="O12" s="14">
        <v>5.9523634686055503E-2</v>
      </c>
      <c r="P12" s="14">
        <v>5.78708434294136E-2</v>
      </c>
      <c r="Q12" s="14"/>
      <c r="R12" s="14">
        <v>6.0482164392105103E-2</v>
      </c>
      <c r="S12" s="14">
        <v>8.1063448703049795E-2</v>
      </c>
      <c r="T12" s="14">
        <v>4.4128141180100902E-2</v>
      </c>
      <c r="U12" s="14">
        <v>6.2552297814127994E-2</v>
      </c>
      <c r="V12" s="14">
        <v>4.2975851585290999E-2</v>
      </c>
      <c r="W12" s="14">
        <v>6.6823779786961496E-2</v>
      </c>
      <c r="X12" s="14">
        <v>4.7797984217730502E-2</v>
      </c>
      <c r="Y12" s="14">
        <v>2.4083118746634501E-2</v>
      </c>
      <c r="Z12" s="14">
        <v>5.5033635489596097E-2</v>
      </c>
      <c r="AA12" s="14"/>
      <c r="AB12" s="14">
        <v>3.0392229164536998E-2</v>
      </c>
      <c r="AC12" s="14">
        <v>5.2101634141703802E-2</v>
      </c>
      <c r="AD12" s="14">
        <v>3.9878494901978201E-2</v>
      </c>
      <c r="AE12" s="14">
        <v>4.3011835348022297E-2</v>
      </c>
      <c r="AF12" s="14"/>
      <c r="AG12" s="14">
        <v>4.1862686796421002E-2</v>
      </c>
      <c r="AH12" s="14">
        <v>7.0772786242469299E-2</v>
      </c>
      <c r="AI12" s="14"/>
      <c r="AJ12" s="14">
        <v>5.1966764710832197E-2</v>
      </c>
      <c r="AK12" s="14">
        <v>3.32169648568027E-2</v>
      </c>
      <c r="AL12" s="14"/>
      <c r="AM12" s="14">
        <v>5.8528682906410397E-2</v>
      </c>
      <c r="AN12" s="14">
        <v>5.3610786281069002E-2</v>
      </c>
    </row>
    <row r="13" spans="2:40" ht="58" x14ac:dyDescent="0.35">
      <c r="B13" s="15" t="s">
        <v>317</v>
      </c>
      <c r="C13" s="14">
        <v>6.6997311399445494E-2</v>
      </c>
      <c r="D13" s="14">
        <v>6.8025467087911295E-2</v>
      </c>
      <c r="E13" s="14">
        <v>6.6619374251250099E-2</v>
      </c>
      <c r="F13" s="14"/>
      <c r="G13" s="14" t="s">
        <v>76</v>
      </c>
      <c r="H13" s="14" t="s">
        <v>76</v>
      </c>
      <c r="I13" s="14">
        <v>6.6997311399445494E-2</v>
      </c>
      <c r="J13" s="14"/>
      <c r="K13" s="14" t="s">
        <v>76</v>
      </c>
      <c r="L13" s="14">
        <v>6.6840242983719197E-2</v>
      </c>
      <c r="M13" s="14">
        <v>6.7296650670288199E-2</v>
      </c>
      <c r="N13" s="14"/>
      <c r="O13" s="14">
        <v>6.3500995476238095E-2</v>
      </c>
      <c r="P13" s="14">
        <v>9.8883751205512099E-2</v>
      </c>
      <c r="Q13" s="14"/>
      <c r="R13" s="14">
        <v>8.1504002908729598E-2</v>
      </c>
      <c r="S13" s="14">
        <v>9.2829131452224406E-2</v>
      </c>
      <c r="T13" s="14">
        <v>3.1048483086266301E-2</v>
      </c>
      <c r="U13" s="14">
        <v>6.5203779391703298E-2</v>
      </c>
      <c r="V13" s="14">
        <v>9.6243167759137105E-2</v>
      </c>
      <c r="W13" s="14">
        <v>3.9207397976721903E-2</v>
      </c>
      <c r="X13" s="14">
        <v>5.5010886533190202E-2</v>
      </c>
      <c r="Y13" s="14">
        <v>4.1643869017901999E-2</v>
      </c>
      <c r="Z13" s="14">
        <v>6.3395167801784696E-2</v>
      </c>
      <c r="AA13" s="14"/>
      <c r="AB13" s="14">
        <v>5.9943921417001902E-2</v>
      </c>
      <c r="AC13" s="14">
        <v>0.133037350690938</v>
      </c>
      <c r="AD13" s="14">
        <v>2.11724589999964E-2</v>
      </c>
      <c r="AE13" s="14">
        <v>0.154631675387399</v>
      </c>
      <c r="AF13" s="14"/>
      <c r="AG13" s="14">
        <v>0.155784896405298</v>
      </c>
      <c r="AH13" s="14">
        <v>2.6719203177978299E-2</v>
      </c>
      <c r="AI13" s="14"/>
      <c r="AJ13" s="14">
        <v>0.110676444845662</v>
      </c>
      <c r="AK13" s="14">
        <v>3.4207697420879403E-2</v>
      </c>
      <c r="AL13" s="14"/>
      <c r="AM13" s="14">
        <v>0.10507025071444601</v>
      </c>
      <c r="AN13" s="14">
        <v>2.7621931575935E-2</v>
      </c>
    </row>
    <row r="14" spans="2:40" ht="43.5" x14ac:dyDescent="0.35">
      <c r="B14" s="15" t="s">
        <v>318</v>
      </c>
      <c r="C14" s="14">
        <v>3.0683714905923701E-2</v>
      </c>
      <c r="D14" s="14">
        <v>2.6813492975502701E-2</v>
      </c>
      <c r="E14" s="14">
        <v>3.4465926625636599E-2</v>
      </c>
      <c r="F14" s="14"/>
      <c r="G14" s="14" t="s">
        <v>76</v>
      </c>
      <c r="H14" s="14" t="s">
        <v>76</v>
      </c>
      <c r="I14" s="14">
        <v>3.0683714905923701E-2</v>
      </c>
      <c r="J14" s="14"/>
      <c r="K14" s="14" t="s">
        <v>76</v>
      </c>
      <c r="L14" s="14">
        <v>3.0249004518941199E-2</v>
      </c>
      <c r="M14" s="14">
        <v>3.1512181212567103E-2</v>
      </c>
      <c r="N14" s="14"/>
      <c r="O14" s="14">
        <v>3.20954973018861E-2</v>
      </c>
      <c r="P14" s="14">
        <v>1.7384637623986499E-2</v>
      </c>
      <c r="Q14" s="14"/>
      <c r="R14" s="14">
        <v>4.11262263557923E-2</v>
      </c>
      <c r="S14" s="14">
        <v>3.2277041694883303E-2</v>
      </c>
      <c r="T14" s="14">
        <v>1.53386842954535E-2</v>
      </c>
      <c r="U14" s="14">
        <v>1.4687496650084401E-2</v>
      </c>
      <c r="V14" s="14">
        <v>3.6440666720352899E-2</v>
      </c>
      <c r="W14" s="14">
        <v>3.0299475515583499E-2</v>
      </c>
      <c r="X14" s="14">
        <v>0</v>
      </c>
      <c r="Y14" s="14">
        <v>5.4107251644037402E-2</v>
      </c>
      <c r="Z14" s="14">
        <v>4.7229314552289202E-2</v>
      </c>
      <c r="AA14" s="14"/>
      <c r="AB14" s="14">
        <v>6.06426400068786E-2</v>
      </c>
      <c r="AC14" s="14">
        <v>2.07332593676335E-2</v>
      </c>
      <c r="AD14" s="14">
        <v>2.14158031412978E-2</v>
      </c>
      <c r="AE14" s="14">
        <v>4.4667076400412599E-2</v>
      </c>
      <c r="AF14" s="14"/>
      <c r="AG14" s="14">
        <v>2.80614569200585E-2</v>
      </c>
      <c r="AH14" s="14">
        <v>0</v>
      </c>
      <c r="AI14" s="14"/>
      <c r="AJ14" s="14">
        <v>1.8253979514410199E-2</v>
      </c>
      <c r="AK14" s="14">
        <v>4.0906204700243198E-2</v>
      </c>
      <c r="AL14" s="14"/>
      <c r="AM14" s="14">
        <v>3.4266315259998799E-2</v>
      </c>
      <c r="AN14" s="14">
        <v>1.48766551827224E-2</v>
      </c>
    </row>
    <row r="15" spans="2:40" ht="58" x14ac:dyDescent="0.35">
      <c r="B15" s="15" t="s">
        <v>319</v>
      </c>
      <c r="C15" s="14">
        <v>0.113345661811355</v>
      </c>
      <c r="D15" s="14">
        <v>0.12934948598557</v>
      </c>
      <c r="E15" s="14">
        <v>9.5455454150876598E-2</v>
      </c>
      <c r="F15" s="14"/>
      <c r="G15" s="14" t="s">
        <v>76</v>
      </c>
      <c r="H15" s="14" t="s">
        <v>76</v>
      </c>
      <c r="I15" s="14">
        <v>0.113345661811355</v>
      </c>
      <c r="J15" s="14"/>
      <c r="K15" s="14" t="s">
        <v>76</v>
      </c>
      <c r="L15" s="14">
        <v>0.10380808435976201</v>
      </c>
      <c r="M15" s="14">
        <v>0.131522272728095</v>
      </c>
      <c r="N15" s="14"/>
      <c r="O15" s="14">
        <v>0.109651777133253</v>
      </c>
      <c r="P15" s="14">
        <v>0.14944742787345899</v>
      </c>
      <c r="Q15" s="14"/>
      <c r="R15" s="14">
        <v>0.10802190255735999</v>
      </c>
      <c r="S15" s="14">
        <v>0.111182937601742</v>
      </c>
      <c r="T15" s="14">
        <v>0.132996478599928</v>
      </c>
      <c r="U15" s="14">
        <v>0.125073605096165</v>
      </c>
      <c r="V15" s="14">
        <v>0.101112618129354</v>
      </c>
      <c r="W15" s="14">
        <v>0.11173106286316201</v>
      </c>
      <c r="X15" s="14">
        <v>9.1356615597465496E-2</v>
      </c>
      <c r="Y15" s="14">
        <v>0.13447369807081599</v>
      </c>
      <c r="Z15" s="14">
        <v>0.115399448939612</v>
      </c>
      <c r="AA15" s="14"/>
      <c r="AB15" s="14">
        <v>0.117992531318623</v>
      </c>
      <c r="AC15" s="14">
        <v>0.14685055353203799</v>
      </c>
      <c r="AD15" s="14">
        <v>0.103638030316609</v>
      </c>
      <c r="AE15" s="14">
        <v>0.177575965686638</v>
      </c>
      <c r="AF15" s="14"/>
      <c r="AG15" s="14">
        <v>0.105518631027207</v>
      </c>
      <c r="AH15" s="14">
        <v>0.127759226444252</v>
      </c>
      <c r="AI15" s="14"/>
      <c r="AJ15" s="14">
        <v>0.113291717708423</v>
      </c>
      <c r="AK15" s="14">
        <v>0.151130712315834</v>
      </c>
      <c r="AL15" s="14"/>
      <c r="AM15" s="14">
        <v>0.13768246885447899</v>
      </c>
      <c r="AN15" s="14">
        <v>5.7980233125348599E-2</v>
      </c>
    </row>
    <row r="16" spans="2:40" ht="29" x14ac:dyDescent="0.35">
      <c r="B16" s="15" t="s">
        <v>320</v>
      </c>
      <c r="C16" s="14">
        <v>6.4294033176009097E-2</v>
      </c>
      <c r="D16" s="14">
        <v>7.4518530162323904E-2</v>
      </c>
      <c r="E16" s="14">
        <v>5.5514498329336602E-2</v>
      </c>
      <c r="F16" s="14"/>
      <c r="G16" s="14" t="s">
        <v>76</v>
      </c>
      <c r="H16" s="14" t="s">
        <v>76</v>
      </c>
      <c r="I16" s="14">
        <v>6.4294033176009097E-2</v>
      </c>
      <c r="J16" s="14"/>
      <c r="K16" s="14" t="s">
        <v>76</v>
      </c>
      <c r="L16" s="14">
        <v>5.5481685059979399E-2</v>
      </c>
      <c r="M16" s="14">
        <v>8.1088509947591106E-2</v>
      </c>
      <c r="N16" s="14"/>
      <c r="O16" s="14">
        <v>6.2787865312181904E-2</v>
      </c>
      <c r="P16" s="14">
        <v>6.3888965876928203E-2</v>
      </c>
      <c r="Q16" s="14"/>
      <c r="R16" s="14">
        <v>8.5375405492708598E-2</v>
      </c>
      <c r="S16" s="14">
        <v>6.2593538143507405E-2</v>
      </c>
      <c r="T16" s="14">
        <v>7.4720393564213297E-2</v>
      </c>
      <c r="U16" s="14">
        <v>4.5438595480766703E-2</v>
      </c>
      <c r="V16" s="14">
        <v>5.7453755620249902E-2</v>
      </c>
      <c r="W16" s="14">
        <v>7.0937372137620205E-2</v>
      </c>
      <c r="X16" s="14">
        <v>5.80557343875511E-2</v>
      </c>
      <c r="Y16" s="14">
        <v>1.38978769605007E-2</v>
      </c>
      <c r="Z16" s="14">
        <v>7.3233057943445395E-2</v>
      </c>
      <c r="AA16" s="14"/>
      <c r="AB16" s="14">
        <v>8.4792679757181605E-2</v>
      </c>
      <c r="AC16" s="14">
        <v>7.8085212437310994E-2</v>
      </c>
      <c r="AD16" s="14">
        <v>0.109948279241011</v>
      </c>
      <c r="AE16" s="14">
        <v>4.3979091640578602E-2</v>
      </c>
      <c r="AF16" s="14"/>
      <c r="AG16" s="14">
        <v>5.1425130177645301E-2</v>
      </c>
      <c r="AH16" s="14">
        <v>0.102648247527171</v>
      </c>
      <c r="AI16" s="14"/>
      <c r="AJ16" s="14">
        <v>6.9327606427666499E-2</v>
      </c>
      <c r="AK16" s="14">
        <v>8.5855018356581395E-2</v>
      </c>
      <c r="AL16" s="14"/>
      <c r="AM16" s="14">
        <v>6.7240136775601603E-2</v>
      </c>
      <c r="AN16" s="14">
        <v>6.5296558187143194E-2</v>
      </c>
    </row>
    <row r="17" spans="2:40" ht="43.5" x14ac:dyDescent="0.35">
      <c r="B17" s="15" t="s">
        <v>321</v>
      </c>
      <c r="C17" s="14">
        <v>8.5364427323987302E-2</v>
      </c>
      <c r="D17" s="14">
        <v>0.10166398737441899</v>
      </c>
      <c r="E17" s="14">
        <v>7.1225483783306398E-2</v>
      </c>
      <c r="F17" s="14"/>
      <c r="G17" s="14" t="s">
        <v>76</v>
      </c>
      <c r="H17" s="14" t="s">
        <v>76</v>
      </c>
      <c r="I17" s="14">
        <v>8.5364427323987302E-2</v>
      </c>
      <c r="J17" s="14"/>
      <c r="K17" s="14" t="s">
        <v>76</v>
      </c>
      <c r="L17" s="14">
        <v>8.0826716751520006E-2</v>
      </c>
      <c r="M17" s="14">
        <v>9.4012346562089094E-2</v>
      </c>
      <c r="N17" s="14"/>
      <c r="O17" s="14">
        <v>8.7997020255588004E-2</v>
      </c>
      <c r="P17" s="14">
        <v>7.5401963482425394E-2</v>
      </c>
      <c r="Q17" s="14"/>
      <c r="R17" s="14">
        <v>0.114284790801244</v>
      </c>
      <c r="S17" s="14">
        <v>9.9601870702148002E-2</v>
      </c>
      <c r="T17" s="14">
        <v>0.14093891324858501</v>
      </c>
      <c r="U17" s="14">
        <v>3.7002462978612101E-2</v>
      </c>
      <c r="V17" s="14">
        <v>0.108322184745909</v>
      </c>
      <c r="W17" s="14">
        <v>2.2433774268691E-2</v>
      </c>
      <c r="X17" s="14">
        <v>0.102523598296467</v>
      </c>
      <c r="Y17" s="14">
        <v>7.9734726574772694E-2</v>
      </c>
      <c r="Z17" s="14">
        <v>5.5588812396091397E-2</v>
      </c>
      <c r="AA17" s="14"/>
      <c r="AB17" s="14">
        <v>7.7259669933446906E-2</v>
      </c>
      <c r="AC17" s="14">
        <v>8.2939593745343598E-2</v>
      </c>
      <c r="AD17" s="14">
        <v>9.5818678695732504E-2</v>
      </c>
      <c r="AE17" s="14">
        <v>9.2374747795347004E-2</v>
      </c>
      <c r="AF17" s="14"/>
      <c r="AG17" s="14">
        <v>0.18310469193720399</v>
      </c>
      <c r="AH17" s="14">
        <v>3.0042368140634001E-2</v>
      </c>
      <c r="AI17" s="14"/>
      <c r="AJ17" s="14">
        <v>0.12960941952253999</v>
      </c>
      <c r="AK17" s="14">
        <v>6.8456067078564303E-2</v>
      </c>
      <c r="AL17" s="14"/>
      <c r="AM17" s="14">
        <v>0.117550704393428</v>
      </c>
      <c r="AN17" s="14">
        <v>5.4949482307216899E-2</v>
      </c>
    </row>
    <row r="18" spans="2:40" ht="29" x14ac:dyDescent="0.35">
      <c r="B18" s="15" t="s">
        <v>301</v>
      </c>
      <c r="C18" s="14">
        <v>0.10902973609421</v>
      </c>
      <c r="D18" s="14">
        <v>8.6833168551389797E-2</v>
      </c>
      <c r="E18" s="14">
        <v>0.12892259936415401</v>
      </c>
      <c r="F18" s="14"/>
      <c r="G18" s="14" t="s">
        <v>76</v>
      </c>
      <c r="H18" s="14" t="s">
        <v>76</v>
      </c>
      <c r="I18" s="14">
        <v>0.10902973609421</v>
      </c>
      <c r="J18" s="14"/>
      <c r="K18" s="14" t="s">
        <v>76</v>
      </c>
      <c r="L18" s="14">
        <v>0.101928326394866</v>
      </c>
      <c r="M18" s="14">
        <v>0.122563525121925</v>
      </c>
      <c r="N18" s="14"/>
      <c r="O18" s="14">
        <v>0.116541465930268</v>
      </c>
      <c r="P18" s="14">
        <v>2.6618470010267799E-2</v>
      </c>
      <c r="Q18" s="14"/>
      <c r="R18" s="14">
        <v>9.8071034224282205E-2</v>
      </c>
      <c r="S18" s="14">
        <v>0.12660961332078699</v>
      </c>
      <c r="T18" s="14">
        <v>0.13387512582761699</v>
      </c>
      <c r="U18" s="14">
        <v>0.13374682349994499</v>
      </c>
      <c r="V18" s="14">
        <v>8.92527785441731E-2</v>
      </c>
      <c r="W18" s="14">
        <v>0.117390144171552</v>
      </c>
      <c r="X18" s="14">
        <v>0.106735001539152</v>
      </c>
      <c r="Y18" s="14">
        <v>9.9199523695782596E-2</v>
      </c>
      <c r="Z18" s="14">
        <v>7.6450118076891893E-2</v>
      </c>
      <c r="AA18" s="14"/>
      <c r="AB18" s="14">
        <v>0.14723151041832899</v>
      </c>
      <c r="AC18" s="14">
        <v>6.4399747012274496E-3</v>
      </c>
      <c r="AD18" s="14">
        <v>0.15450439544064401</v>
      </c>
      <c r="AE18" s="14">
        <v>2.90539729850963E-2</v>
      </c>
      <c r="AF18" s="14"/>
      <c r="AG18" s="14">
        <v>6.5759756217073501E-3</v>
      </c>
      <c r="AH18" s="14">
        <v>0.25180435531082201</v>
      </c>
      <c r="AI18" s="14"/>
      <c r="AJ18" s="14">
        <v>9.2283278698532797E-2</v>
      </c>
      <c r="AK18" s="14">
        <v>0.134527882983701</v>
      </c>
      <c r="AL18" s="14"/>
      <c r="AM18" s="14">
        <v>5.4379977554228302E-3</v>
      </c>
      <c r="AN18" s="14">
        <v>0.31347578189788</v>
      </c>
    </row>
    <row r="19" spans="2:40" x14ac:dyDescent="0.35">
      <c r="B19" s="15" t="s">
        <v>70</v>
      </c>
      <c r="C19" s="20">
        <v>2.7470334156779401E-2</v>
      </c>
      <c r="D19" s="20">
        <v>2.6604730340675599E-2</v>
      </c>
      <c r="E19" s="20">
        <v>2.8488148840279798E-2</v>
      </c>
      <c r="F19" s="20"/>
      <c r="G19" s="20" t="s">
        <v>76</v>
      </c>
      <c r="H19" s="20" t="s">
        <v>76</v>
      </c>
      <c r="I19" s="20">
        <v>2.7470334156779401E-2</v>
      </c>
      <c r="J19" s="20"/>
      <c r="K19" s="20" t="s">
        <v>76</v>
      </c>
      <c r="L19" s="20">
        <v>2.84187055826884E-2</v>
      </c>
      <c r="M19" s="20">
        <v>2.5662938253491498E-2</v>
      </c>
      <c r="N19" s="20"/>
      <c r="O19" s="20">
        <v>3.1188200082242001E-2</v>
      </c>
      <c r="P19" s="20">
        <v>1.02817095442459E-2</v>
      </c>
      <c r="Q19" s="20"/>
      <c r="R19" s="20">
        <v>9.8726191014031194E-3</v>
      </c>
      <c r="S19" s="20">
        <v>3.1550631887056299E-2</v>
      </c>
      <c r="T19" s="20">
        <v>3.35605012526696E-2</v>
      </c>
      <c r="U19" s="20">
        <v>7.5167101766066601E-3</v>
      </c>
      <c r="V19" s="20">
        <v>4.6883634640852302E-2</v>
      </c>
      <c r="W19" s="20">
        <v>5.8113175019219802E-2</v>
      </c>
      <c r="X19" s="20">
        <v>3.6090887595480001E-2</v>
      </c>
      <c r="Y19" s="20">
        <v>0</v>
      </c>
      <c r="Z19" s="20">
        <v>2.5485557244340502E-2</v>
      </c>
      <c r="AA19" s="20"/>
      <c r="AB19" s="20">
        <v>2.9301470623097001E-2</v>
      </c>
      <c r="AC19" s="20">
        <v>2.2033495065476201E-2</v>
      </c>
      <c r="AD19" s="20">
        <v>1.9167729538559299E-2</v>
      </c>
      <c r="AE19" s="20">
        <v>2.4254859868227601E-2</v>
      </c>
      <c r="AF19" s="20"/>
      <c r="AG19" s="20">
        <v>5.27115161997196E-3</v>
      </c>
      <c r="AH19" s="20">
        <v>0</v>
      </c>
      <c r="AI19" s="20"/>
      <c r="AJ19" s="20">
        <v>3.4288844646387599E-3</v>
      </c>
      <c r="AK19" s="20">
        <v>4.1098521684828901E-2</v>
      </c>
      <c r="AL19" s="20"/>
      <c r="AM19" s="20">
        <v>1.89128148230907E-2</v>
      </c>
      <c r="AN19" s="20">
        <v>3.07546725400729E-2</v>
      </c>
    </row>
    <row r="20" spans="2:40" x14ac:dyDescent="0.35">
      <c r="B20" s="27" t="s">
        <v>390</v>
      </c>
    </row>
    <row r="21" spans="2:40" x14ac:dyDescent="0.35">
      <c r="B21" t="s">
        <v>72</v>
      </c>
    </row>
    <row r="22" spans="2:40" x14ac:dyDescent="0.35">
      <c r="B22" t="s">
        <v>73</v>
      </c>
    </row>
    <row r="24" spans="2:40" x14ac:dyDescent="0.35">
      <c r="B24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dimension ref="B2:AN24"/>
  <sheetViews>
    <sheetView showGridLines="0" workbookViewId="0">
      <pane xSplit="2" topLeftCell="C1" activePane="topRight" state="frozen"/>
      <selection pane="topRight" activeCell="C20" sqref="C20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323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1211</v>
      </c>
      <c r="D7" s="10">
        <v>610</v>
      </c>
      <c r="E7" s="10">
        <v>596</v>
      </c>
      <c r="F7" s="10"/>
      <c r="G7" s="10" t="s">
        <v>75</v>
      </c>
      <c r="H7" s="10" t="s">
        <v>75</v>
      </c>
      <c r="I7" s="10">
        <v>1211</v>
      </c>
      <c r="J7" s="10"/>
      <c r="K7" s="10" t="s">
        <v>75</v>
      </c>
      <c r="L7" s="10">
        <v>921</v>
      </c>
      <c r="M7" s="10">
        <v>290</v>
      </c>
      <c r="N7" s="10"/>
      <c r="O7" s="10">
        <v>1017</v>
      </c>
      <c r="P7" s="10">
        <v>165</v>
      </c>
      <c r="Q7" s="10"/>
      <c r="R7" s="10">
        <v>177</v>
      </c>
      <c r="S7" s="10">
        <v>215</v>
      </c>
      <c r="T7" s="10">
        <v>97</v>
      </c>
      <c r="U7" s="10">
        <v>116</v>
      </c>
      <c r="V7" s="10">
        <v>103</v>
      </c>
      <c r="W7" s="10">
        <v>151</v>
      </c>
      <c r="X7" s="10">
        <v>75</v>
      </c>
      <c r="Y7" s="10">
        <v>70</v>
      </c>
      <c r="Z7" s="10">
        <v>207</v>
      </c>
      <c r="AA7" s="10"/>
      <c r="AB7" s="10">
        <v>152</v>
      </c>
      <c r="AC7" s="10">
        <v>146</v>
      </c>
      <c r="AD7" s="10">
        <v>151</v>
      </c>
      <c r="AE7" s="10">
        <v>106</v>
      </c>
      <c r="AF7" s="10"/>
      <c r="AG7" s="10">
        <v>95</v>
      </c>
      <c r="AH7" s="10">
        <v>46</v>
      </c>
      <c r="AI7" s="10"/>
      <c r="AJ7" s="10">
        <v>141</v>
      </c>
      <c r="AK7" s="10">
        <v>130</v>
      </c>
      <c r="AL7" s="10"/>
      <c r="AM7" s="10">
        <v>624</v>
      </c>
      <c r="AN7" s="10">
        <v>308</v>
      </c>
    </row>
    <row r="8" spans="2:40" ht="30" customHeight="1" x14ac:dyDescent="0.35">
      <c r="B8" s="11" t="s">
        <v>20</v>
      </c>
      <c r="C8" s="11">
        <v>1131</v>
      </c>
      <c r="D8" s="11">
        <v>537</v>
      </c>
      <c r="E8" s="11">
        <v>589</v>
      </c>
      <c r="F8" s="11"/>
      <c r="G8" s="11" t="s">
        <v>75</v>
      </c>
      <c r="H8" s="11" t="s">
        <v>75</v>
      </c>
      <c r="I8" s="11">
        <v>1131</v>
      </c>
      <c r="J8" s="11"/>
      <c r="K8" s="11" t="s">
        <v>75</v>
      </c>
      <c r="L8" s="11">
        <v>742</v>
      </c>
      <c r="M8" s="11">
        <v>389</v>
      </c>
      <c r="N8" s="11"/>
      <c r="O8" s="11">
        <v>943</v>
      </c>
      <c r="P8" s="11">
        <v>161</v>
      </c>
      <c r="Q8" s="11"/>
      <c r="R8" s="11">
        <v>183</v>
      </c>
      <c r="S8" s="11">
        <v>191</v>
      </c>
      <c r="T8" s="11">
        <v>104</v>
      </c>
      <c r="U8" s="11">
        <v>121</v>
      </c>
      <c r="V8" s="11">
        <v>98</v>
      </c>
      <c r="W8" s="11">
        <v>112</v>
      </c>
      <c r="X8" s="11">
        <v>106</v>
      </c>
      <c r="Y8" s="11">
        <v>62</v>
      </c>
      <c r="Z8" s="11">
        <v>155</v>
      </c>
      <c r="AA8" s="11"/>
      <c r="AB8" s="11">
        <v>117</v>
      </c>
      <c r="AC8" s="11">
        <v>116</v>
      </c>
      <c r="AD8" s="11">
        <v>211</v>
      </c>
      <c r="AE8" s="11">
        <v>141</v>
      </c>
      <c r="AF8" s="11"/>
      <c r="AG8" s="11">
        <v>117</v>
      </c>
      <c r="AH8" s="11">
        <v>63</v>
      </c>
      <c r="AI8" s="11"/>
      <c r="AJ8" s="11">
        <v>180</v>
      </c>
      <c r="AK8" s="11">
        <v>183</v>
      </c>
      <c r="AL8" s="11"/>
      <c r="AM8" s="11">
        <v>565</v>
      </c>
      <c r="AN8" s="11">
        <v>309</v>
      </c>
    </row>
    <row r="9" spans="2:40" ht="58" x14ac:dyDescent="0.35">
      <c r="B9" s="15" t="s">
        <v>313</v>
      </c>
      <c r="C9" s="14">
        <v>0.34221126677608399</v>
      </c>
      <c r="D9" s="14">
        <v>0.319838202217677</v>
      </c>
      <c r="E9" s="14">
        <v>0.36283263985681202</v>
      </c>
      <c r="F9" s="14"/>
      <c r="G9" s="14" t="s">
        <v>76</v>
      </c>
      <c r="H9" s="14" t="s">
        <v>76</v>
      </c>
      <c r="I9" s="14">
        <v>0.34221126677608399</v>
      </c>
      <c r="J9" s="14"/>
      <c r="K9" s="14" t="s">
        <v>76</v>
      </c>
      <c r="L9" s="14">
        <v>0.33808376805269402</v>
      </c>
      <c r="M9" s="14">
        <v>0.350077408753456</v>
      </c>
      <c r="N9" s="14"/>
      <c r="O9" s="14">
        <v>0.36030364077056898</v>
      </c>
      <c r="P9" s="14">
        <v>0.256997616970087</v>
      </c>
      <c r="Q9" s="14"/>
      <c r="R9" s="14">
        <v>0.296058627441946</v>
      </c>
      <c r="S9" s="14">
        <v>0.30366201720673203</v>
      </c>
      <c r="T9" s="14">
        <v>0.36947355674749099</v>
      </c>
      <c r="U9" s="14">
        <v>0.390802881476915</v>
      </c>
      <c r="V9" s="14">
        <v>0.36690055855085202</v>
      </c>
      <c r="W9" s="14">
        <v>0.37317088761317102</v>
      </c>
      <c r="X9" s="14">
        <v>0.34965325234023498</v>
      </c>
      <c r="Y9" s="14">
        <v>0.41639042790773101</v>
      </c>
      <c r="Z9" s="14">
        <v>0.31546512870957699</v>
      </c>
      <c r="AA9" s="14"/>
      <c r="AB9" s="14">
        <v>0.27840933590483002</v>
      </c>
      <c r="AC9" s="14">
        <v>0.313057757428998</v>
      </c>
      <c r="AD9" s="14">
        <v>0.401143355410844</v>
      </c>
      <c r="AE9" s="14">
        <v>0.301951507888154</v>
      </c>
      <c r="AF9" s="14"/>
      <c r="AG9" s="14">
        <v>0.32664702942635399</v>
      </c>
      <c r="AH9" s="14">
        <v>0.33252214985456102</v>
      </c>
      <c r="AI9" s="14"/>
      <c r="AJ9" s="14">
        <v>0.32870038364168402</v>
      </c>
      <c r="AK9" s="14">
        <v>0.39006103091212202</v>
      </c>
      <c r="AL9" s="14"/>
      <c r="AM9" s="14">
        <v>0.29130607129726699</v>
      </c>
      <c r="AN9" s="14">
        <v>0.40447321129032299</v>
      </c>
    </row>
    <row r="10" spans="2:40" ht="58" x14ac:dyDescent="0.35">
      <c r="B10" s="15" t="s">
        <v>314</v>
      </c>
      <c r="C10" s="14">
        <v>9.3632698185270299E-2</v>
      </c>
      <c r="D10" s="14">
        <v>0.110456995730028</v>
      </c>
      <c r="E10" s="14">
        <v>7.4676972932400096E-2</v>
      </c>
      <c r="F10" s="14"/>
      <c r="G10" s="14" t="s">
        <v>76</v>
      </c>
      <c r="H10" s="14" t="s">
        <v>76</v>
      </c>
      <c r="I10" s="14">
        <v>9.3632698185270299E-2</v>
      </c>
      <c r="J10" s="14"/>
      <c r="K10" s="14" t="s">
        <v>76</v>
      </c>
      <c r="L10" s="14">
        <v>0.102966394119459</v>
      </c>
      <c r="M10" s="14">
        <v>7.5844642437153706E-2</v>
      </c>
      <c r="N10" s="14"/>
      <c r="O10" s="14">
        <v>9.3175661664562606E-2</v>
      </c>
      <c r="P10" s="14">
        <v>9.6817837698258094E-2</v>
      </c>
      <c r="Q10" s="14"/>
      <c r="R10" s="14">
        <v>0.104399914704368</v>
      </c>
      <c r="S10" s="14">
        <v>0.106376454991592</v>
      </c>
      <c r="T10" s="14">
        <v>3.11456255233751E-2</v>
      </c>
      <c r="U10" s="14">
        <v>0.10139744152465301</v>
      </c>
      <c r="V10" s="14">
        <v>0.13526539668957599</v>
      </c>
      <c r="W10" s="14">
        <v>0.114335548130912</v>
      </c>
      <c r="X10" s="14">
        <v>7.0613621338156699E-2</v>
      </c>
      <c r="Y10" s="14">
        <v>0.102107354760703</v>
      </c>
      <c r="Z10" s="14">
        <v>7.2131726952975303E-2</v>
      </c>
      <c r="AA10" s="14"/>
      <c r="AB10" s="14">
        <v>0.15417602356264901</v>
      </c>
      <c r="AC10" s="14">
        <v>0.12329551803707001</v>
      </c>
      <c r="AD10" s="14">
        <v>5.6495902372920598E-2</v>
      </c>
      <c r="AE10" s="14">
        <v>0.12034235453426601</v>
      </c>
      <c r="AF10" s="14"/>
      <c r="AG10" s="14">
        <v>0.156691155045349</v>
      </c>
      <c r="AH10" s="14">
        <v>2.6053595685869301E-2</v>
      </c>
      <c r="AI10" s="14"/>
      <c r="AJ10" s="14">
        <v>0.111033336372673</v>
      </c>
      <c r="AK10" s="14">
        <v>5.1998375897052397E-2</v>
      </c>
      <c r="AL10" s="14"/>
      <c r="AM10" s="14">
        <v>0.109650460442242</v>
      </c>
      <c r="AN10" s="14">
        <v>5.7885916383551297E-2</v>
      </c>
    </row>
    <row r="11" spans="2:40" ht="58" x14ac:dyDescent="0.35">
      <c r="B11" s="15" t="s">
        <v>315</v>
      </c>
      <c r="C11" s="14">
        <v>4.5361370950673802E-2</v>
      </c>
      <c r="D11" s="14">
        <v>4.8824239430533801E-2</v>
      </c>
      <c r="E11" s="14">
        <v>4.2584625621542499E-2</v>
      </c>
      <c r="F11" s="14"/>
      <c r="G11" s="14" t="s">
        <v>76</v>
      </c>
      <c r="H11" s="14" t="s">
        <v>76</v>
      </c>
      <c r="I11" s="14">
        <v>4.5361370950673802E-2</v>
      </c>
      <c r="J11" s="14"/>
      <c r="K11" s="14" t="s">
        <v>76</v>
      </c>
      <c r="L11" s="14">
        <v>4.7264486532135698E-2</v>
      </c>
      <c r="M11" s="14">
        <v>4.1734434065559198E-2</v>
      </c>
      <c r="N11" s="14"/>
      <c r="O11" s="14">
        <v>4.7798385897322299E-2</v>
      </c>
      <c r="P11" s="14">
        <v>3.8727354787012398E-2</v>
      </c>
      <c r="Q11" s="14"/>
      <c r="R11" s="14">
        <v>5.6014780901764198E-2</v>
      </c>
      <c r="S11" s="14">
        <v>5.4367763850597703E-2</v>
      </c>
      <c r="T11" s="14">
        <v>5.2253593966341397E-2</v>
      </c>
      <c r="U11" s="14">
        <v>3.0407439863686998E-2</v>
      </c>
      <c r="V11" s="14">
        <v>3.2336145685057299E-2</v>
      </c>
      <c r="W11" s="14">
        <v>6.6346932684736695E-2</v>
      </c>
      <c r="X11" s="14">
        <v>2.3983622476723102E-2</v>
      </c>
      <c r="Y11" s="14">
        <v>5.4179282376262301E-2</v>
      </c>
      <c r="Z11" s="14">
        <v>3.28634815028866E-2</v>
      </c>
      <c r="AA11" s="14"/>
      <c r="AB11" s="14">
        <v>5.8472908986158603E-2</v>
      </c>
      <c r="AC11" s="14">
        <v>3.2490313696526801E-2</v>
      </c>
      <c r="AD11" s="14">
        <v>2.7119637765187801E-2</v>
      </c>
      <c r="AE11" s="14">
        <v>5.1684517538876602E-2</v>
      </c>
      <c r="AF11" s="14"/>
      <c r="AG11" s="14">
        <v>1.2944442803088801E-2</v>
      </c>
      <c r="AH11" s="14">
        <v>4.58208578927361E-2</v>
      </c>
      <c r="AI11" s="14"/>
      <c r="AJ11" s="14">
        <v>2.4434747782227401E-2</v>
      </c>
      <c r="AK11" s="14">
        <v>6.1366627793737902E-2</v>
      </c>
      <c r="AL11" s="14"/>
      <c r="AM11" s="14">
        <v>4.6068375290767599E-2</v>
      </c>
      <c r="AN11" s="14">
        <v>2.8420251931411299E-2</v>
      </c>
    </row>
    <row r="12" spans="2:40" ht="43.5" x14ac:dyDescent="0.35">
      <c r="B12" s="15" t="s">
        <v>316</v>
      </c>
      <c r="C12" s="14">
        <v>1.9341909354004799E-2</v>
      </c>
      <c r="D12" s="14">
        <v>1.5052905909625301E-2</v>
      </c>
      <c r="E12" s="14">
        <v>2.3411079426906602E-2</v>
      </c>
      <c r="F12" s="14"/>
      <c r="G12" s="14" t="s">
        <v>76</v>
      </c>
      <c r="H12" s="14" t="s">
        <v>76</v>
      </c>
      <c r="I12" s="14">
        <v>1.9341909354004799E-2</v>
      </c>
      <c r="J12" s="14"/>
      <c r="K12" s="14" t="s">
        <v>76</v>
      </c>
      <c r="L12" s="14">
        <v>1.65609078280517E-2</v>
      </c>
      <c r="M12" s="14">
        <v>2.46419116819196E-2</v>
      </c>
      <c r="N12" s="14"/>
      <c r="O12" s="14">
        <v>1.6667242932353301E-2</v>
      </c>
      <c r="P12" s="14">
        <v>2.6283427188687401E-2</v>
      </c>
      <c r="Q12" s="14"/>
      <c r="R12" s="14">
        <v>2.5894581545466099E-2</v>
      </c>
      <c r="S12" s="14">
        <v>2.48803610214254E-2</v>
      </c>
      <c r="T12" s="14">
        <v>1.5709799435790501E-2</v>
      </c>
      <c r="U12" s="14">
        <v>7.5631898723195201E-3</v>
      </c>
      <c r="V12" s="14">
        <v>1.9779604973330901E-2</v>
      </c>
      <c r="W12" s="14">
        <v>0</v>
      </c>
      <c r="X12" s="14">
        <v>1.1221176052345801E-2</v>
      </c>
      <c r="Y12" s="14">
        <v>1.23622573872863E-2</v>
      </c>
      <c r="Z12" s="14">
        <v>3.8330721832684898E-2</v>
      </c>
      <c r="AA12" s="14"/>
      <c r="AB12" s="14">
        <v>7.6913990717589397E-3</v>
      </c>
      <c r="AC12" s="14">
        <v>3.5305605011898299E-2</v>
      </c>
      <c r="AD12" s="14">
        <v>2.8605126258071999E-2</v>
      </c>
      <c r="AE12" s="14">
        <v>2.5386493395797901E-2</v>
      </c>
      <c r="AF12" s="14"/>
      <c r="AG12" s="14">
        <v>3.95949210312821E-2</v>
      </c>
      <c r="AH12" s="14">
        <v>4.2030625963944003E-2</v>
      </c>
      <c r="AI12" s="14"/>
      <c r="AJ12" s="14">
        <v>4.0446199750058601E-2</v>
      </c>
      <c r="AK12" s="14">
        <v>8.4064262207868504E-3</v>
      </c>
      <c r="AL12" s="14"/>
      <c r="AM12" s="14">
        <v>2.3048954329943298E-2</v>
      </c>
      <c r="AN12" s="14">
        <v>1.53102648084898E-2</v>
      </c>
    </row>
    <row r="13" spans="2:40" ht="58" x14ac:dyDescent="0.35">
      <c r="B13" s="15" t="s">
        <v>317</v>
      </c>
      <c r="C13" s="14">
        <v>2.5520063853640401E-2</v>
      </c>
      <c r="D13" s="14">
        <v>1.9151221009264401E-2</v>
      </c>
      <c r="E13" s="14">
        <v>3.1535768775164799E-2</v>
      </c>
      <c r="F13" s="14"/>
      <c r="G13" s="14" t="s">
        <v>76</v>
      </c>
      <c r="H13" s="14" t="s">
        <v>76</v>
      </c>
      <c r="I13" s="14">
        <v>2.5520063853640401E-2</v>
      </c>
      <c r="J13" s="14"/>
      <c r="K13" s="14" t="s">
        <v>76</v>
      </c>
      <c r="L13" s="14">
        <v>2.5116343973307802E-2</v>
      </c>
      <c r="M13" s="14">
        <v>2.6289468791257101E-2</v>
      </c>
      <c r="N13" s="14"/>
      <c r="O13" s="14">
        <v>2.2740225613803899E-2</v>
      </c>
      <c r="P13" s="14">
        <v>3.6029047551425303E-2</v>
      </c>
      <c r="Q13" s="14"/>
      <c r="R13" s="14">
        <v>3.8673084893653703E-2</v>
      </c>
      <c r="S13" s="14">
        <v>2.3872521433232499E-2</v>
      </c>
      <c r="T13" s="14">
        <v>3.5981516054433199E-2</v>
      </c>
      <c r="U13" s="14">
        <v>2.1814214769190401E-2</v>
      </c>
      <c r="V13" s="14">
        <v>1.7305353091731999E-2</v>
      </c>
      <c r="W13" s="14">
        <v>5.9562075169801703E-3</v>
      </c>
      <c r="X13" s="14">
        <v>1.12905655854969E-2</v>
      </c>
      <c r="Y13" s="14">
        <v>5.38541749082228E-2</v>
      </c>
      <c r="Z13" s="14">
        <v>2.5511313669813601E-2</v>
      </c>
      <c r="AA13" s="14"/>
      <c r="AB13" s="14">
        <v>2.22641774379271E-2</v>
      </c>
      <c r="AC13" s="14">
        <v>2.9975936748822801E-2</v>
      </c>
      <c r="AD13" s="14">
        <v>1.6504038799845699E-2</v>
      </c>
      <c r="AE13" s="14">
        <v>4.3344250068109498E-2</v>
      </c>
      <c r="AF13" s="14"/>
      <c r="AG13" s="14">
        <v>3.4026111785692398E-2</v>
      </c>
      <c r="AH13" s="14">
        <v>1.37448928984156E-2</v>
      </c>
      <c r="AI13" s="14"/>
      <c r="AJ13" s="14">
        <v>2.6937827076789999E-2</v>
      </c>
      <c r="AK13" s="14">
        <v>2.93572457767056E-2</v>
      </c>
      <c r="AL13" s="14"/>
      <c r="AM13" s="14">
        <v>3.3568457919848402E-2</v>
      </c>
      <c r="AN13" s="14">
        <v>2.0734689686654699E-2</v>
      </c>
    </row>
    <row r="14" spans="2:40" ht="43.5" x14ac:dyDescent="0.35">
      <c r="B14" s="15" t="s">
        <v>318</v>
      </c>
      <c r="C14" s="14">
        <v>2.9395444595409499E-2</v>
      </c>
      <c r="D14" s="14">
        <v>2.9456739275451199E-2</v>
      </c>
      <c r="E14" s="14">
        <v>2.95847935517446E-2</v>
      </c>
      <c r="F14" s="14"/>
      <c r="G14" s="14" t="s">
        <v>76</v>
      </c>
      <c r="H14" s="14" t="s">
        <v>76</v>
      </c>
      <c r="I14" s="14">
        <v>2.9395444595409499E-2</v>
      </c>
      <c r="J14" s="14"/>
      <c r="K14" s="14" t="s">
        <v>76</v>
      </c>
      <c r="L14" s="14">
        <v>2.7107815340914099E-2</v>
      </c>
      <c r="M14" s="14">
        <v>3.37551834380828E-2</v>
      </c>
      <c r="N14" s="14"/>
      <c r="O14" s="14">
        <v>2.88503764219359E-2</v>
      </c>
      <c r="P14" s="14">
        <v>3.1931434315587003E-2</v>
      </c>
      <c r="Q14" s="14"/>
      <c r="R14" s="14">
        <v>4.6069084075281597E-2</v>
      </c>
      <c r="S14" s="14">
        <v>3.0083914978522901E-2</v>
      </c>
      <c r="T14" s="14">
        <v>1.6712685975204301E-2</v>
      </c>
      <c r="U14" s="14">
        <v>2.5431104144993302E-2</v>
      </c>
      <c r="V14" s="14">
        <v>8.3506537773943498E-3</v>
      </c>
      <c r="W14" s="14">
        <v>1.8117963661007999E-2</v>
      </c>
      <c r="X14" s="14">
        <v>2.3397826405666799E-2</v>
      </c>
      <c r="Y14" s="14">
        <v>2.40110887670913E-2</v>
      </c>
      <c r="Z14" s="14">
        <v>4.8064945476535698E-2</v>
      </c>
      <c r="AA14" s="14"/>
      <c r="AB14" s="14">
        <v>3.1466889770820398E-2</v>
      </c>
      <c r="AC14" s="14">
        <v>2.0553770700444299E-2</v>
      </c>
      <c r="AD14" s="14">
        <v>3.3785551917093003E-2</v>
      </c>
      <c r="AE14" s="14">
        <v>4.2861596276716901E-2</v>
      </c>
      <c r="AF14" s="14"/>
      <c r="AG14" s="14">
        <v>5.8434744277511899E-2</v>
      </c>
      <c r="AH14" s="14">
        <v>2.8181344404967199E-2</v>
      </c>
      <c r="AI14" s="14"/>
      <c r="AJ14" s="14">
        <v>4.78611829496274E-2</v>
      </c>
      <c r="AK14" s="14">
        <v>4.92060486286287E-3</v>
      </c>
      <c r="AL14" s="14"/>
      <c r="AM14" s="14">
        <v>3.7667919563978199E-2</v>
      </c>
      <c r="AN14" s="14">
        <v>2.7361668582861199E-2</v>
      </c>
    </row>
    <row r="15" spans="2:40" ht="58" x14ac:dyDescent="0.35">
      <c r="B15" s="15" t="s">
        <v>319</v>
      </c>
      <c r="C15" s="14">
        <v>0.11991088128215099</v>
      </c>
      <c r="D15" s="14">
        <v>0.138057440208223</v>
      </c>
      <c r="E15" s="14">
        <v>0.103061442861346</v>
      </c>
      <c r="F15" s="14"/>
      <c r="G15" s="14" t="s">
        <v>76</v>
      </c>
      <c r="H15" s="14" t="s">
        <v>76</v>
      </c>
      <c r="I15" s="14">
        <v>0.11991088128215099</v>
      </c>
      <c r="J15" s="14"/>
      <c r="K15" s="14" t="s">
        <v>76</v>
      </c>
      <c r="L15" s="14">
        <v>0.118481680961952</v>
      </c>
      <c r="M15" s="14">
        <v>0.122634635639501</v>
      </c>
      <c r="N15" s="14"/>
      <c r="O15" s="14">
        <v>0.11036492929872201</v>
      </c>
      <c r="P15" s="14">
        <v>0.18152385797895901</v>
      </c>
      <c r="Q15" s="14"/>
      <c r="R15" s="14">
        <v>0.10778731647741099</v>
      </c>
      <c r="S15" s="14">
        <v>0.121820478509955</v>
      </c>
      <c r="T15" s="14">
        <v>8.3769903422579797E-2</v>
      </c>
      <c r="U15" s="14">
        <v>0.15370212141994299</v>
      </c>
      <c r="V15" s="14">
        <v>0.144391611005286</v>
      </c>
      <c r="W15" s="14">
        <v>0.14224606064336001</v>
      </c>
      <c r="X15" s="14">
        <v>0.13262736219361301</v>
      </c>
      <c r="Y15" s="14">
        <v>7.6556509989198898E-2</v>
      </c>
      <c r="Z15" s="14">
        <v>0.106994375013946</v>
      </c>
      <c r="AA15" s="14"/>
      <c r="AB15" s="14">
        <v>0.110387005231188</v>
      </c>
      <c r="AC15" s="14">
        <v>9.8034528968124895E-2</v>
      </c>
      <c r="AD15" s="14">
        <v>0.12807435323981001</v>
      </c>
      <c r="AE15" s="14">
        <v>0.112014509394798</v>
      </c>
      <c r="AF15" s="14"/>
      <c r="AG15" s="14">
        <v>0.116125342239074</v>
      </c>
      <c r="AH15" s="14">
        <v>0.131828186801215</v>
      </c>
      <c r="AI15" s="14"/>
      <c r="AJ15" s="14">
        <v>0.12161348541304901</v>
      </c>
      <c r="AK15" s="14">
        <v>0.129633530019794</v>
      </c>
      <c r="AL15" s="14"/>
      <c r="AM15" s="14">
        <v>0.13912006130592899</v>
      </c>
      <c r="AN15" s="14">
        <v>7.7061290824869497E-2</v>
      </c>
    </row>
    <row r="16" spans="2:40" ht="29" x14ac:dyDescent="0.35">
      <c r="B16" s="15" t="s">
        <v>320</v>
      </c>
      <c r="C16" s="14">
        <v>0.16291876954583401</v>
      </c>
      <c r="D16" s="14">
        <v>0.16053963809194999</v>
      </c>
      <c r="E16" s="14">
        <v>0.16644541876190699</v>
      </c>
      <c r="F16" s="14"/>
      <c r="G16" s="14" t="s">
        <v>76</v>
      </c>
      <c r="H16" s="14" t="s">
        <v>76</v>
      </c>
      <c r="I16" s="14">
        <v>0.16291876954583401</v>
      </c>
      <c r="J16" s="14"/>
      <c r="K16" s="14" t="s">
        <v>76</v>
      </c>
      <c r="L16" s="14">
        <v>0.156404882062538</v>
      </c>
      <c r="M16" s="14">
        <v>0.17533286515242</v>
      </c>
      <c r="N16" s="14"/>
      <c r="O16" s="14">
        <v>0.15522633331708799</v>
      </c>
      <c r="P16" s="14">
        <v>0.20530984307717101</v>
      </c>
      <c r="Q16" s="14"/>
      <c r="R16" s="14">
        <v>0.15917062239914601</v>
      </c>
      <c r="S16" s="14">
        <v>0.165522889991428</v>
      </c>
      <c r="T16" s="14">
        <v>0.25206423521295301</v>
      </c>
      <c r="U16" s="14">
        <v>0.13014532294783501</v>
      </c>
      <c r="V16" s="14">
        <v>9.4088462174539395E-2</v>
      </c>
      <c r="W16" s="14">
        <v>0.156612628484259</v>
      </c>
      <c r="X16" s="14">
        <v>0.171873282684675</v>
      </c>
      <c r="Y16" s="14">
        <v>0.108053784201272</v>
      </c>
      <c r="Z16" s="14">
        <v>0.19382217554308501</v>
      </c>
      <c r="AA16" s="14"/>
      <c r="AB16" s="14">
        <v>0.17443552359619</v>
      </c>
      <c r="AC16" s="14">
        <v>0.23622725337931999</v>
      </c>
      <c r="AD16" s="14">
        <v>0.15544123952174499</v>
      </c>
      <c r="AE16" s="14">
        <v>0.200821903167058</v>
      </c>
      <c r="AF16" s="14"/>
      <c r="AG16" s="14">
        <v>0.17885498139575601</v>
      </c>
      <c r="AH16" s="14">
        <v>0.24197005710470601</v>
      </c>
      <c r="AI16" s="14"/>
      <c r="AJ16" s="14">
        <v>0.20091369633471001</v>
      </c>
      <c r="AK16" s="14">
        <v>0.14832621844782901</v>
      </c>
      <c r="AL16" s="14"/>
      <c r="AM16" s="14">
        <v>0.19156294705670901</v>
      </c>
      <c r="AN16" s="14">
        <v>0.12727120708808001</v>
      </c>
    </row>
    <row r="17" spans="2:40" ht="43.5" x14ac:dyDescent="0.35">
      <c r="B17" s="15" t="s">
        <v>321</v>
      </c>
      <c r="C17" s="14">
        <v>7.3640606366953201E-2</v>
      </c>
      <c r="D17" s="14">
        <v>9.5236641914654294E-2</v>
      </c>
      <c r="E17" s="14">
        <v>5.4578101010403002E-2</v>
      </c>
      <c r="F17" s="14"/>
      <c r="G17" s="14" t="s">
        <v>76</v>
      </c>
      <c r="H17" s="14" t="s">
        <v>76</v>
      </c>
      <c r="I17" s="14">
        <v>7.3640606366953201E-2</v>
      </c>
      <c r="J17" s="14"/>
      <c r="K17" s="14" t="s">
        <v>76</v>
      </c>
      <c r="L17" s="14">
        <v>8.1122054955324097E-2</v>
      </c>
      <c r="M17" s="14">
        <v>5.9382543376156699E-2</v>
      </c>
      <c r="N17" s="14"/>
      <c r="O17" s="14">
        <v>6.9616691232054898E-2</v>
      </c>
      <c r="P17" s="14">
        <v>8.6399851737137601E-2</v>
      </c>
      <c r="Q17" s="14"/>
      <c r="R17" s="14">
        <v>0.11135132997514199</v>
      </c>
      <c r="S17" s="14">
        <v>6.2301885364571298E-2</v>
      </c>
      <c r="T17" s="14">
        <v>4.3637974544825202E-2</v>
      </c>
      <c r="U17" s="14">
        <v>7.0149172259783205E-2</v>
      </c>
      <c r="V17" s="14">
        <v>6.7318467581607297E-2</v>
      </c>
      <c r="W17" s="14">
        <v>2.7404140163495801E-2</v>
      </c>
      <c r="X17" s="14">
        <v>0.109832449243354</v>
      </c>
      <c r="Y17" s="14">
        <v>6.0557588895033702E-2</v>
      </c>
      <c r="Z17" s="14">
        <v>8.3796068532335802E-2</v>
      </c>
      <c r="AA17" s="14"/>
      <c r="AB17" s="14">
        <v>8.4359984812456601E-2</v>
      </c>
      <c r="AC17" s="14">
        <v>9.3906179587666297E-2</v>
      </c>
      <c r="AD17" s="14">
        <v>6.4584325033324105E-2</v>
      </c>
      <c r="AE17" s="14">
        <v>4.3031695213159797E-2</v>
      </c>
      <c r="AF17" s="14"/>
      <c r="AG17" s="14">
        <v>3.9713376895497601E-2</v>
      </c>
      <c r="AH17" s="14">
        <v>5.4922376939303699E-2</v>
      </c>
      <c r="AI17" s="14"/>
      <c r="AJ17" s="14">
        <v>4.5028921441779099E-2</v>
      </c>
      <c r="AK17" s="14">
        <v>5.85093301449926E-2</v>
      </c>
      <c r="AL17" s="14"/>
      <c r="AM17" s="14">
        <v>0.100215345470998</v>
      </c>
      <c r="AN17" s="14">
        <v>5.3269456871087403E-2</v>
      </c>
    </row>
    <row r="18" spans="2:40" ht="29" x14ac:dyDescent="0.35">
      <c r="B18" s="15" t="s">
        <v>301</v>
      </c>
      <c r="C18" s="14">
        <v>4.2801595975220798E-2</v>
      </c>
      <c r="D18" s="14">
        <v>3.1499061525492603E-2</v>
      </c>
      <c r="E18" s="14">
        <v>5.3456678510537703E-2</v>
      </c>
      <c r="F18" s="14"/>
      <c r="G18" s="14" t="s">
        <v>76</v>
      </c>
      <c r="H18" s="14" t="s">
        <v>76</v>
      </c>
      <c r="I18" s="14">
        <v>4.2801595975220798E-2</v>
      </c>
      <c r="J18" s="14"/>
      <c r="K18" s="14" t="s">
        <v>76</v>
      </c>
      <c r="L18" s="14">
        <v>3.4776662242010398E-2</v>
      </c>
      <c r="M18" s="14">
        <v>5.8095427017906397E-2</v>
      </c>
      <c r="N18" s="14"/>
      <c r="O18" s="14">
        <v>4.64273753986124E-2</v>
      </c>
      <c r="P18" s="14">
        <v>1.6336760357153399E-2</v>
      </c>
      <c r="Q18" s="14"/>
      <c r="R18" s="14">
        <v>4.4379732837071903E-2</v>
      </c>
      <c r="S18" s="14">
        <v>6.6492641875355904E-2</v>
      </c>
      <c r="T18" s="14">
        <v>4.65518911497644E-2</v>
      </c>
      <c r="U18" s="14">
        <v>3.7332997420060202E-2</v>
      </c>
      <c r="V18" s="14">
        <v>7.9173942963178309E-3</v>
      </c>
      <c r="W18" s="14">
        <v>3.9430422562615697E-2</v>
      </c>
      <c r="X18" s="14">
        <v>3.3444039616567299E-2</v>
      </c>
      <c r="Y18" s="14">
        <v>6.6308791734667402E-2</v>
      </c>
      <c r="Z18" s="14">
        <v>3.4843735840765402E-2</v>
      </c>
      <c r="AA18" s="14"/>
      <c r="AB18" s="14">
        <v>5.5579299457366303E-2</v>
      </c>
      <c r="AC18" s="14">
        <v>0</v>
      </c>
      <c r="AD18" s="14">
        <v>5.3879616235518499E-2</v>
      </c>
      <c r="AE18" s="14">
        <v>4.4749625520413401E-2</v>
      </c>
      <c r="AF18" s="14"/>
      <c r="AG18" s="14">
        <v>6.5759756217073501E-3</v>
      </c>
      <c r="AH18" s="14">
        <v>8.2925912454283199E-2</v>
      </c>
      <c r="AI18" s="14"/>
      <c r="AJ18" s="14">
        <v>3.3260273680120502E-2</v>
      </c>
      <c r="AK18" s="14">
        <v>7.8460764787469495E-2</v>
      </c>
      <c r="AL18" s="14"/>
      <c r="AM18" s="14">
        <v>4.3631254624821297E-3</v>
      </c>
      <c r="AN18" s="14">
        <v>0.113264311386403</v>
      </c>
    </row>
    <row r="19" spans="2:40" x14ac:dyDescent="0.35">
      <c r="B19" s="15" t="s">
        <v>70</v>
      </c>
      <c r="C19" s="20">
        <v>4.52653931147581E-2</v>
      </c>
      <c r="D19" s="20">
        <v>3.1886914687101003E-2</v>
      </c>
      <c r="E19" s="20">
        <v>5.7832478691235402E-2</v>
      </c>
      <c r="F19" s="20"/>
      <c r="G19" s="20" t="s">
        <v>76</v>
      </c>
      <c r="H19" s="20" t="s">
        <v>76</v>
      </c>
      <c r="I19" s="20">
        <v>4.52653931147581E-2</v>
      </c>
      <c r="J19" s="20"/>
      <c r="K19" s="20" t="s">
        <v>76</v>
      </c>
      <c r="L19" s="20">
        <v>5.2115003931612697E-2</v>
      </c>
      <c r="M19" s="20">
        <v>3.2211479646588499E-2</v>
      </c>
      <c r="N19" s="20"/>
      <c r="O19" s="20">
        <v>4.8829137452976498E-2</v>
      </c>
      <c r="P19" s="20">
        <v>2.36429683385222E-2</v>
      </c>
      <c r="Q19" s="20"/>
      <c r="R19" s="20">
        <v>1.020092474875E-2</v>
      </c>
      <c r="S19" s="20">
        <v>4.0619070776587898E-2</v>
      </c>
      <c r="T19" s="20">
        <v>5.2699217967241897E-2</v>
      </c>
      <c r="U19" s="20">
        <v>3.1254114300620098E-2</v>
      </c>
      <c r="V19" s="20">
        <v>0.106346352174307</v>
      </c>
      <c r="W19" s="20">
        <v>5.6379208539461302E-2</v>
      </c>
      <c r="X19" s="20">
        <v>6.20628020631665E-2</v>
      </c>
      <c r="Y19" s="20">
        <v>2.5618739072530601E-2</v>
      </c>
      <c r="Z19" s="20">
        <v>4.8176326925394898E-2</v>
      </c>
      <c r="AA19" s="20"/>
      <c r="AB19" s="20">
        <v>2.27574521686555E-2</v>
      </c>
      <c r="AC19" s="20">
        <v>1.7153136441127901E-2</v>
      </c>
      <c r="AD19" s="20">
        <v>3.4366853445639597E-2</v>
      </c>
      <c r="AE19" s="20">
        <v>1.38115470026496E-2</v>
      </c>
      <c r="AF19" s="20"/>
      <c r="AG19" s="20">
        <v>3.0391919478686101E-2</v>
      </c>
      <c r="AH19" s="20">
        <v>0</v>
      </c>
      <c r="AI19" s="20"/>
      <c r="AJ19" s="20">
        <v>1.9769945557280899E-2</v>
      </c>
      <c r="AK19" s="20">
        <v>3.8959845136646701E-2</v>
      </c>
      <c r="AL19" s="20"/>
      <c r="AM19" s="20">
        <v>2.3428281859835101E-2</v>
      </c>
      <c r="AN19" s="20">
        <v>7.4947731146268695E-2</v>
      </c>
    </row>
    <row r="20" spans="2:40" x14ac:dyDescent="0.35">
      <c r="B20" s="27" t="s">
        <v>390</v>
      </c>
    </row>
    <row r="21" spans="2:40" x14ac:dyDescent="0.35">
      <c r="B21" t="s">
        <v>72</v>
      </c>
    </row>
    <row r="22" spans="2:40" x14ac:dyDescent="0.35">
      <c r="B22" t="s">
        <v>73</v>
      </c>
    </row>
    <row r="24" spans="2:40" x14ac:dyDescent="0.35">
      <c r="B24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dimension ref="B2:AN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329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938</v>
      </c>
      <c r="D7" s="10">
        <v>503</v>
      </c>
      <c r="E7" s="10">
        <v>433</v>
      </c>
      <c r="F7" s="10"/>
      <c r="G7" s="10">
        <v>429</v>
      </c>
      <c r="H7" s="10">
        <v>509</v>
      </c>
      <c r="I7" s="10" t="s">
        <v>75</v>
      </c>
      <c r="J7" s="10"/>
      <c r="K7" s="10">
        <v>938</v>
      </c>
      <c r="L7" s="10" t="s">
        <v>75</v>
      </c>
      <c r="M7" s="10" t="s">
        <v>75</v>
      </c>
      <c r="N7" s="10"/>
      <c r="O7" s="10">
        <v>827</v>
      </c>
      <c r="P7" s="10">
        <v>94</v>
      </c>
      <c r="Q7" s="10"/>
      <c r="R7" s="10">
        <v>134</v>
      </c>
      <c r="S7" s="10">
        <v>154</v>
      </c>
      <c r="T7" s="10">
        <v>99</v>
      </c>
      <c r="U7" s="10">
        <v>95</v>
      </c>
      <c r="V7" s="10">
        <v>87</v>
      </c>
      <c r="W7" s="10">
        <v>121</v>
      </c>
      <c r="X7" s="10">
        <v>67</v>
      </c>
      <c r="Y7" s="10">
        <v>44</v>
      </c>
      <c r="Z7" s="10">
        <v>137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611</v>
      </c>
      <c r="AN7" s="10">
        <v>169</v>
      </c>
    </row>
    <row r="8" spans="2:40" ht="30" customHeight="1" x14ac:dyDescent="0.35">
      <c r="B8" s="11" t="s">
        <v>20</v>
      </c>
      <c r="C8" s="11">
        <v>1018</v>
      </c>
      <c r="D8" s="11">
        <v>532</v>
      </c>
      <c r="E8" s="11">
        <v>484</v>
      </c>
      <c r="F8" s="11"/>
      <c r="G8" s="11">
        <v>559</v>
      </c>
      <c r="H8" s="11">
        <v>459</v>
      </c>
      <c r="I8" s="11" t="s">
        <v>75</v>
      </c>
      <c r="J8" s="11"/>
      <c r="K8" s="11">
        <v>1018</v>
      </c>
      <c r="L8" s="11" t="s">
        <v>75</v>
      </c>
      <c r="M8" s="11" t="s">
        <v>75</v>
      </c>
      <c r="N8" s="11"/>
      <c r="O8" s="11">
        <v>901</v>
      </c>
      <c r="P8" s="11">
        <v>100</v>
      </c>
      <c r="Q8" s="11"/>
      <c r="R8" s="11">
        <v>162</v>
      </c>
      <c r="S8" s="11">
        <v>153</v>
      </c>
      <c r="T8" s="11">
        <v>111</v>
      </c>
      <c r="U8" s="11">
        <v>116</v>
      </c>
      <c r="V8" s="11">
        <v>95</v>
      </c>
      <c r="W8" s="11">
        <v>103</v>
      </c>
      <c r="X8" s="11">
        <v>108</v>
      </c>
      <c r="Y8" s="11">
        <v>46</v>
      </c>
      <c r="Z8" s="11">
        <v>123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673</v>
      </c>
      <c r="AN8" s="11">
        <v>174</v>
      </c>
    </row>
    <row r="9" spans="2:40" ht="29" x14ac:dyDescent="0.35">
      <c r="B9" s="15" t="s">
        <v>324</v>
      </c>
      <c r="C9" s="14">
        <v>6.4956520279230101E-2</v>
      </c>
      <c r="D9" s="14">
        <v>6.3796222398698796E-2</v>
      </c>
      <c r="E9" s="14">
        <v>6.6510711299367101E-2</v>
      </c>
      <c r="F9" s="14"/>
      <c r="G9" s="14">
        <v>6.6863598459633994E-2</v>
      </c>
      <c r="H9" s="14">
        <v>6.2634615981312994E-2</v>
      </c>
      <c r="I9" s="14" t="s">
        <v>76</v>
      </c>
      <c r="J9" s="14"/>
      <c r="K9" s="14">
        <v>6.4956520279230101E-2</v>
      </c>
      <c r="L9" s="14" t="s">
        <v>76</v>
      </c>
      <c r="M9" s="14" t="s">
        <v>76</v>
      </c>
      <c r="N9" s="14"/>
      <c r="O9" s="14">
        <v>5.9377024780622602E-2</v>
      </c>
      <c r="P9" s="14">
        <v>0.11496626267707501</v>
      </c>
      <c r="Q9" s="14"/>
      <c r="R9" s="14">
        <v>8.26611657317807E-2</v>
      </c>
      <c r="S9" s="14">
        <v>5.4864619330822997E-2</v>
      </c>
      <c r="T9" s="14">
        <v>6.76883727345821E-2</v>
      </c>
      <c r="U9" s="14">
        <v>6.5435161101722802E-2</v>
      </c>
      <c r="V9" s="14">
        <v>4.8182373343230202E-2</v>
      </c>
      <c r="W9" s="14">
        <v>3.8023046167033801E-2</v>
      </c>
      <c r="X9" s="14">
        <v>8.3498654864826993E-2</v>
      </c>
      <c r="Y9" s="14">
        <v>4.0245532612117302E-2</v>
      </c>
      <c r="Z9" s="14">
        <v>7.9586679144564507E-2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7.4455186730898806E-2</v>
      </c>
      <c r="AN9" s="14">
        <v>2.53672079803514E-2</v>
      </c>
    </row>
    <row r="10" spans="2:40" ht="29" x14ac:dyDescent="0.35">
      <c r="B10" s="15" t="s">
        <v>325</v>
      </c>
      <c r="C10" s="14">
        <v>0.15926901706497601</v>
      </c>
      <c r="D10" s="14">
        <v>0.18798706984340099</v>
      </c>
      <c r="E10" s="14">
        <v>0.12668264530289899</v>
      </c>
      <c r="F10" s="14"/>
      <c r="G10" s="14">
        <v>0.15892971821913501</v>
      </c>
      <c r="H10" s="14">
        <v>0.159682119923858</v>
      </c>
      <c r="I10" s="14" t="s">
        <v>76</v>
      </c>
      <c r="J10" s="14"/>
      <c r="K10" s="14">
        <v>0.15926901706497601</v>
      </c>
      <c r="L10" s="14" t="s">
        <v>76</v>
      </c>
      <c r="M10" s="14" t="s">
        <v>76</v>
      </c>
      <c r="N10" s="14"/>
      <c r="O10" s="14">
        <v>0.15276101954454599</v>
      </c>
      <c r="P10" s="14">
        <v>0.23687929848376299</v>
      </c>
      <c r="Q10" s="14"/>
      <c r="R10" s="14">
        <v>0.19972412351080701</v>
      </c>
      <c r="S10" s="14">
        <v>0.148044654245889</v>
      </c>
      <c r="T10" s="14">
        <v>0.15238321944389899</v>
      </c>
      <c r="U10" s="14">
        <v>0.133740813801071</v>
      </c>
      <c r="V10" s="14">
        <v>0.18929022481724</v>
      </c>
      <c r="W10" s="14">
        <v>0.18649131134426999</v>
      </c>
      <c r="X10" s="14">
        <v>8.7781075303004802E-2</v>
      </c>
      <c r="Y10" s="14">
        <v>0.13070926343551001</v>
      </c>
      <c r="Z10" s="14">
        <v>0.17775044951767099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0.15249926432007499</v>
      </c>
      <c r="AN10" s="14">
        <v>0.162885563861521</v>
      </c>
    </row>
    <row r="11" spans="2:40" ht="29" x14ac:dyDescent="0.35">
      <c r="B11" s="15" t="s">
        <v>326</v>
      </c>
      <c r="C11" s="14">
        <v>0.164571373917443</v>
      </c>
      <c r="D11" s="14">
        <v>0.13624729602143801</v>
      </c>
      <c r="E11" s="14">
        <v>0.19643183469057601</v>
      </c>
      <c r="F11" s="14"/>
      <c r="G11" s="14">
        <v>0.15466550958095601</v>
      </c>
      <c r="H11" s="14">
        <v>0.176631953926073</v>
      </c>
      <c r="I11" s="14" t="s">
        <v>76</v>
      </c>
      <c r="J11" s="14"/>
      <c r="K11" s="14">
        <v>0.164571373917443</v>
      </c>
      <c r="L11" s="14" t="s">
        <v>76</v>
      </c>
      <c r="M11" s="14" t="s">
        <v>76</v>
      </c>
      <c r="N11" s="14"/>
      <c r="O11" s="14">
        <v>0.16370761334460299</v>
      </c>
      <c r="P11" s="14">
        <v>0.176434327637739</v>
      </c>
      <c r="Q11" s="14"/>
      <c r="R11" s="14">
        <v>0.18752778362292399</v>
      </c>
      <c r="S11" s="14">
        <v>0.17690588065429999</v>
      </c>
      <c r="T11" s="14">
        <v>0.110421728248141</v>
      </c>
      <c r="U11" s="14">
        <v>0.14574737433760601</v>
      </c>
      <c r="V11" s="14">
        <v>0.16972324037991601</v>
      </c>
      <c r="W11" s="14">
        <v>0.16698584407766701</v>
      </c>
      <c r="X11" s="14">
        <v>0.217853234262397</v>
      </c>
      <c r="Y11" s="14">
        <v>0.17051160717703201</v>
      </c>
      <c r="Z11" s="14">
        <v>0.13074254205873201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0.16274637523197</v>
      </c>
      <c r="AN11" s="14">
        <v>0.20584639627933601</v>
      </c>
    </row>
    <row r="12" spans="2:40" ht="43.5" x14ac:dyDescent="0.35">
      <c r="B12" s="15" t="s">
        <v>327</v>
      </c>
      <c r="C12" s="14">
        <v>0.33172811980730199</v>
      </c>
      <c r="D12" s="14">
        <v>0.33572530991281602</v>
      </c>
      <c r="E12" s="14">
        <v>0.32875024166883299</v>
      </c>
      <c r="F12" s="14"/>
      <c r="G12" s="14">
        <v>0.33493420377014099</v>
      </c>
      <c r="H12" s="14">
        <v>0.32782465103014802</v>
      </c>
      <c r="I12" s="14" t="s">
        <v>76</v>
      </c>
      <c r="J12" s="14"/>
      <c r="K12" s="14">
        <v>0.33172811980730199</v>
      </c>
      <c r="L12" s="14" t="s">
        <v>76</v>
      </c>
      <c r="M12" s="14" t="s">
        <v>76</v>
      </c>
      <c r="N12" s="14"/>
      <c r="O12" s="14">
        <v>0.33499458997225601</v>
      </c>
      <c r="P12" s="14">
        <v>0.29577082449016401</v>
      </c>
      <c r="Q12" s="14"/>
      <c r="R12" s="14">
        <v>0.31055085431672103</v>
      </c>
      <c r="S12" s="14">
        <v>0.36180291952172799</v>
      </c>
      <c r="T12" s="14">
        <v>0.35518015341206399</v>
      </c>
      <c r="U12" s="14">
        <v>0.349559535805611</v>
      </c>
      <c r="V12" s="14">
        <v>0.32053167645421199</v>
      </c>
      <c r="W12" s="14">
        <v>0.34488911521450299</v>
      </c>
      <c r="X12" s="14">
        <v>0.19714351777674</v>
      </c>
      <c r="Y12" s="14">
        <v>0.41914339342922702</v>
      </c>
      <c r="Z12" s="14">
        <v>0.36766158083009198</v>
      </c>
      <c r="AA12" s="14"/>
      <c r="AB12" s="14" t="s">
        <v>76</v>
      </c>
      <c r="AC12" s="14" t="s">
        <v>76</v>
      </c>
      <c r="AD12" s="14" t="s">
        <v>76</v>
      </c>
      <c r="AE12" s="14" t="s">
        <v>76</v>
      </c>
      <c r="AF12" s="14"/>
      <c r="AG12" s="14" t="s">
        <v>76</v>
      </c>
      <c r="AH12" s="14" t="s">
        <v>76</v>
      </c>
      <c r="AI12" s="14"/>
      <c r="AJ12" s="14" t="s">
        <v>76</v>
      </c>
      <c r="AK12" s="14" t="s">
        <v>76</v>
      </c>
      <c r="AL12" s="14"/>
      <c r="AM12" s="14">
        <v>0.335903076546955</v>
      </c>
      <c r="AN12" s="14">
        <v>0.34397466933103099</v>
      </c>
    </row>
    <row r="13" spans="2:40" ht="43.5" x14ac:dyDescent="0.35">
      <c r="B13" s="15" t="s">
        <v>328</v>
      </c>
      <c r="C13" s="14">
        <v>0.15437476829713201</v>
      </c>
      <c r="D13" s="14">
        <v>0.156043316676726</v>
      </c>
      <c r="E13" s="14">
        <v>0.15059987140509501</v>
      </c>
      <c r="F13" s="14"/>
      <c r="G13" s="14">
        <v>0.135217790099249</v>
      </c>
      <c r="H13" s="14">
        <v>0.17769875704065999</v>
      </c>
      <c r="I13" s="14" t="s">
        <v>76</v>
      </c>
      <c r="J13" s="14"/>
      <c r="K13" s="14">
        <v>0.15437476829713201</v>
      </c>
      <c r="L13" s="14" t="s">
        <v>76</v>
      </c>
      <c r="M13" s="14" t="s">
        <v>76</v>
      </c>
      <c r="N13" s="14"/>
      <c r="O13" s="14">
        <v>0.15368954153000999</v>
      </c>
      <c r="P13" s="14">
        <v>0.16035711601353</v>
      </c>
      <c r="Q13" s="14"/>
      <c r="R13" s="14">
        <v>0.174384200466769</v>
      </c>
      <c r="S13" s="14">
        <v>0.153068920398133</v>
      </c>
      <c r="T13" s="14">
        <v>0.18973184107730401</v>
      </c>
      <c r="U13" s="14">
        <v>0.16807459543834999</v>
      </c>
      <c r="V13" s="14">
        <v>0.123392250797304</v>
      </c>
      <c r="W13" s="14">
        <v>0.133890157391929</v>
      </c>
      <c r="X13" s="14">
        <v>0.20987108769908799</v>
      </c>
      <c r="Y13" s="14">
        <v>9.2590351708926905E-2</v>
      </c>
      <c r="Z13" s="14">
        <v>0.100026075890516</v>
      </c>
      <c r="AA13" s="14"/>
      <c r="AB13" s="14" t="s">
        <v>76</v>
      </c>
      <c r="AC13" s="14" t="s">
        <v>76</v>
      </c>
      <c r="AD13" s="14" t="s">
        <v>76</v>
      </c>
      <c r="AE13" s="14" t="s">
        <v>76</v>
      </c>
      <c r="AF13" s="14"/>
      <c r="AG13" s="14" t="s">
        <v>76</v>
      </c>
      <c r="AH13" s="14" t="s">
        <v>76</v>
      </c>
      <c r="AI13" s="14"/>
      <c r="AJ13" s="14" t="s">
        <v>76</v>
      </c>
      <c r="AK13" s="14" t="s">
        <v>76</v>
      </c>
      <c r="AL13" s="14"/>
      <c r="AM13" s="14">
        <v>0.15750351665807599</v>
      </c>
      <c r="AN13" s="14">
        <v>0.145568564160557</v>
      </c>
    </row>
    <row r="14" spans="2:40" x14ac:dyDescent="0.35">
      <c r="B14" s="15" t="s">
        <v>70</v>
      </c>
      <c r="C14" s="20">
        <v>0.125100200633916</v>
      </c>
      <c r="D14" s="20">
        <v>0.12020078514691999</v>
      </c>
      <c r="E14" s="20">
        <v>0.13102469563322999</v>
      </c>
      <c r="F14" s="20"/>
      <c r="G14" s="20">
        <v>0.14938917987088399</v>
      </c>
      <c r="H14" s="20">
        <v>9.5527902097947495E-2</v>
      </c>
      <c r="I14" s="20" t="s">
        <v>76</v>
      </c>
      <c r="J14" s="20"/>
      <c r="K14" s="20">
        <v>0.125100200633916</v>
      </c>
      <c r="L14" s="20" t="s">
        <v>76</v>
      </c>
      <c r="M14" s="20" t="s">
        <v>76</v>
      </c>
      <c r="N14" s="20"/>
      <c r="O14" s="20">
        <v>0.13547021082796301</v>
      </c>
      <c r="P14" s="20">
        <v>1.55921706977286E-2</v>
      </c>
      <c r="Q14" s="20"/>
      <c r="R14" s="20">
        <v>4.51518723509974E-2</v>
      </c>
      <c r="S14" s="20">
        <v>0.10531300584912601</v>
      </c>
      <c r="T14" s="20">
        <v>0.124594685084009</v>
      </c>
      <c r="U14" s="20">
        <v>0.13744251951563899</v>
      </c>
      <c r="V14" s="20">
        <v>0.14888023420809801</v>
      </c>
      <c r="W14" s="20">
        <v>0.129720525804597</v>
      </c>
      <c r="X14" s="20">
        <v>0.20385243009394299</v>
      </c>
      <c r="Y14" s="20">
        <v>0.14679985163718601</v>
      </c>
      <c r="Z14" s="20">
        <v>0.14423267255842401</v>
      </c>
      <c r="AA14" s="20"/>
      <c r="AB14" s="20" t="s">
        <v>76</v>
      </c>
      <c r="AC14" s="20" t="s">
        <v>76</v>
      </c>
      <c r="AD14" s="20" t="s">
        <v>76</v>
      </c>
      <c r="AE14" s="20" t="s">
        <v>76</v>
      </c>
      <c r="AF14" s="20"/>
      <c r="AG14" s="20" t="s">
        <v>76</v>
      </c>
      <c r="AH14" s="20" t="s">
        <v>76</v>
      </c>
      <c r="AI14" s="20"/>
      <c r="AJ14" s="20" t="s">
        <v>76</v>
      </c>
      <c r="AK14" s="20" t="s">
        <v>76</v>
      </c>
      <c r="AL14" s="20"/>
      <c r="AM14" s="20">
        <v>0.116892580512026</v>
      </c>
      <c r="AN14" s="20">
        <v>0.116357598387203</v>
      </c>
    </row>
    <row r="15" spans="2:40" x14ac:dyDescent="0.35">
      <c r="B15" s="16" t="s">
        <v>89</v>
      </c>
    </row>
    <row r="16" spans="2:40" x14ac:dyDescent="0.35">
      <c r="B16" t="s">
        <v>72</v>
      </c>
    </row>
    <row r="17" spans="2:2" x14ac:dyDescent="0.35">
      <c r="B17" t="s">
        <v>73</v>
      </c>
    </row>
    <row r="19" spans="2:2" x14ac:dyDescent="0.35">
      <c r="B19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dimension ref="B2:AN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334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938</v>
      </c>
      <c r="D7" s="10">
        <v>503</v>
      </c>
      <c r="E7" s="10">
        <v>433</v>
      </c>
      <c r="F7" s="10"/>
      <c r="G7" s="10">
        <v>429</v>
      </c>
      <c r="H7" s="10">
        <v>509</v>
      </c>
      <c r="I7" s="10" t="s">
        <v>75</v>
      </c>
      <c r="J7" s="10"/>
      <c r="K7" s="10">
        <v>938</v>
      </c>
      <c r="L7" s="10" t="s">
        <v>75</v>
      </c>
      <c r="M7" s="10" t="s">
        <v>75</v>
      </c>
      <c r="N7" s="10"/>
      <c r="O7" s="10">
        <v>827</v>
      </c>
      <c r="P7" s="10">
        <v>94</v>
      </c>
      <c r="Q7" s="10"/>
      <c r="R7" s="10">
        <v>134</v>
      </c>
      <c r="S7" s="10">
        <v>154</v>
      </c>
      <c r="T7" s="10">
        <v>99</v>
      </c>
      <c r="U7" s="10">
        <v>95</v>
      </c>
      <c r="V7" s="10">
        <v>87</v>
      </c>
      <c r="W7" s="10">
        <v>121</v>
      </c>
      <c r="X7" s="10">
        <v>67</v>
      </c>
      <c r="Y7" s="10">
        <v>44</v>
      </c>
      <c r="Z7" s="10">
        <v>137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611</v>
      </c>
      <c r="AN7" s="10">
        <v>169</v>
      </c>
    </row>
    <row r="8" spans="2:40" ht="30" customHeight="1" x14ac:dyDescent="0.35">
      <c r="B8" s="11" t="s">
        <v>20</v>
      </c>
      <c r="C8" s="11">
        <v>1018</v>
      </c>
      <c r="D8" s="11">
        <v>532</v>
      </c>
      <c r="E8" s="11">
        <v>484</v>
      </c>
      <c r="F8" s="11"/>
      <c r="G8" s="11">
        <v>559</v>
      </c>
      <c r="H8" s="11">
        <v>459</v>
      </c>
      <c r="I8" s="11" t="s">
        <v>75</v>
      </c>
      <c r="J8" s="11"/>
      <c r="K8" s="11">
        <v>1018</v>
      </c>
      <c r="L8" s="11" t="s">
        <v>75</v>
      </c>
      <c r="M8" s="11" t="s">
        <v>75</v>
      </c>
      <c r="N8" s="11"/>
      <c r="O8" s="11">
        <v>901</v>
      </c>
      <c r="P8" s="11">
        <v>100</v>
      </c>
      <c r="Q8" s="11"/>
      <c r="R8" s="11">
        <v>162</v>
      </c>
      <c r="S8" s="11">
        <v>153</v>
      </c>
      <c r="T8" s="11">
        <v>111</v>
      </c>
      <c r="U8" s="11">
        <v>116</v>
      </c>
      <c r="V8" s="11">
        <v>95</v>
      </c>
      <c r="W8" s="11">
        <v>103</v>
      </c>
      <c r="X8" s="11">
        <v>108</v>
      </c>
      <c r="Y8" s="11">
        <v>46</v>
      </c>
      <c r="Z8" s="11">
        <v>123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673</v>
      </c>
      <c r="AN8" s="11">
        <v>174</v>
      </c>
    </row>
    <row r="9" spans="2:40" x14ac:dyDescent="0.35">
      <c r="B9" s="15" t="s">
        <v>330</v>
      </c>
      <c r="C9" s="14">
        <v>6.9867922026165499E-2</v>
      </c>
      <c r="D9" s="14">
        <v>7.2535457794610306E-2</v>
      </c>
      <c r="E9" s="14">
        <v>6.4632645393006699E-2</v>
      </c>
      <c r="F9" s="14"/>
      <c r="G9" s="14">
        <v>6.3160802366850899E-2</v>
      </c>
      <c r="H9" s="14">
        <v>7.8033968978843807E-2</v>
      </c>
      <c r="I9" s="14" t="s">
        <v>76</v>
      </c>
      <c r="J9" s="14"/>
      <c r="K9" s="14">
        <v>6.9867922026165499E-2</v>
      </c>
      <c r="L9" s="14" t="s">
        <v>76</v>
      </c>
      <c r="M9" s="14" t="s">
        <v>76</v>
      </c>
      <c r="N9" s="14"/>
      <c r="O9" s="14">
        <v>6.0899040058259399E-2</v>
      </c>
      <c r="P9" s="14">
        <v>0.15480413967801501</v>
      </c>
      <c r="Q9" s="14"/>
      <c r="R9" s="14">
        <v>8.5262580433534504E-2</v>
      </c>
      <c r="S9" s="14">
        <v>8.0041640914209497E-2</v>
      </c>
      <c r="T9" s="14">
        <v>7.5872087642557401E-2</v>
      </c>
      <c r="U9" s="14">
        <v>2.7418050976618199E-2</v>
      </c>
      <c r="V9" s="14">
        <v>4.7192594712801898E-2</v>
      </c>
      <c r="W9" s="14">
        <v>8.6520784278569296E-2</v>
      </c>
      <c r="X9" s="14">
        <v>0.114448279729568</v>
      </c>
      <c r="Y9" s="14">
        <v>5.3419693913446697E-2</v>
      </c>
      <c r="Z9" s="14">
        <v>4.2274085794734399E-2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7.8000909869586299E-2</v>
      </c>
      <c r="AN9" s="14">
        <v>3.4148483070872197E-2</v>
      </c>
    </row>
    <row r="10" spans="2:40" x14ac:dyDescent="0.35">
      <c r="B10" s="15" t="s">
        <v>331</v>
      </c>
      <c r="C10" s="14">
        <v>0.42179277793317699</v>
      </c>
      <c r="D10" s="14">
        <v>0.44592757798993699</v>
      </c>
      <c r="E10" s="14">
        <v>0.39537097742526101</v>
      </c>
      <c r="F10" s="14"/>
      <c r="G10" s="14">
        <v>0.40435167126442101</v>
      </c>
      <c r="H10" s="14">
        <v>0.44302766014762202</v>
      </c>
      <c r="I10" s="14" t="s">
        <v>76</v>
      </c>
      <c r="J10" s="14"/>
      <c r="K10" s="14">
        <v>0.42179277793317699</v>
      </c>
      <c r="L10" s="14" t="s">
        <v>76</v>
      </c>
      <c r="M10" s="14" t="s">
        <v>76</v>
      </c>
      <c r="N10" s="14"/>
      <c r="O10" s="14">
        <v>0.42056209077756601</v>
      </c>
      <c r="P10" s="14">
        <v>0.43331797369784802</v>
      </c>
      <c r="Q10" s="14"/>
      <c r="R10" s="14">
        <v>0.42949756275714701</v>
      </c>
      <c r="S10" s="14">
        <v>0.38388302083175302</v>
      </c>
      <c r="T10" s="14">
        <v>0.382043216335335</v>
      </c>
      <c r="U10" s="14">
        <v>0.40580230105125797</v>
      </c>
      <c r="V10" s="14">
        <v>0.41760221327218</v>
      </c>
      <c r="W10" s="14">
        <v>0.39956171330676898</v>
      </c>
      <c r="X10" s="14">
        <v>0.48037339240187499</v>
      </c>
      <c r="Y10" s="14">
        <v>0.53216864778335504</v>
      </c>
      <c r="Z10" s="14">
        <v>0.43912114771114502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0.486779554780643</v>
      </c>
      <c r="AN10" s="14">
        <v>0.20385763102339899</v>
      </c>
    </row>
    <row r="11" spans="2:40" x14ac:dyDescent="0.35">
      <c r="B11" s="15" t="s">
        <v>332</v>
      </c>
      <c r="C11" s="14">
        <v>0.274039956814569</v>
      </c>
      <c r="D11" s="14">
        <v>0.26965486282581502</v>
      </c>
      <c r="E11" s="14">
        <v>0.28003581623153601</v>
      </c>
      <c r="F11" s="14"/>
      <c r="G11" s="14">
        <v>0.27095712946461098</v>
      </c>
      <c r="H11" s="14">
        <v>0.277793358299183</v>
      </c>
      <c r="I11" s="14" t="s">
        <v>76</v>
      </c>
      <c r="J11" s="14"/>
      <c r="K11" s="14">
        <v>0.274039956814569</v>
      </c>
      <c r="L11" s="14" t="s">
        <v>76</v>
      </c>
      <c r="M11" s="14" t="s">
        <v>76</v>
      </c>
      <c r="N11" s="14"/>
      <c r="O11" s="14">
        <v>0.276329979114811</v>
      </c>
      <c r="P11" s="14">
        <v>0.28394932751799501</v>
      </c>
      <c r="Q11" s="14"/>
      <c r="R11" s="14">
        <v>0.30962858528242099</v>
      </c>
      <c r="S11" s="14">
        <v>0.26638750595977301</v>
      </c>
      <c r="T11" s="14">
        <v>0.26969551651552598</v>
      </c>
      <c r="U11" s="14">
        <v>0.312525595085135</v>
      </c>
      <c r="V11" s="14">
        <v>0.32096394792163602</v>
      </c>
      <c r="W11" s="14">
        <v>0.31650469543615301</v>
      </c>
      <c r="X11" s="14">
        <v>0.12837305799259499</v>
      </c>
      <c r="Y11" s="14">
        <v>0.32539359658751299</v>
      </c>
      <c r="Z11" s="14">
        <v>0.24141729605415199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0.25895280541652199</v>
      </c>
      <c r="AN11" s="14">
        <v>0.325184454531807</v>
      </c>
    </row>
    <row r="12" spans="2:40" x14ac:dyDescent="0.35">
      <c r="B12" s="15" t="s">
        <v>333</v>
      </c>
      <c r="C12" s="14">
        <v>0.106027300515661</v>
      </c>
      <c r="D12" s="14">
        <v>9.9763813073371399E-2</v>
      </c>
      <c r="E12" s="14">
        <v>0.113370686258989</v>
      </c>
      <c r="F12" s="14"/>
      <c r="G12" s="14">
        <v>0.11295320349336101</v>
      </c>
      <c r="H12" s="14">
        <v>9.7594880672511403E-2</v>
      </c>
      <c r="I12" s="14" t="s">
        <v>76</v>
      </c>
      <c r="J12" s="14"/>
      <c r="K12" s="14">
        <v>0.106027300515661</v>
      </c>
      <c r="L12" s="14" t="s">
        <v>76</v>
      </c>
      <c r="M12" s="14" t="s">
        <v>76</v>
      </c>
      <c r="N12" s="14"/>
      <c r="O12" s="14">
        <v>0.10701338499167599</v>
      </c>
      <c r="P12" s="14">
        <v>0.105854293622831</v>
      </c>
      <c r="Q12" s="14"/>
      <c r="R12" s="14">
        <v>0.121509576622768</v>
      </c>
      <c r="S12" s="14">
        <v>0.118310479474164</v>
      </c>
      <c r="T12" s="14">
        <v>0.11615948551099201</v>
      </c>
      <c r="U12" s="14">
        <v>0.114916445011212</v>
      </c>
      <c r="V12" s="14">
        <v>8.6732456591490703E-2</v>
      </c>
      <c r="W12" s="14">
        <v>7.6938266895754406E-2</v>
      </c>
      <c r="X12" s="14">
        <v>0.134843570984302</v>
      </c>
      <c r="Y12" s="14">
        <v>1.8702826819882699E-2</v>
      </c>
      <c r="Z12" s="14">
        <v>9.9123752839674006E-2</v>
      </c>
      <c r="AA12" s="14"/>
      <c r="AB12" s="14" t="s">
        <v>76</v>
      </c>
      <c r="AC12" s="14" t="s">
        <v>76</v>
      </c>
      <c r="AD12" s="14" t="s">
        <v>76</v>
      </c>
      <c r="AE12" s="14" t="s">
        <v>76</v>
      </c>
      <c r="AF12" s="14"/>
      <c r="AG12" s="14" t="s">
        <v>76</v>
      </c>
      <c r="AH12" s="14" t="s">
        <v>76</v>
      </c>
      <c r="AI12" s="14"/>
      <c r="AJ12" s="14" t="s">
        <v>76</v>
      </c>
      <c r="AK12" s="14" t="s">
        <v>76</v>
      </c>
      <c r="AL12" s="14"/>
      <c r="AM12" s="14">
        <v>8.6841674825821405E-2</v>
      </c>
      <c r="AN12" s="14">
        <v>0.18442115616643201</v>
      </c>
    </row>
    <row r="13" spans="2:40" x14ac:dyDescent="0.35">
      <c r="B13" s="15" t="s">
        <v>70</v>
      </c>
      <c r="C13" s="20">
        <v>0.128272042710427</v>
      </c>
      <c r="D13" s="20">
        <v>0.112118288316266</v>
      </c>
      <c r="E13" s="20">
        <v>0.14658987469120699</v>
      </c>
      <c r="F13" s="20"/>
      <c r="G13" s="20">
        <v>0.14857719341075601</v>
      </c>
      <c r="H13" s="20">
        <v>0.10355013190184</v>
      </c>
      <c r="I13" s="20" t="s">
        <v>76</v>
      </c>
      <c r="J13" s="20"/>
      <c r="K13" s="20">
        <v>0.128272042710427</v>
      </c>
      <c r="L13" s="20" t="s">
        <v>76</v>
      </c>
      <c r="M13" s="20" t="s">
        <v>76</v>
      </c>
      <c r="N13" s="20"/>
      <c r="O13" s="20">
        <v>0.13519550505768799</v>
      </c>
      <c r="P13" s="20">
        <v>2.20742654833114E-2</v>
      </c>
      <c r="Q13" s="20"/>
      <c r="R13" s="20">
        <v>5.4101694904129798E-2</v>
      </c>
      <c r="S13" s="20">
        <v>0.15137735282010001</v>
      </c>
      <c r="T13" s="20">
        <v>0.15622969399559</v>
      </c>
      <c r="U13" s="20">
        <v>0.13933760787577701</v>
      </c>
      <c r="V13" s="20">
        <v>0.12750878750189101</v>
      </c>
      <c r="W13" s="20">
        <v>0.120474540082755</v>
      </c>
      <c r="X13" s="20">
        <v>0.14196169889165999</v>
      </c>
      <c r="Y13" s="20">
        <v>7.03152348958032E-2</v>
      </c>
      <c r="Z13" s="20">
        <v>0.17806371760029399</v>
      </c>
      <c r="AA13" s="20"/>
      <c r="AB13" s="20" t="s">
        <v>76</v>
      </c>
      <c r="AC13" s="20" t="s">
        <v>76</v>
      </c>
      <c r="AD13" s="20" t="s">
        <v>76</v>
      </c>
      <c r="AE13" s="20" t="s">
        <v>76</v>
      </c>
      <c r="AF13" s="20"/>
      <c r="AG13" s="20" t="s">
        <v>76</v>
      </c>
      <c r="AH13" s="20" t="s">
        <v>76</v>
      </c>
      <c r="AI13" s="20"/>
      <c r="AJ13" s="20" t="s">
        <v>76</v>
      </c>
      <c r="AK13" s="20" t="s">
        <v>76</v>
      </c>
      <c r="AL13" s="20"/>
      <c r="AM13" s="20">
        <v>8.9425055107427098E-2</v>
      </c>
      <c r="AN13" s="20">
        <v>0.25238827520749002</v>
      </c>
    </row>
    <row r="14" spans="2:40" x14ac:dyDescent="0.35">
      <c r="B14" s="16" t="s">
        <v>89</v>
      </c>
    </row>
    <row r="15" spans="2:40" x14ac:dyDescent="0.35">
      <c r="B15" t="s">
        <v>72</v>
      </c>
    </row>
    <row r="16" spans="2:40" x14ac:dyDescent="0.35">
      <c r="B16" t="s">
        <v>73</v>
      </c>
    </row>
    <row r="18" spans="2:2" x14ac:dyDescent="0.35">
      <c r="B18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dimension ref="B2:AN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335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938</v>
      </c>
      <c r="D7" s="10">
        <v>503</v>
      </c>
      <c r="E7" s="10">
        <v>433</v>
      </c>
      <c r="F7" s="10"/>
      <c r="G7" s="10">
        <v>429</v>
      </c>
      <c r="H7" s="10">
        <v>509</v>
      </c>
      <c r="I7" s="10" t="s">
        <v>75</v>
      </c>
      <c r="J7" s="10"/>
      <c r="K7" s="10">
        <v>938</v>
      </c>
      <c r="L7" s="10" t="s">
        <v>75</v>
      </c>
      <c r="M7" s="10" t="s">
        <v>75</v>
      </c>
      <c r="N7" s="10"/>
      <c r="O7" s="10">
        <v>827</v>
      </c>
      <c r="P7" s="10">
        <v>94</v>
      </c>
      <c r="Q7" s="10"/>
      <c r="R7" s="10">
        <v>134</v>
      </c>
      <c r="S7" s="10">
        <v>154</v>
      </c>
      <c r="T7" s="10">
        <v>99</v>
      </c>
      <c r="U7" s="10">
        <v>95</v>
      </c>
      <c r="V7" s="10">
        <v>87</v>
      </c>
      <c r="W7" s="10">
        <v>121</v>
      </c>
      <c r="X7" s="10">
        <v>67</v>
      </c>
      <c r="Y7" s="10">
        <v>44</v>
      </c>
      <c r="Z7" s="10">
        <v>137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611</v>
      </c>
      <c r="AN7" s="10">
        <v>169</v>
      </c>
    </row>
    <row r="8" spans="2:40" ht="30" customHeight="1" x14ac:dyDescent="0.35">
      <c r="B8" s="11" t="s">
        <v>20</v>
      </c>
      <c r="C8" s="11">
        <v>1018</v>
      </c>
      <c r="D8" s="11">
        <v>532</v>
      </c>
      <c r="E8" s="11">
        <v>484</v>
      </c>
      <c r="F8" s="11"/>
      <c r="G8" s="11">
        <v>559</v>
      </c>
      <c r="H8" s="11">
        <v>459</v>
      </c>
      <c r="I8" s="11" t="s">
        <v>75</v>
      </c>
      <c r="J8" s="11"/>
      <c r="K8" s="11">
        <v>1018</v>
      </c>
      <c r="L8" s="11" t="s">
        <v>75</v>
      </c>
      <c r="M8" s="11" t="s">
        <v>75</v>
      </c>
      <c r="N8" s="11"/>
      <c r="O8" s="11">
        <v>901</v>
      </c>
      <c r="P8" s="11">
        <v>100</v>
      </c>
      <c r="Q8" s="11"/>
      <c r="R8" s="11">
        <v>162</v>
      </c>
      <c r="S8" s="11">
        <v>153</v>
      </c>
      <c r="T8" s="11">
        <v>111</v>
      </c>
      <c r="U8" s="11">
        <v>116</v>
      </c>
      <c r="V8" s="11">
        <v>95</v>
      </c>
      <c r="W8" s="11">
        <v>103</v>
      </c>
      <c r="X8" s="11">
        <v>108</v>
      </c>
      <c r="Y8" s="11">
        <v>46</v>
      </c>
      <c r="Z8" s="11">
        <v>123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673</v>
      </c>
      <c r="AN8" s="11">
        <v>174</v>
      </c>
    </row>
    <row r="9" spans="2:40" x14ac:dyDescent="0.35">
      <c r="B9" s="15" t="s">
        <v>330</v>
      </c>
      <c r="C9" s="14">
        <v>0.20714338060119</v>
      </c>
      <c r="D9" s="14">
        <v>0.208674830323374</v>
      </c>
      <c r="E9" s="14">
        <v>0.20466705422866599</v>
      </c>
      <c r="F9" s="14"/>
      <c r="G9" s="14">
        <v>0.20192027856667599</v>
      </c>
      <c r="H9" s="14">
        <v>0.21350260760457801</v>
      </c>
      <c r="I9" s="14" t="s">
        <v>76</v>
      </c>
      <c r="J9" s="14"/>
      <c r="K9" s="14">
        <v>0.20714338060119</v>
      </c>
      <c r="L9" s="14" t="s">
        <v>76</v>
      </c>
      <c r="M9" s="14" t="s">
        <v>76</v>
      </c>
      <c r="N9" s="14"/>
      <c r="O9" s="14">
        <v>0.192403272365511</v>
      </c>
      <c r="P9" s="14">
        <v>0.32001567958871602</v>
      </c>
      <c r="Q9" s="14"/>
      <c r="R9" s="14">
        <v>0.28550906217686001</v>
      </c>
      <c r="S9" s="14">
        <v>0.18197587303479401</v>
      </c>
      <c r="T9" s="14">
        <v>0.206319364488142</v>
      </c>
      <c r="U9" s="14">
        <v>0.150002288430791</v>
      </c>
      <c r="V9" s="14">
        <v>0.16511692338637299</v>
      </c>
      <c r="W9" s="14">
        <v>0.21231207446956901</v>
      </c>
      <c r="X9" s="14">
        <v>0.190397041736491</v>
      </c>
      <c r="Y9" s="14">
        <v>0.37386558390765001</v>
      </c>
      <c r="Z9" s="14">
        <v>0.171045265744943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0.229970384016188</v>
      </c>
      <c r="AN9" s="14">
        <v>0.153745940830707</v>
      </c>
    </row>
    <row r="10" spans="2:40" x14ac:dyDescent="0.35">
      <c r="B10" s="15" t="s">
        <v>331</v>
      </c>
      <c r="C10" s="14">
        <v>0.42504059588484799</v>
      </c>
      <c r="D10" s="14">
        <v>0.40254943245324898</v>
      </c>
      <c r="E10" s="14">
        <v>0.45159905900326203</v>
      </c>
      <c r="F10" s="14"/>
      <c r="G10" s="14">
        <v>0.414676084214397</v>
      </c>
      <c r="H10" s="14">
        <v>0.43765958782797698</v>
      </c>
      <c r="I10" s="14" t="s">
        <v>76</v>
      </c>
      <c r="J10" s="14"/>
      <c r="K10" s="14">
        <v>0.42504059588484799</v>
      </c>
      <c r="L10" s="14" t="s">
        <v>76</v>
      </c>
      <c r="M10" s="14" t="s">
        <v>76</v>
      </c>
      <c r="N10" s="14"/>
      <c r="O10" s="14">
        <v>0.44118995063249</v>
      </c>
      <c r="P10" s="14">
        <v>0.308666549128291</v>
      </c>
      <c r="Q10" s="14"/>
      <c r="R10" s="14">
        <v>0.35913423631775998</v>
      </c>
      <c r="S10" s="14">
        <v>0.42245734717939598</v>
      </c>
      <c r="T10" s="14">
        <v>0.42927719607541598</v>
      </c>
      <c r="U10" s="14">
        <v>0.44968378278530702</v>
      </c>
      <c r="V10" s="14">
        <v>0.50609162470723601</v>
      </c>
      <c r="W10" s="14">
        <v>0.45655747464530999</v>
      </c>
      <c r="X10" s="14">
        <v>0.42870700562144998</v>
      </c>
      <c r="Y10" s="14">
        <v>0.44967491458812803</v>
      </c>
      <c r="Z10" s="14">
        <v>0.38653609821345097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0.393282453808043</v>
      </c>
      <c r="AN10" s="14">
        <v>0.48902163698041601</v>
      </c>
    </row>
    <row r="11" spans="2:40" x14ac:dyDescent="0.35">
      <c r="B11" s="15" t="s">
        <v>332</v>
      </c>
      <c r="C11" s="14">
        <v>0.158879933859435</v>
      </c>
      <c r="D11" s="14">
        <v>0.15911738425025401</v>
      </c>
      <c r="E11" s="14">
        <v>0.15929837738150199</v>
      </c>
      <c r="F11" s="14"/>
      <c r="G11" s="14">
        <v>0.14969028464909501</v>
      </c>
      <c r="H11" s="14">
        <v>0.17006850820163599</v>
      </c>
      <c r="I11" s="14" t="s">
        <v>76</v>
      </c>
      <c r="J11" s="14"/>
      <c r="K11" s="14">
        <v>0.158879933859435</v>
      </c>
      <c r="L11" s="14" t="s">
        <v>76</v>
      </c>
      <c r="M11" s="14" t="s">
        <v>76</v>
      </c>
      <c r="N11" s="14"/>
      <c r="O11" s="14">
        <v>0.15895358762782699</v>
      </c>
      <c r="P11" s="14">
        <v>0.18552023635925699</v>
      </c>
      <c r="Q11" s="14"/>
      <c r="R11" s="14">
        <v>0.17508326674935201</v>
      </c>
      <c r="S11" s="14">
        <v>0.14770434093635601</v>
      </c>
      <c r="T11" s="14">
        <v>0.18655610530869399</v>
      </c>
      <c r="U11" s="14">
        <v>0.20550690246334899</v>
      </c>
      <c r="V11" s="14">
        <v>0.15305293996052399</v>
      </c>
      <c r="W11" s="14">
        <v>0.151572189280366</v>
      </c>
      <c r="X11" s="14">
        <v>7.7058701439309193E-2</v>
      </c>
      <c r="Y11" s="14">
        <v>4.12159038638331E-2</v>
      </c>
      <c r="Z11" s="14">
        <v>0.20848620285939901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0.14657192742009501</v>
      </c>
      <c r="AN11" s="14">
        <v>0.20292686588078199</v>
      </c>
    </row>
    <row r="12" spans="2:40" x14ac:dyDescent="0.35">
      <c r="B12" s="15" t="s">
        <v>333</v>
      </c>
      <c r="C12" s="14">
        <v>6.8322037829980697E-2</v>
      </c>
      <c r="D12" s="14">
        <v>7.1083241875815301E-2</v>
      </c>
      <c r="E12" s="14">
        <v>6.5576974749802702E-2</v>
      </c>
      <c r="F12" s="14"/>
      <c r="G12" s="14">
        <v>6.8835967939811601E-2</v>
      </c>
      <c r="H12" s="14">
        <v>6.7696318054511206E-2</v>
      </c>
      <c r="I12" s="14" t="s">
        <v>76</v>
      </c>
      <c r="J12" s="14"/>
      <c r="K12" s="14">
        <v>6.8322037829980697E-2</v>
      </c>
      <c r="L12" s="14" t="s">
        <v>76</v>
      </c>
      <c r="M12" s="14" t="s">
        <v>76</v>
      </c>
      <c r="N12" s="14"/>
      <c r="O12" s="14">
        <v>6.42673707848571E-2</v>
      </c>
      <c r="P12" s="14">
        <v>0.108190077152351</v>
      </c>
      <c r="Q12" s="14"/>
      <c r="R12" s="14">
        <v>8.1645764719133304E-2</v>
      </c>
      <c r="S12" s="14">
        <v>7.1846933833279295E-2</v>
      </c>
      <c r="T12" s="14">
        <v>3.3896123922978597E-2</v>
      </c>
      <c r="U12" s="14">
        <v>6.1278319242147099E-2</v>
      </c>
      <c r="V12" s="14">
        <v>6.6221968092881403E-2</v>
      </c>
      <c r="W12" s="14">
        <v>7.2059288066612506E-2</v>
      </c>
      <c r="X12" s="14">
        <v>0.12227322339726</v>
      </c>
      <c r="Y12" s="14">
        <v>5.4950221628497102E-2</v>
      </c>
      <c r="Z12" s="14">
        <v>4.0251765847870401E-2</v>
      </c>
      <c r="AA12" s="14"/>
      <c r="AB12" s="14" t="s">
        <v>76</v>
      </c>
      <c r="AC12" s="14" t="s">
        <v>76</v>
      </c>
      <c r="AD12" s="14" t="s">
        <v>76</v>
      </c>
      <c r="AE12" s="14" t="s">
        <v>76</v>
      </c>
      <c r="AF12" s="14"/>
      <c r="AG12" s="14" t="s">
        <v>76</v>
      </c>
      <c r="AH12" s="14" t="s">
        <v>76</v>
      </c>
      <c r="AI12" s="14"/>
      <c r="AJ12" s="14" t="s">
        <v>76</v>
      </c>
      <c r="AK12" s="14" t="s">
        <v>76</v>
      </c>
      <c r="AL12" s="14"/>
      <c r="AM12" s="14">
        <v>7.45581590211329E-2</v>
      </c>
      <c r="AN12" s="14">
        <v>7.1653328621486004E-2</v>
      </c>
    </row>
    <row r="13" spans="2:40" x14ac:dyDescent="0.35">
      <c r="B13" s="15" t="s">
        <v>70</v>
      </c>
      <c r="C13" s="20">
        <v>0.140614051824546</v>
      </c>
      <c r="D13" s="20">
        <v>0.15857511109730699</v>
      </c>
      <c r="E13" s="20">
        <v>0.118858534636767</v>
      </c>
      <c r="F13" s="20"/>
      <c r="G13" s="20">
        <v>0.16487738463002</v>
      </c>
      <c r="H13" s="20">
        <v>0.111072978311298</v>
      </c>
      <c r="I13" s="20" t="s">
        <v>76</v>
      </c>
      <c r="J13" s="20"/>
      <c r="K13" s="20">
        <v>0.140614051824546</v>
      </c>
      <c r="L13" s="20" t="s">
        <v>76</v>
      </c>
      <c r="M13" s="20" t="s">
        <v>76</v>
      </c>
      <c r="N13" s="20"/>
      <c r="O13" s="20">
        <v>0.14318581858931501</v>
      </c>
      <c r="P13" s="20">
        <v>7.7607457771384905E-2</v>
      </c>
      <c r="Q13" s="20"/>
      <c r="R13" s="20">
        <v>9.86276700368941E-2</v>
      </c>
      <c r="S13" s="20">
        <v>0.17601550501617499</v>
      </c>
      <c r="T13" s="20">
        <v>0.143951210204769</v>
      </c>
      <c r="U13" s="20">
        <v>0.133528707078406</v>
      </c>
      <c r="V13" s="20">
        <v>0.109516543852985</v>
      </c>
      <c r="W13" s="20">
        <v>0.107498973538142</v>
      </c>
      <c r="X13" s="20">
        <v>0.18156402780549</v>
      </c>
      <c r="Y13" s="20">
        <v>8.0293376011891293E-2</v>
      </c>
      <c r="Z13" s="20">
        <v>0.193680667334336</v>
      </c>
      <c r="AA13" s="20"/>
      <c r="AB13" s="20" t="s">
        <v>76</v>
      </c>
      <c r="AC13" s="20" t="s">
        <v>76</v>
      </c>
      <c r="AD13" s="20" t="s">
        <v>76</v>
      </c>
      <c r="AE13" s="20" t="s">
        <v>76</v>
      </c>
      <c r="AF13" s="20"/>
      <c r="AG13" s="20" t="s">
        <v>76</v>
      </c>
      <c r="AH13" s="20" t="s">
        <v>76</v>
      </c>
      <c r="AI13" s="20"/>
      <c r="AJ13" s="20" t="s">
        <v>76</v>
      </c>
      <c r="AK13" s="20" t="s">
        <v>76</v>
      </c>
      <c r="AL13" s="20"/>
      <c r="AM13" s="20">
        <v>0.155617075734541</v>
      </c>
      <c r="AN13" s="20">
        <v>8.2652227686608196E-2</v>
      </c>
    </row>
    <row r="14" spans="2:40" x14ac:dyDescent="0.35">
      <c r="B14" s="16" t="s">
        <v>89</v>
      </c>
    </row>
    <row r="15" spans="2:40" x14ac:dyDescent="0.35">
      <c r="B15" t="s">
        <v>72</v>
      </c>
    </row>
    <row r="16" spans="2:40" x14ac:dyDescent="0.35">
      <c r="B16" t="s">
        <v>73</v>
      </c>
    </row>
    <row r="18" spans="2:2" x14ac:dyDescent="0.35">
      <c r="B18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dimension ref="B2:K1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11" width="20.7265625" customWidth="1"/>
  </cols>
  <sheetData>
    <row r="2" spans="2:11" ht="40" customHeight="1" x14ac:dyDescent="0.35">
      <c r="D2" s="41" t="s">
        <v>347</v>
      </c>
      <c r="E2" s="38"/>
      <c r="F2" s="38"/>
      <c r="G2" s="38"/>
      <c r="H2" s="38"/>
      <c r="I2" s="38"/>
      <c r="J2" s="38"/>
      <c r="K2" s="38"/>
    </row>
    <row r="6" spans="2:11" ht="50" customHeight="1" x14ac:dyDescent="0.35">
      <c r="B6" s="17" t="s">
        <v>15</v>
      </c>
      <c r="C6" s="17" t="s">
        <v>336</v>
      </c>
      <c r="D6" s="17" t="s">
        <v>337</v>
      </c>
      <c r="E6" s="17" t="s">
        <v>338</v>
      </c>
      <c r="F6" s="17" t="s">
        <v>339</v>
      </c>
      <c r="G6" s="17" t="s">
        <v>340</v>
      </c>
      <c r="H6" s="17" t="s">
        <v>341</v>
      </c>
      <c r="I6" s="17" t="s">
        <v>342</v>
      </c>
      <c r="J6" s="17" t="s">
        <v>343</v>
      </c>
    </row>
    <row r="7" spans="2:11" ht="29" x14ac:dyDescent="0.35">
      <c r="B7" s="15" t="s">
        <v>344</v>
      </c>
      <c r="C7" s="14">
        <v>0.69324163160830699</v>
      </c>
      <c r="D7" s="14">
        <v>0.52247137578978997</v>
      </c>
      <c r="E7" s="14">
        <v>0.71612756502747699</v>
      </c>
      <c r="F7" s="14">
        <v>0.57031264660615699</v>
      </c>
      <c r="G7" s="14">
        <v>0.71035226664805795</v>
      </c>
      <c r="H7" s="14">
        <v>0.60223837482887099</v>
      </c>
      <c r="I7" s="14">
        <v>0.43985047605931898</v>
      </c>
      <c r="J7" s="14">
        <v>0.61670899358212605</v>
      </c>
    </row>
    <row r="8" spans="2:11" ht="29" x14ac:dyDescent="0.35">
      <c r="B8" s="15" t="s">
        <v>345</v>
      </c>
      <c r="C8" s="14">
        <v>0.128979524244281</v>
      </c>
      <c r="D8" s="14">
        <v>0.15997846534762999</v>
      </c>
      <c r="E8" s="14">
        <v>0.15874487132117299</v>
      </c>
      <c r="F8" s="14">
        <v>0.15573472195451199</v>
      </c>
      <c r="G8" s="14">
        <v>0.115260316316547</v>
      </c>
      <c r="H8" s="14">
        <v>0.12369484572285</v>
      </c>
      <c r="I8" s="14">
        <v>0.17433230170550601</v>
      </c>
      <c r="J8" s="14">
        <v>0.16231599354540799</v>
      </c>
    </row>
    <row r="9" spans="2:11" x14ac:dyDescent="0.35">
      <c r="B9" s="15" t="s">
        <v>346</v>
      </c>
      <c r="C9" s="14">
        <v>0.131472823712492</v>
      </c>
      <c r="D9" s="14">
        <v>0.21777316768465299</v>
      </c>
      <c r="E9" s="14">
        <v>7.2392968786859899E-2</v>
      </c>
      <c r="F9" s="14">
        <v>0.14826988338477901</v>
      </c>
      <c r="G9" s="14">
        <v>0.138052426876006</v>
      </c>
      <c r="H9" s="14">
        <v>0.22795136378584399</v>
      </c>
      <c r="I9" s="14">
        <v>0.22893946015248601</v>
      </c>
      <c r="J9" s="14">
        <v>0.123413475303094</v>
      </c>
    </row>
    <row r="10" spans="2:11" x14ac:dyDescent="0.35">
      <c r="B10" s="15" t="s">
        <v>70</v>
      </c>
      <c r="C10" s="14">
        <v>4.6306020434920603E-2</v>
      </c>
      <c r="D10" s="14">
        <v>9.9776991177926599E-2</v>
      </c>
      <c r="E10" s="14">
        <v>5.27345948644906E-2</v>
      </c>
      <c r="F10" s="14">
        <v>0.12568274805455201</v>
      </c>
      <c r="G10" s="14">
        <v>3.6334990159389097E-2</v>
      </c>
      <c r="H10" s="14">
        <v>4.6115415662435197E-2</v>
      </c>
      <c r="I10" s="14">
        <v>0.156877762082689</v>
      </c>
      <c r="J10" s="14">
        <v>9.7561537569371706E-2</v>
      </c>
    </row>
    <row r="11" spans="2:11" x14ac:dyDescent="0.35">
      <c r="B11" s="16" t="s">
        <v>89</v>
      </c>
      <c r="C11" s="16"/>
      <c r="D11" s="16"/>
      <c r="E11" s="16"/>
      <c r="F11" s="16"/>
      <c r="G11" s="16"/>
      <c r="H11" s="16"/>
      <c r="I11" s="16"/>
      <c r="J11" s="16"/>
    </row>
    <row r="12" spans="2:11" x14ac:dyDescent="0.35">
      <c r="B12" t="s">
        <v>72</v>
      </c>
    </row>
    <row r="13" spans="2:11" x14ac:dyDescent="0.35">
      <c r="B13" t="s">
        <v>73</v>
      </c>
    </row>
    <row r="17" spans="2:2" x14ac:dyDescent="0.35">
      <c r="B17" s="8" t="str">
        <f>HYPERLINK("#'Contents'!A1", "Return to Contents")</f>
        <v>Return to Contents</v>
      </c>
    </row>
  </sheetData>
  <mergeCells count="1">
    <mergeCell ref="D2:K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dimension ref="B2:AN1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348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938</v>
      </c>
      <c r="D7" s="10">
        <v>503</v>
      </c>
      <c r="E7" s="10">
        <v>433</v>
      </c>
      <c r="F7" s="10"/>
      <c r="G7" s="10">
        <v>429</v>
      </c>
      <c r="H7" s="10">
        <v>509</v>
      </c>
      <c r="I7" s="10" t="s">
        <v>75</v>
      </c>
      <c r="J7" s="10"/>
      <c r="K7" s="10">
        <v>938</v>
      </c>
      <c r="L7" s="10" t="s">
        <v>75</v>
      </c>
      <c r="M7" s="10" t="s">
        <v>75</v>
      </c>
      <c r="N7" s="10"/>
      <c r="O7" s="10">
        <v>827</v>
      </c>
      <c r="P7" s="10">
        <v>94</v>
      </c>
      <c r="Q7" s="10"/>
      <c r="R7" s="10">
        <v>134</v>
      </c>
      <c r="S7" s="10">
        <v>154</v>
      </c>
      <c r="T7" s="10">
        <v>99</v>
      </c>
      <c r="U7" s="10">
        <v>95</v>
      </c>
      <c r="V7" s="10">
        <v>87</v>
      </c>
      <c r="W7" s="10">
        <v>121</v>
      </c>
      <c r="X7" s="10">
        <v>67</v>
      </c>
      <c r="Y7" s="10">
        <v>44</v>
      </c>
      <c r="Z7" s="10">
        <v>137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611</v>
      </c>
      <c r="AN7" s="10">
        <v>169</v>
      </c>
    </row>
    <row r="8" spans="2:40" ht="30" customHeight="1" x14ac:dyDescent="0.35">
      <c r="B8" s="11" t="s">
        <v>20</v>
      </c>
      <c r="C8" s="11">
        <v>1018</v>
      </c>
      <c r="D8" s="11">
        <v>532</v>
      </c>
      <c r="E8" s="11">
        <v>484</v>
      </c>
      <c r="F8" s="11"/>
      <c r="G8" s="11">
        <v>559</v>
      </c>
      <c r="H8" s="11">
        <v>459</v>
      </c>
      <c r="I8" s="11" t="s">
        <v>75</v>
      </c>
      <c r="J8" s="11"/>
      <c r="K8" s="11">
        <v>1018</v>
      </c>
      <c r="L8" s="11" t="s">
        <v>75</v>
      </c>
      <c r="M8" s="11" t="s">
        <v>75</v>
      </c>
      <c r="N8" s="11"/>
      <c r="O8" s="11">
        <v>901</v>
      </c>
      <c r="P8" s="11">
        <v>100</v>
      </c>
      <c r="Q8" s="11"/>
      <c r="R8" s="11">
        <v>162</v>
      </c>
      <c r="S8" s="11">
        <v>153</v>
      </c>
      <c r="T8" s="11">
        <v>111</v>
      </c>
      <c r="U8" s="11">
        <v>116</v>
      </c>
      <c r="V8" s="11">
        <v>95</v>
      </c>
      <c r="W8" s="11">
        <v>103</v>
      </c>
      <c r="X8" s="11">
        <v>108</v>
      </c>
      <c r="Y8" s="11">
        <v>46</v>
      </c>
      <c r="Z8" s="11">
        <v>123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673</v>
      </c>
      <c r="AN8" s="11">
        <v>174</v>
      </c>
    </row>
    <row r="9" spans="2:40" ht="29" x14ac:dyDescent="0.35">
      <c r="B9" s="15" t="s">
        <v>344</v>
      </c>
      <c r="C9" s="14">
        <v>0.69324163160830699</v>
      </c>
      <c r="D9" s="14">
        <v>0.697643041245672</v>
      </c>
      <c r="E9" s="14">
        <v>0.68968772724635496</v>
      </c>
      <c r="F9" s="14"/>
      <c r="G9" s="14">
        <v>0.74055271123100697</v>
      </c>
      <c r="H9" s="14">
        <v>0.63563948386008096</v>
      </c>
      <c r="I9" s="14" t="s">
        <v>76</v>
      </c>
      <c r="J9" s="14"/>
      <c r="K9" s="14">
        <v>0.69324163160830699</v>
      </c>
      <c r="L9" s="14" t="s">
        <v>76</v>
      </c>
      <c r="M9" s="14" t="s">
        <v>76</v>
      </c>
      <c r="N9" s="14"/>
      <c r="O9" s="14">
        <v>0.69185933286540202</v>
      </c>
      <c r="P9" s="14">
        <v>0.67939403523059605</v>
      </c>
      <c r="Q9" s="14"/>
      <c r="R9" s="14">
        <v>0.70629004981246801</v>
      </c>
      <c r="S9" s="14">
        <v>0.68963827059638305</v>
      </c>
      <c r="T9" s="14">
        <v>0.71774375435839699</v>
      </c>
      <c r="U9" s="14">
        <v>0.70428320981154602</v>
      </c>
      <c r="V9" s="14">
        <v>0.58908132855122097</v>
      </c>
      <c r="W9" s="14">
        <v>0.718846317025021</v>
      </c>
      <c r="X9" s="14">
        <v>0.68367785347688603</v>
      </c>
      <c r="Y9" s="14">
        <v>0.68008809096423495</v>
      </c>
      <c r="Z9" s="14">
        <v>0.72049833231448701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0.72564939905123405</v>
      </c>
      <c r="AN9" s="14">
        <v>0.66495290295081599</v>
      </c>
    </row>
    <row r="10" spans="2:40" ht="29" x14ac:dyDescent="0.35">
      <c r="B10" s="15" t="s">
        <v>345</v>
      </c>
      <c r="C10" s="14">
        <v>0.128979524244281</v>
      </c>
      <c r="D10" s="14">
        <v>0.12805443574311001</v>
      </c>
      <c r="E10" s="14">
        <v>0.13054885549878401</v>
      </c>
      <c r="F10" s="14"/>
      <c r="G10" s="14">
        <v>0.108497082724217</v>
      </c>
      <c r="H10" s="14">
        <v>0.153917290029635</v>
      </c>
      <c r="I10" s="14" t="s">
        <v>76</v>
      </c>
      <c r="J10" s="14"/>
      <c r="K10" s="14">
        <v>0.128979524244281</v>
      </c>
      <c r="L10" s="14" t="s">
        <v>76</v>
      </c>
      <c r="M10" s="14" t="s">
        <v>76</v>
      </c>
      <c r="N10" s="14"/>
      <c r="O10" s="14">
        <v>0.12715942597264501</v>
      </c>
      <c r="P10" s="14">
        <v>0.16755029581521599</v>
      </c>
      <c r="Q10" s="14"/>
      <c r="R10" s="14">
        <v>0.15197839508265601</v>
      </c>
      <c r="S10" s="14">
        <v>9.1466360097770899E-2</v>
      </c>
      <c r="T10" s="14">
        <v>7.3064070353229302E-2</v>
      </c>
      <c r="U10" s="14">
        <v>0.101008987103569</v>
      </c>
      <c r="V10" s="14">
        <v>0.17637421712642101</v>
      </c>
      <c r="W10" s="14">
        <v>0.123115600706432</v>
      </c>
      <c r="X10" s="14">
        <v>0.12557272384593199</v>
      </c>
      <c r="Y10" s="14">
        <v>0.22305412366984601</v>
      </c>
      <c r="Z10" s="14">
        <v>0.15852997659652099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0.12792958680335201</v>
      </c>
      <c r="AN10" s="14">
        <v>0.12625793096811699</v>
      </c>
    </row>
    <row r="11" spans="2:40" x14ac:dyDescent="0.35">
      <c r="B11" s="15" t="s">
        <v>346</v>
      </c>
      <c r="C11" s="14">
        <v>0.131472823712492</v>
      </c>
      <c r="D11" s="14">
        <v>0.12669947664885201</v>
      </c>
      <c r="E11" s="14">
        <v>0.13468604215097399</v>
      </c>
      <c r="F11" s="14"/>
      <c r="G11" s="14">
        <v>0.10404979024441501</v>
      </c>
      <c r="H11" s="14">
        <v>0.16486089344436</v>
      </c>
      <c r="I11" s="14" t="s">
        <v>76</v>
      </c>
      <c r="J11" s="14"/>
      <c r="K11" s="14">
        <v>0.131472823712492</v>
      </c>
      <c r="L11" s="14" t="s">
        <v>76</v>
      </c>
      <c r="M11" s="14" t="s">
        <v>76</v>
      </c>
      <c r="N11" s="14"/>
      <c r="O11" s="14">
        <v>0.13353642526838699</v>
      </c>
      <c r="P11" s="14">
        <v>0.13546708311293701</v>
      </c>
      <c r="Q11" s="14"/>
      <c r="R11" s="14">
        <v>0.120672922360368</v>
      </c>
      <c r="S11" s="14">
        <v>0.11905196020068801</v>
      </c>
      <c r="T11" s="14">
        <v>0.15113802663985601</v>
      </c>
      <c r="U11" s="14">
        <v>0.16003665240443901</v>
      </c>
      <c r="V11" s="14">
        <v>0.16530246924060199</v>
      </c>
      <c r="W11" s="14">
        <v>0.13206772083965601</v>
      </c>
      <c r="X11" s="14">
        <v>0.15571707333381399</v>
      </c>
      <c r="Y11" s="14">
        <v>9.6857785365918297E-2</v>
      </c>
      <c r="Z11" s="14">
        <v>8.1247619042726801E-2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0.104698052921742</v>
      </c>
      <c r="AN11" s="14">
        <v>0.187639967742045</v>
      </c>
    </row>
    <row r="12" spans="2:40" x14ac:dyDescent="0.35">
      <c r="B12" s="15" t="s">
        <v>70</v>
      </c>
      <c r="C12" s="20">
        <v>4.6306020434920603E-2</v>
      </c>
      <c r="D12" s="20">
        <v>4.7603046362364898E-2</v>
      </c>
      <c r="E12" s="20">
        <v>4.5077375103887499E-2</v>
      </c>
      <c r="F12" s="20"/>
      <c r="G12" s="20">
        <v>4.6900415800361403E-2</v>
      </c>
      <c r="H12" s="20">
        <v>4.5582332665923903E-2</v>
      </c>
      <c r="I12" s="20" t="s">
        <v>76</v>
      </c>
      <c r="J12" s="20"/>
      <c r="K12" s="20">
        <v>4.6306020434920603E-2</v>
      </c>
      <c r="L12" s="20" t="s">
        <v>76</v>
      </c>
      <c r="M12" s="20" t="s">
        <v>76</v>
      </c>
      <c r="N12" s="20"/>
      <c r="O12" s="20">
        <v>4.7444815893566097E-2</v>
      </c>
      <c r="P12" s="20">
        <v>1.75885858412504E-2</v>
      </c>
      <c r="Q12" s="20"/>
      <c r="R12" s="20">
        <v>2.10586327445072E-2</v>
      </c>
      <c r="S12" s="20">
        <v>9.9843409105157294E-2</v>
      </c>
      <c r="T12" s="20">
        <v>5.8054148648517399E-2</v>
      </c>
      <c r="U12" s="20">
        <v>3.4671150680445503E-2</v>
      </c>
      <c r="V12" s="20">
        <v>6.92419850817559E-2</v>
      </c>
      <c r="W12" s="20">
        <v>2.5970361428890702E-2</v>
      </c>
      <c r="X12" s="20">
        <v>3.5032349343368602E-2</v>
      </c>
      <c r="Y12" s="20">
        <v>0</v>
      </c>
      <c r="Z12" s="20">
        <v>3.9724072046265199E-2</v>
      </c>
      <c r="AA12" s="20"/>
      <c r="AB12" s="20" t="s">
        <v>76</v>
      </c>
      <c r="AC12" s="20" t="s">
        <v>76</v>
      </c>
      <c r="AD12" s="20" t="s">
        <v>76</v>
      </c>
      <c r="AE12" s="20" t="s">
        <v>76</v>
      </c>
      <c r="AF12" s="20"/>
      <c r="AG12" s="20" t="s">
        <v>76</v>
      </c>
      <c r="AH12" s="20" t="s">
        <v>76</v>
      </c>
      <c r="AI12" s="20"/>
      <c r="AJ12" s="20" t="s">
        <v>76</v>
      </c>
      <c r="AK12" s="20" t="s">
        <v>76</v>
      </c>
      <c r="AL12" s="20"/>
      <c r="AM12" s="20">
        <v>4.1722961223671202E-2</v>
      </c>
      <c r="AN12" s="20">
        <v>2.11491983390211E-2</v>
      </c>
    </row>
    <row r="13" spans="2:40" x14ac:dyDescent="0.35">
      <c r="B13" s="16" t="s">
        <v>89</v>
      </c>
    </row>
    <row r="14" spans="2:40" x14ac:dyDescent="0.35">
      <c r="B14" t="s">
        <v>72</v>
      </c>
    </row>
    <row r="15" spans="2:40" x14ac:dyDescent="0.35">
      <c r="B15" t="s">
        <v>73</v>
      </c>
    </row>
    <row r="17" spans="2:2" x14ac:dyDescent="0.35">
      <c r="B17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dimension ref="B2:AN1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349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938</v>
      </c>
      <c r="D7" s="10">
        <v>503</v>
      </c>
      <c r="E7" s="10">
        <v>433</v>
      </c>
      <c r="F7" s="10"/>
      <c r="G7" s="10">
        <v>429</v>
      </c>
      <c r="H7" s="10">
        <v>509</v>
      </c>
      <c r="I7" s="10" t="s">
        <v>75</v>
      </c>
      <c r="J7" s="10"/>
      <c r="K7" s="10">
        <v>938</v>
      </c>
      <c r="L7" s="10" t="s">
        <v>75</v>
      </c>
      <c r="M7" s="10" t="s">
        <v>75</v>
      </c>
      <c r="N7" s="10"/>
      <c r="O7" s="10">
        <v>827</v>
      </c>
      <c r="P7" s="10">
        <v>94</v>
      </c>
      <c r="Q7" s="10"/>
      <c r="R7" s="10">
        <v>134</v>
      </c>
      <c r="S7" s="10">
        <v>154</v>
      </c>
      <c r="T7" s="10">
        <v>99</v>
      </c>
      <c r="U7" s="10">
        <v>95</v>
      </c>
      <c r="V7" s="10">
        <v>87</v>
      </c>
      <c r="W7" s="10">
        <v>121</v>
      </c>
      <c r="X7" s="10">
        <v>67</v>
      </c>
      <c r="Y7" s="10">
        <v>44</v>
      </c>
      <c r="Z7" s="10">
        <v>137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611</v>
      </c>
      <c r="AN7" s="10">
        <v>169</v>
      </c>
    </row>
    <row r="8" spans="2:40" ht="30" customHeight="1" x14ac:dyDescent="0.35">
      <c r="B8" s="11" t="s">
        <v>20</v>
      </c>
      <c r="C8" s="11">
        <v>1018</v>
      </c>
      <c r="D8" s="11">
        <v>532</v>
      </c>
      <c r="E8" s="11">
        <v>484</v>
      </c>
      <c r="F8" s="11"/>
      <c r="G8" s="11">
        <v>559</v>
      </c>
      <c r="H8" s="11">
        <v>459</v>
      </c>
      <c r="I8" s="11" t="s">
        <v>75</v>
      </c>
      <c r="J8" s="11"/>
      <c r="K8" s="11">
        <v>1018</v>
      </c>
      <c r="L8" s="11" t="s">
        <v>75</v>
      </c>
      <c r="M8" s="11" t="s">
        <v>75</v>
      </c>
      <c r="N8" s="11"/>
      <c r="O8" s="11">
        <v>901</v>
      </c>
      <c r="P8" s="11">
        <v>100</v>
      </c>
      <c r="Q8" s="11"/>
      <c r="R8" s="11">
        <v>162</v>
      </c>
      <c r="S8" s="11">
        <v>153</v>
      </c>
      <c r="T8" s="11">
        <v>111</v>
      </c>
      <c r="U8" s="11">
        <v>116</v>
      </c>
      <c r="V8" s="11">
        <v>95</v>
      </c>
      <c r="W8" s="11">
        <v>103</v>
      </c>
      <c r="X8" s="11">
        <v>108</v>
      </c>
      <c r="Y8" s="11">
        <v>46</v>
      </c>
      <c r="Z8" s="11">
        <v>123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673</v>
      </c>
      <c r="AN8" s="11">
        <v>174</v>
      </c>
    </row>
    <row r="9" spans="2:40" ht="29" x14ac:dyDescent="0.35">
      <c r="B9" s="15" t="s">
        <v>344</v>
      </c>
      <c r="C9" s="14">
        <v>0.52247137578978997</v>
      </c>
      <c r="D9" s="14">
        <v>0.53669559964647595</v>
      </c>
      <c r="E9" s="14">
        <v>0.507381877288689</v>
      </c>
      <c r="F9" s="14"/>
      <c r="G9" s="14">
        <v>0.53706131075566099</v>
      </c>
      <c r="H9" s="14">
        <v>0.50470784986217898</v>
      </c>
      <c r="I9" s="14" t="s">
        <v>76</v>
      </c>
      <c r="J9" s="14"/>
      <c r="K9" s="14">
        <v>0.52247137578978997</v>
      </c>
      <c r="L9" s="14" t="s">
        <v>76</v>
      </c>
      <c r="M9" s="14" t="s">
        <v>76</v>
      </c>
      <c r="N9" s="14"/>
      <c r="O9" s="14">
        <v>0.52288495560011194</v>
      </c>
      <c r="P9" s="14">
        <v>0.50821931102486595</v>
      </c>
      <c r="Q9" s="14"/>
      <c r="R9" s="14">
        <v>0.53416875154638799</v>
      </c>
      <c r="S9" s="14">
        <v>0.509941004161655</v>
      </c>
      <c r="T9" s="14">
        <v>0.56182166839767</v>
      </c>
      <c r="U9" s="14">
        <v>0.49561030321203298</v>
      </c>
      <c r="V9" s="14">
        <v>0.45851094762040101</v>
      </c>
      <c r="W9" s="14">
        <v>0.56036685815470699</v>
      </c>
      <c r="X9" s="14">
        <v>0.51409284092125296</v>
      </c>
      <c r="Y9" s="14">
        <v>0.52645517531394004</v>
      </c>
      <c r="Z9" s="14">
        <v>0.53624512291082704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0.55084044651665398</v>
      </c>
      <c r="AN9" s="14">
        <v>0.42477290271250001</v>
      </c>
    </row>
    <row r="10" spans="2:40" ht="29" x14ac:dyDescent="0.35">
      <c r="B10" s="15" t="s">
        <v>345</v>
      </c>
      <c r="C10" s="14">
        <v>0.15997846534762999</v>
      </c>
      <c r="D10" s="14">
        <v>0.15373564996238601</v>
      </c>
      <c r="E10" s="14">
        <v>0.167529898113635</v>
      </c>
      <c r="F10" s="14"/>
      <c r="G10" s="14">
        <v>0.15190567204022501</v>
      </c>
      <c r="H10" s="14">
        <v>0.169807246185912</v>
      </c>
      <c r="I10" s="14" t="s">
        <v>76</v>
      </c>
      <c r="J10" s="14"/>
      <c r="K10" s="14">
        <v>0.15997846534762999</v>
      </c>
      <c r="L10" s="14" t="s">
        <v>76</v>
      </c>
      <c r="M10" s="14" t="s">
        <v>76</v>
      </c>
      <c r="N10" s="14"/>
      <c r="O10" s="14">
        <v>0.154050442565553</v>
      </c>
      <c r="P10" s="14">
        <v>0.23301883757408101</v>
      </c>
      <c r="Q10" s="14"/>
      <c r="R10" s="14">
        <v>0.203336161157362</v>
      </c>
      <c r="S10" s="14">
        <v>0.14162298200644699</v>
      </c>
      <c r="T10" s="14">
        <v>9.70465288508751E-2</v>
      </c>
      <c r="U10" s="14">
        <v>0.16239800527420301</v>
      </c>
      <c r="V10" s="14">
        <v>0.18017343600251301</v>
      </c>
      <c r="W10" s="14">
        <v>0.116755407472715</v>
      </c>
      <c r="X10" s="14">
        <v>0.16483977621906201</v>
      </c>
      <c r="Y10" s="14">
        <v>0.20259846183348201</v>
      </c>
      <c r="Z10" s="14">
        <v>0.18059000180922499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0.14783728535585</v>
      </c>
      <c r="AN10" s="14">
        <v>0.21131462484322899</v>
      </c>
    </row>
    <row r="11" spans="2:40" x14ac:dyDescent="0.35">
      <c r="B11" s="15" t="s">
        <v>346</v>
      </c>
      <c r="C11" s="14">
        <v>0.21777316768465299</v>
      </c>
      <c r="D11" s="14">
        <v>0.21871353708625099</v>
      </c>
      <c r="E11" s="14">
        <v>0.21767032745265599</v>
      </c>
      <c r="F11" s="14"/>
      <c r="G11" s="14">
        <v>0.20861173510509201</v>
      </c>
      <c r="H11" s="14">
        <v>0.22892738773716001</v>
      </c>
      <c r="I11" s="14" t="s">
        <v>76</v>
      </c>
      <c r="J11" s="14"/>
      <c r="K11" s="14">
        <v>0.21777316768465299</v>
      </c>
      <c r="L11" s="14" t="s">
        <v>76</v>
      </c>
      <c r="M11" s="14" t="s">
        <v>76</v>
      </c>
      <c r="N11" s="14"/>
      <c r="O11" s="14">
        <v>0.220907537837982</v>
      </c>
      <c r="P11" s="14">
        <v>0.19770320308247</v>
      </c>
      <c r="Q11" s="14"/>
      <c r="R11" s="14">
        <v>0.19396864323044199</v>
      </c>
      <c r="S11" s="14">
        <v>0.257850864139475</v>
      </c>
      <c r="T11" s="14">
        <v>0.20693663649257499</v>
      </c>
      <c r="U11" s="14">
        <v>0.21240545580457801</v>
      </c>
      <c r="V11" s="14">
        <v>0.235842891778134</v>
      </c>
      <c r="W11" s="14">
        <v>0.220731384309101</v>
      </c>
      <c r="X11" s="14">
        <v>0.25547317717793</v>
      </c>
      <c r="Y11" s="14">
        <v>0.18797400671285699</v>
      </c>
      <c r="Z11" s="14">
        <v>0.175698402618084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0.211903323508255</v>
      </c>
      <c r="AN11" s="14">
        <v>0.238904776246124</v>
      </c>
    </row>
    <row r="12" spans="2:40" x14ac:dyDescent="0.35">
      <c r="B12" s="15" t="s">
        <v>70</v>
      </c>
      <c r="C12" s="20">
        <v>9.9776991177926599E-2</v>
      </c>
      <c r="D12" s="20">
        <v>9.0855213304887605E-2</v>
      </c>
      <c r="E12" s="20">
        <v>0.10741789714501999</v>
      </c>
      <c r="F12" s="20"/>
      <c r="G12" s="20">
        <v>0.102421282099022</v>
      </c>
      <c r="H12" s="20">
        <v>9.6557516214748604E-2</v>
      </c>
      <c r="I12" s="20" t="s">
        <v>76</v>
      </c>
      <c r="J12" s="20"/>
      <c r="K12" s="20">
        <v>9.9776991177926599E-2</v>
      </c>
      <c r="L12" s="20" t="s">
        <v>76</v>
      </c>
      <c r="M12" s="20" t="s">
        <v>76</v>
      </c>
      <c r="N12" s="20"/>
      <c r="O12" s="20">
        <v>0.10215706399635301</v>
      </c>
      <c r="P12" s="20">
        <v>6.1058648318583299E-2</v>
      </c>
      <c r="Q12" s="20"/>
      <c r="R12" s="20">
        <v>6.8526444065807698E-2</v>
      </c>
      <c r="S12" s="20">
        <v>9.0585149692422401E-2</v>
      </c>
      <c r="T12" s="20">
        <v>0.13419516625888001</v>
      </c>
      <c r="U12" s="20">
        <v>0.12958623570918601</v>
      </c>
      <c r="V12" s="20">
        <v>0.12547272459895301</v>
      </c>
      <c r="W12" s="20">
        <v>0.102146350063478</v>
      </c>
      <c r="X12" s="20">
        <v>6.5594205681755502E-2</v>
      </c>
      <c r="Y12" s="20">
        <v>8.2972356139721107E-2</v>
      </c>
      <c r="Z12" s="20">
        <v>0.107466472661864</v>
      </c>
      <c r="AA12" s="20"/>
      <c r="AB12" s="20" t="s">
        <v>76</v>
      </c>
      <c r="AC12" s="20" t="s">
        <v>76</v>
      </c>
      <c r="AD12" s="20" t="s">
        <v>76</v>
      </c>
      <c r="AE12" s="20" t="s">
        <v>76</v>
      </c>
      <c r="AF12" s="20"/>
      <c r="AG12" s="20" t="s">
        <v>76</v>
      </c>
      <c r="AH12" s="20" t="s">
        <v>76</v>
      </c>
      <c r="AI12" s="20"/>
      <c r="AJ12" s="20" t="s">
        <v>76</v>
      </c>
      <c r="AK12" s="20" t="s">
        <v>76</v>
      </c>
      <c r="AL12" s="20"/>
      <c r="AM12" s="20">
        <v>8.9418944619241506E-2</v>
      </c>
      <c r="AN12" s="20">
        <v>0.125007696198147</v>
      </c>
    </row>
    <row r="13" spans="2:40" x14ac:dyDescent="0.35">
      <c r="B13" s="16" t="s">
        <v>89</v>
      </c>
    </row>
    <row r="14" spans="2:40" x14ac:dyDescent="0.35">
      <c r="B14" t="s">
        <v>72</v>
      </c>
    </row>
    <row r="15" spans="2:40" x14ac:dyDescent="0.35">
      <c r="B15" t="s">
        <v>73</v>
      </c>
    </row>
    <row r="17" spans="2:2" x14ac:dyDescent="0.35">
      <c r="B17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dimension ref="B2:AN1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350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938</v>
      </c>
      <c r="D7" s="10">
        <v>503</v>
      </c>
      <c r="E7" s="10">
        <v>433</v>
      </c>
      <c r="F7" s="10"/>
      <c r="G7" s="10">
        <v>429</v>
      </c>
      <c r="H7" s="10">
        <v>509</v>
      </c>
      <c r="I7" s="10" t="s">
        <v>75</v>
      </c>
      <c r="J7" s="10"/>
      <c r="K7" s="10">
        <v>938</v>
      </c>
      <c r="L7" s="10" t="s">
        <v>75</v>
      </c>
      <c r="M7" s="10" t="s">
        <v>75</v>
      </c>
      <c r="N7" s="10"/>
      <c r="O7" s="10">
        <v>827</v>
      </c>
      <c r="P7" s="10">
        <v>94</v>
      </c>
      <c r="Q7" s="10"/>
      <c r="R7" s="10">
        <v>134</v>
      </c>
      <c r="S7" s="10">
        <v>154</v>
      </c>
      <c r="T7" s="10">
        <v>99</v>
      </c>
      <c r="U7" s="10">
        <v>95</v>
      </c>
      <c r="V7" s="10">
        <v>87</v>
      </c>
      <c r="W7" s="10">
        <v>121</v>
      </c>
      <c r="X7" s="10">
        <v>67</v>
      </c>
      <c r="Y7" s="10">
        <v>44</v>
      </c>
      <c r="Z7" s="10">
        <v>137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611</v>
      </c>
      <c r="AN7" s="10">
        <v>169</v>
      </c>
    </row>
    <row r="8" spans="2:40" ht="30" customHeight="1" x14ac:dyDescent="0.35">
      <c r="B8" s="11" t="s">
        <v>20</v>
      </c>
      <c r="C8" s="11">
        <v>1018</v>
      </c>
      <c r="D8" s="11">
        <v>532</v>
      </c>
      <c r="E8" s="11">
        <v>484</v>
      </c>
      <c r="F8" s="11"/>
      <c r="G8" s="11">
        <v>559</v>
      </c>
      <c r="H8" s="11">
        <v>459</v>
      </c>
      <c r="I8" s="11" t="s">
        <v>75</v>
      </c>
      <c r="J8" s="11"/>
      <c r="K8" s="11">
        <v>1018</v>
      </c>
      <c r="L8" s="11" t="s">
        <v>75</v>
      </c>
      <c r="M8" s="11" t="s">
        <v>75</v>
      </c>
      <c r="N8" s="11"/>
      <c r="O8" s="11">
        <v>901</v>
      </c>
      <c r="P8" s="11">
        <v>100</v>
      </c>
      <c r="Q8" s="11"/>
      <c r="R8" s="11">
        <v>162</v>
      </c>
      <c r="S8" s="11">
        <v>153</v>
      </c>
      <c r="T8" s="11">
        <v>111</v>
      </c>
      <c r="U8" s="11">
        <v>116</v>
      </c>
      <c r="V8" s="11">
        <v>95</v>
      </c>
      <c r="W8" s="11">
        <v>103</v>
      </c>
      <c r="X8" s="11">
        <v>108</v>
      </c>
      <c r="Y8" s="11">
        <v>46</v>
      </c>
      <c r="Z8" s="11">
        <v>123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673</v>
      </c>
      <c r="AN8" s="11">
        <v>174</v>
      </c>
    </row>
    <row r="9" spans="2:40" ht="29" x14ac:dyDescent="0.35">
      <c r="B9" s="15" t="s">
        <v>344</v>
      </c>
      <c r="C9" s="14">
        <v>0.71612756502747699</v>
      </c>
      <c r="D9" s="14">
        <v>0.71567262820722999</v>
      </c>
      <c r="E9" s="14">
        <v>0.71801353895083797</v>
      </c>
      <c r="F9" s="14"/>
      <c r="G9" s="14">
        <v>0.73655065949731402</v>
      </c>
      <c r="H9" s="14">
        <v>0.69126205541515495</v>
      </c>
      <c r="I9" s="14" t="s">
        <v>76</v>
      </c>
      <c r="J9" s="14"/>
      <c r="K9" s="14">
        <v>0.71612756502747699</v>
      </c>
      <c r="L9" s="14" t="s">
        <v>76</v>
      </c>
      <c r="M9" s="14" t="s">
        <v>76</v>
      </c>
      <c r="N9" s="14"/>
      <c r="O9" s="14">
        <v>0.71307336790921305</v>
      </c>
      <c r="P9" s="14">
        <v>0.73920805574499204</v>
      </c>
      <c r="Q9" s="14"/>
      <c r="R9" s="14">
        <v>0.748520606405361</v>
      </c>
      <c r="S9" s="14">
        <v>0.75163235392746697</v>
      </c>
      <c r="T9" s="14">
        <v>0.73495191733113596</v>
      </c>
      <c r="U9" s="14">
        <v>0.70880358517778996</v>
      </c>
      <c r="V9" s="14">
        <v>0.68764495139383197</v>
      </c>
      <c r="W9" s="14">
        <v>0.69012068698138196</v>
      </c>
      <c r="X9" s="14">
        <v>0.705881454216856</v>
      </c>
      <c r="Y9" s="14">
        <v>0.69288251725010996</v>
      </c>
      <c r="Z9" s="14">
        <v>0.680665105999811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0.73474959873351997</v>
      </c>
      <c r="AN9" s="14">
        <v>0.67309112672391003</v>
      </c>
    </row>
    <row r="10" spans="2:40" ht="29" x14ac:dyDescent="0.35">
      <c r="B10" s="15" t="s">
        <v>345</v>
      </c>
      <c r="C10" s="14">
        <v>0.15874487132117299</v>
      </c>
      <c r="D10" s="14">
        <v>0.16024026270255001</v>
      </c>
      <c r="E10" s="14">
        <v>0.155179141005622</v>
      </c>
      <c r="F10" s="14"/>
      <c r="G10" s="14">
        <v>0.13708548774395199</v>
      </c>
      <c r="H10" s="14">
        <v>0.18511558665678199</v>
      </c>
      <c r="I10" s="14" t="s">
        <v>76</v>
      </c>
      <c r="J10" s="14"/>
      <c r="K10" s="14">
        <v>0.15874487132117299</v>
      </c>
      <c r="L10" s="14" t="s">
        <v>76</v>
      </c>
      <c r="M10" s="14" t="s">
        <v>76</v>
      </c>
      <c r="N10" s="14"/>
      <c r="O10" s="14">
        <v>0.15943728123590001</v>
      </c>
      <c r="P10" s="14">
        <v>0.179784920950119</v>
      </c>
      <c r="Q10" s="14"/>
      <c r="R10" s="14">
        <v>0.189680688285325</v>
      </c>
      <c r="S10" s="14">
        <v>0.106450860780347</v>
      </c>
      <c r="T10" s="14">
        <v>0.175442364498158</v>
      </c>
      <c r="U10" s="14">
        <v>0.158416389566095</v>
      </c>
      <c r="V10" s="14">
        <v>0.160220224230191</v>
      </c>
      <c r="W10" s="14">
        <v>0.15285715894239599</v>
      </c>
      <c r="X10" s="14">
        <v>0.17294739339551499</v>
      </c>
      <c r="Y10" s="14">
        <v>0.17707956079109799</v>
      </c>
      <c r="Z10" s="14">
        <v>0.15269166358760899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0.14679982338596501</v>
      </c>
      <c r="AN10" s="14">
        <v>0.19625035027461399</v>
      </c>
    </row>
    <row r="11" spans="2:40" x14ac:dyDescent="0.35">
      <c r="B11" s="15" t="s">
        <v>346</v>
      </c>
      <c r="C11" s="14">
        <v>7.2392968786859899E-2</v>
      </c>
      <c r="D11" s="14">
        <v>7.3619642544745706E-2</v>
      </c>
      <c r="E11" s="14">
        <v>7.1353302656871204E-2</v>
      </c>
      <c r="F11" s="14"/>
      <c r="G11" s="14">
        <v>8.1397740412483793E-2</v>
      </c>
      <c r="H11" s="14">
        <v>6.14294864534458E-2</v>
      </c>
      <c r="I11" s="14" t="s">
        <v>76</v>
      </c>
      <c r="J11" s="14"/>
      <c r="K11" s="14">
        <v>7.2392968786859899E-2</v>
      </c>
      <c r="L11" s="14" t="s">
        <v>76</v>
      </c>
      <c r="M11" s="14" t="s">
        <v>76</v>
      </c>
      <c r="N11" s="14"/>
      <c r="O11" s="14">
        <v>7.2404437523693299E-2</v>
      </c>
      <c r="P11" s="14">
        <v>6.6804920336295301E-2</v>
      </c>
      <c r="Q11" s="14"/>
      <c r="R11" s="14">
        <v>3.7628533779706E-2</v>
      </c>
      <c r="S11" s="14">
        <v>7.2972412814512097E-2</v>
      </c>
      <c r="T11" s="14">
        <v>5.76184493076271E-2</v>
      </c>
      <c r="U11" s="14">
        <v>9.9106624367560306E-2</v>
      </c>
      <c r="V11" s="14">
        <v>8.2256089461290899E-2</v>
      </c>
      <c r="W11" s="14">
        <v>8.5648214693730795E-2</v>
      </c>
      <c r="X11" s="14">
        <v>2.3510328772937201E-2</v>
      </c>
      <c r="Y11" s="14">
        <v>9.5227875273188697E-2</v>
      </c>
      <c r="Z11" s="14">
        <v>0.121300445924826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6.77911693761271E-2</v>
      </c>
      <c r="AN11" s="14">
        <v>7.7795001793697804E-2</v>
      </c>
    </row>
    <row r="12" spans="2:40" x14ac:dyDescent="0.35">
      <c r="B12" s="15" t="s">
        <v>70</v>
      </c>
      <c r="C12" s="20">
        <v>5.27345948644906E-2</v>
      </c>
      <c r="D12" s="20">
        <v>5.0467466545474002E-2</v>
      </c>
      <c r="E12" s="20">
        <v>5.54540173866684E-2</v>
      </c>
      <c r="F12" s="20"/>
      <c r="G12" s="20">
        <v>4.4966112346250003E-2</v>
      </c>
      <c r="H12" s="20">
        <v>6.2192871474616898E-2</v>
      </c>
      <c r="I12" s="20" t="s">
        <v>76</v>
      </c>
      <c r="J12" s="20"/>
      <c r="K12" s="20">
        <v>5.27345948644906E-2</v>
      </c>
      <c r="L12" s="20" t="s">
        <v>76</v>
      </c>
      <c r="M12" s="20" t="s">
        <v>76</v>
      </c>
      <c r="N12" s="20"/>
      <c r="O12" s="20">
        <v>5.5084913331193697E-2</v>
      </c>
      <c r="P12" s="20">
        <v>1.4202102968593901E-2</v>
      </c>
      <c r="Q12" s="20"/>
      <c r="R12" s="20">
        <v>2.4170171529607799E-2</v>
      </c>
      <c r="S12" s="20">
        <v>6.8944372477673405E-2</v>
      </c>
      <c r="T12" s="20">
        <v>3.1987268863078303E-2</v>
      </c>
      <c r="U12" s="20">
        <v>3.3673400888555E-2</v>
      </c>
      <c r="V12" s="20">
        <v>6.9878734914686796E-2</v>
      </c>
      <c r="W12" s="20">
        <v>7.1373939382490995E-2</v>
      </c>
      <c r="X12" s="20">
        <v>9.7660823614691902E-2</v>
      </c>
      <c r="Y12" s="20">
        <v>3.4810046685603203E-2</v>
      </c>
      <c r="Z12" s="20">
        <v>4.5342784487753703E-2</v>
      </c>
      <c r="AA12" s="20"/>
      <c r="AB12" s="20" t="s">
        <v>76</v>
      </c>
      <c r="AC12" s="20" t="s">
        <v>76</v>
      </c>
      <c r="AD12" s="20" t="s">
        <v>76</v>
      </c>
      <c r="AE12" s="20" t="s">
        <v>76</v>
      </c>
      <c r="AF12" s="20"/>
      <c r="AG12" s="20" t="s">
        <v>76</v>
      </c>
      <c r="AH12" s="20" t="s">
        <v>76</v>
      </c>
      <c r="AI12" s="20"/>
      <c r="AJ12" s="20" t="s">
        <v>76</v>
      </c>
      <c r="AK12" s="20" t="s">
        <v>76</v>
      </c>
      <c r="AL12" s="20"/>
      <c r="AM12" s="20">
        <v>5.0659408504387403E-2</v>
      </c>
      <c r="AN12" s="20">
        <v>5.2863521207778298E-2</v>
      </c>
    </row>
    <row r="13" spans="2:40" x14ac:dyDescent="0.35">
      <c r="B13" s="16" t="s">
        <v>89</v>
      </c>
    </row>
    <row r="14" spans="2:40" x14ac:dyDescent="0.35">
      <c r="B14" t="s">
        <v>72</v>
      </c>
    </row>
    <row r="15" spans="2:40" x14ac:dyDescent="0.35">
      <c r="B15" t="s">
        <v>73</v>
      </c>
    </row>
    <row r="17" spans="2:2" x14ac:dyDescent="0.35">
      <c r="B17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dimension ref="B2:AN1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351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938</v>
      </c>
      <c r="D7" s="10">
        <v>503</v>
      </c>
      <c r="E7" s="10">
        <v>433</v>
      </c>
      <c r="F7" s="10"/>
      <c r="G7" s="10">
        <v>429</v>
      </c>
      <c r="H7" s="10">
        <v>509</v>
      </c>
      <c r="I7" s="10" t="s">
        <v>75</v>
      </c>
      <c r="J7" s="10"/>
      <c r="K7" s="10">
        <v>938</v>
      </c>
      <c r="L7" s="10" t="s">
        <v>75</v>
      </c>
      <c r="M7" s="10" t="s">
        <v>75</v>
      </c>
      <c r="N7" s="10"/>
      <c r="O7" s="10">
        <v>827</v>
      </c>
      <c r="P7" s="10">
        <v>94</v>
      </c>
      <c r="Q7" s="10"/>
      <c r="R7" s="10">
        <v>134</v>
      </c>
      <c r="S7" s="10">
        <v>154</v>
      </c>
      <c r="T7" s="10">
        <v>99</v>
      </c>
      <c r="U7" s="10">
        <v>95</v>
      </c>
      <c r="V7" s="10">
        <v>87</v>
      </c>
      <c r="W7" s="10">
        <v>121</v>
      </c>
      <c r="X7" s="10">
        <v>67</v>
      </c>
      <c r="Y7" s="10">
        <v>44</v>
      </c>
      <c r="Z7" s="10">
        <v>137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611</v>
      </c>
      <c r="AN7" s="10">
        <v>169</v>
      </c>
    </row>
    <row r="8" spans="2:40" ht="30" customHeight="1" x14ac:dyDescent="0.35">
      <c r="B8" s="11" t="s">
        <v>20</v>
      </c>
      <c r="C8" s="11">
        <v>1018</v>
      </c>
      <c r="D8" s="11">
        <v>532</v>
      </c>
      <c r="E8" s="11">
        <v>484</v>
      </c>
      <c r="F8" s="11"/>
      <c r="G8" s="11">
        <v>559</v>
      </c>
      <c r="H8" s="11">
        <v>459</v>
      </c>
      <c r="I8" s="11" t="s">
        <v>75</v>
      </c>
      <c r="J8" s="11"/>
      <c r="K8" s="11">
        <v>1018</v>
      </c>
      <c r="L8" s="11" t="s">
        <v>75</v>
      </c>
      <c r="M8" s="11" t="s">
        <v>75</v>
      </c>
      <c r="N8" s="11"/>
      <c r="O8" s="11">
        <v>901</v>
      </c>
      <c r="P8" s="11">
        <v>100</v>
      </c>
      <c r="Q8" s="11"/>
      <c r="R8" s="11">
        <v>162</v>
      </c>
      <c r="S8" s="11">
        <v>153</v>
      </c>
      <c r="T8" s="11">
        <v>111</v>
      </c>
      <c r="U8" s="11">
        <v>116</v>
      </c>
      <c r="V8" s="11">
        <v>95</v>
      </c>
      <c r="W8" s="11">
        <v>103</v>
      </c>
      <c r="X8" s="11">
        <v>108</v>
      </c>
      <c r="Y8" s="11">
        <v>46</v>
      </c>
      <c r="Z8" s="11">
        <v>123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673</v>
      </c>
      <c r="AN8" s="11">
        <v>174</v>
      </c>
    </row>
    <row r="9" spans="2:40" ht="29" x14ac:dyDescent="0.35">
      <c r="B9" s="15" t="s">
        <v>344</v>
      </c>
      <c r="C9" s="14">
        <v>0.57031264660615699</v>
      </c>
      <c r="D9" s="14">
        <v>0.58562154568737501</v>
      </c>
      <c r="E9" s="14">
        <v>0.551634794359114</v>
      </c>
      <c r="F9" s="14"/>
      <c r="G9" s="14">
        <v>0.52332897199275796</v>
      </c>
      <c r="H9" s="14">
        <v>0.62751617246983205</v>
      </c>
      <c r="I9" s="14" t="s">
        <v>76</v>
      </c>
      <c r="J9" s="14"/>
      <c r="K9" s="14">
        <v>0.57031264660615699</v>
      </c>
      <c r="L9" s="14" t="s">
        <v>76</v>
      </c>
      <c r="M9" s="14" t="s">
        <v>76</v>
      </c>
      <c r="N9" s="14"/>
      <c r="O9" s="14">
        <v>0.565985507857385</v>
      </c>
      <c r="P9" s="14">
        <v>0.579372500816147</v>
      </c>
      <c r="Q9" s="14"/>
      <c r="R9" s="14">
        <v>0.65517593505613103</v>
      </c>
      <c r="S9" s="14">
        <v>0.58512408011359895</v>
      </c>
      <c r="T9" s="14">
        <v>0.591783338986413</v>
      </c>
      <c r="U9" s="14">
        <v>0.61566893544318901</v>
      </c>
      <c r="V9" s="14">
        <v>0.47448922277555999</v>
      </c>
      <c r="W9" s="14">
        <v>0.54694916759519796</v>
      </c>
      <c r="X9" s="14">
        <v>0.44085235180523602</v>
      </c>
      <c r="Y9" s="14">
        <v>0.52302158534410204</v>
      </c>
      <c r="Z9" s="14">
        <v>0.60282695421048704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0.59773453428557799</v>
      </c>
      <c r="AN9" s="14">
        <v>0.434006100188707</v>
      </c>
    </row>
    <row r="10" spans="2:40" ht="29" x14ac:dyDescent="0.35">
      <c r="B10" s="15" t="s">
        <v>345</v>
      </c>
      <c r="C10" s="14">
        <v>0.15573472195451199</v>
      </c>
      <c r="D10" s="14">
        <v>0.142744423223788</v>
      </c>
      <c r="E10" s="14">
        <v>0.170690230608678</v>
      </c>
      <c r="F10" s="14"/>
      <c r="G10" s="14">
        <v>0.142199363784344</v>
      </c>
      <c r="H10" s="14">
        <v>0.17221428038693301</v>
      </c>
      <c r="I10" s="14" t="s">
        <v>76</v>
      </c>
      <c r="J10" s="14"/>
      <c r="K10" s="14">
        <v>0.15573472195451199</v>
      </c>
      <c r="L10" s="14" t="s">
        <v>76</v>
      </c>
      <c r="M10" s="14" t="s">
        <v>76</v>
      </c>
      <c r="N10" s="14"/>
      <c r="O10" s="14">
        <v>0.14921955266444101</v>
      </c>
      <c r="P10" s="14">
        <v>0.23280226168746401</v>
      </c>
      <c r="Q10" s="14"/>
      <c r="R10" s="14">
        <v>0.142636462560712</v>
      </c>
      <c r="S10" s="14">
        <v>0.110061792636982</v>
      </c>
      <c r="T10" s="14">
        <v>0.15046943319950901</v>
      </c>
      <c r="U10" s="14">
        <v>0.195798673788531</v>
      </c>
      <c r="V10" s="14">
        <v>0.14965080277422499</v>
      </c>
      <c r="W10" s="14">
        <v>0.16555376148279999</v>
      </c>
      <c r="X10" s="14">
        <v>0.19608327815723101</v>
      </c>
      <c r="Y10" s="14">
        <v>0.251241829214084</v>
      </c>
      <c r="Z10" s="14">
        <v>0.122247218874738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0.14405419333011299</v>
      </c>
      <c r="AN10" s="14">
        <v>0.243551877671184</v>
      </c>
    </row>
    <row r="11" spans="2:40" x14ac:dyDescent="0.35">
      <c r="B11" s="15" t="s">
        <v>346</v>
      </c>
      <c r="C11" s="14">
        <v>0.14826988338477901</v>
      </c>
      <c r="D11" s="14">
        <v>0.152452658644149</v>
      </c>
      <c r="E11" s="14">
        <v>0.144303084451706</v>
      </c>
      <c r="F11" s="14"/>
      <c r="G11" s="14">
        <v>0.18487926135981</v>
      </c>
      <c r="H11" s="14">
        <v>0.10369726285052799</v>
      </c>
      <c r="I11" s="14" t="s">
        <v>76</v>
      </c>
      <c r="J11" s="14"/>
      <c r="K11" s="14">
        <v>0.14826988338477901</v>
      </c>
      <c r="L11" s="14" t="s">
        <v>76</v>
      </c>
      <c r="M11" s="14" t="s">
        <v>76</v>
      </c>
      <c r="N11" s="14"/>
      <c r="O11" s="14">
        <v>0.151706259944168</v>
      </c>
      <c r="P11" s="14">
        <v>0.12538749468125501</v>
      </c>
      <c r="Q11" s="14"/>
      <c r="R11" s="14">
        <v>0.12938706451245599</v>
      </c>
      <c r="S11" s="14">
        <v>0.147474006068776</v>
      </c>
      <c r="T11" s="14">
        <v>0.10536379969856299</v>
      </c>
      <c r="U11" s="14">
        <v>7.8832615791848804E-2</v>
      </c>
      <c r="V11" s="14">
        <v>0.23859750051496001</v>
      </c>
      <c r="W11" s="14">
        <v>0.17444118751718199</v>
      </c>
      <c r="X11" s="14">
        <v>0.25453503834362501</v>
      </c>
      <c r="Y11" s="14">
        <v>9.3753744906712899E-2</v>
      </c>
      <c r="Z11" s="14">
        <v>0.113677063993102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0.15447801182522899</v>
      </c>
      <c r="AN11" s="14">
        <v>0.13227197304313601</v>
      </c>
    </row>
    <row r="12" spans="2:40" x14ac:dyDescent="0.35">
      <c r="B12" s="15" t="s">
        <v>70</v>
      </c>
      <c r="C12" s="20">
        <v>0.12568274805455201</v>
      </c>
      <c r="D12" s="20">
        <v>0.119181372444688</v>
      </c>
      <c r="E12" s="20">
        <v>0.133371890580501</v>
      </c>
      <c r="F12" s="20"/>
      <c r="G12" s="20">
        <v>0.149592402863088</v>
      </c>
      <c r="H12" s="20">
        <v>9.65722842927067E-2</v>
      </c>
      <c r="I12" s="20" t="s">
        <v>76</v>
      </c>
      <c r="J12" s="20"/>
      <c r="K12" s="20">
        <v>0.12568274805455201</v>
      </c>
      <c r="L12" s="20" t="s">
        <v>76</v>
      </c>
      <c r="M12" s="20" t="s">
        <v>76</v>
      </c>
      <c r="N12" s="20"/>
      <c r="O12" s="20">
        <v>0.13308867953400599</v>
      </c>
      <c r="P12" s="20">
        <v>6.2437742815134901E-2</v>
      </c>
      <c r="Q12" s="20"/>
      <c r="R12" s="20">
        <v>7.2800537870701107E-2</v>
      </c>
      <c r="S12" s="20">
        <v>0.157340121180644</v>
      </c>
      <c r="T12" s="20">
        <v>0.152383428115516</v>
      </c>
      <c r="U12" s="20">
        <v>0.10969977497643101</v>
      </c>
      <c r="V12" s="20">
        <v>0.13726247393525501</v>
      </c>
      <c r="W12" s="20">
        <v>0.11305588340481899</v>
      </c>
      <c r="X12" s="20">
        <v>0.10852933169390799</v>
      </c>
      <c r="Y12" s="20">
        <v>0.13198284053510101</v>
      </c>
      <c r="Z12" s="20">
        <v>0.16124876292167301</v>
      </c>
      <c r="AA12" s="20"/>
      <c r="AB12" s="20" t="s">
        <v>76</v>
      </c>
      <c r="AC12" s="20" t="s">
        <v>76</v>
      </c>
      <c r="AD12" s="20" t="s">
        <v>76</v>
      </c>
      <c r="AE12" s="20" t="s">
        <v>76</v>
      </c>
      <c r="AF12" s="20"/>
      <c r="AG12" s="20" t="s">
        <v>76</v>
      </c>
      <c r="AH12" s="20" t="s">
        <v>76</v>
      </c>
      <c r="AI12" s="20"/>
      <c r="AJ12" s="20" t="s">
        <v>76</v>
      </c>
      <c r="AK12" s="20" t="s">
        <v>76</v>
      </c>
      <c r="AL12" s="20"/>
      <c r="AM12" s="20">
        <v>0.103733260559081</v>
      </c>
      <c r="AN12" s="20">
        <v>0.19017004909697299</v>
      </c>
    </row>
    <row r="13" spans="2:40" x14ac:dyDescent="0.35">
      <c r="B13" s="16" t="s">
        <v>89</v>
      </c>
    </row>
    <row r="14" spans="2:40" x14ac:dyDescent="0.35">
      <c r="B14" t="s">
        <v>72</v>
      </c>
    </row>
    <row r="15" spans="2:40" x14ac:dyDescent="0.35">
      <c r="B15" t="s">
        <v>73</v>
      </c>
    </row>
    <row r="17" spans="2:2" x14ac:dyDescent="0.35">
      <c r="B17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dimension ref="B2:AN1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352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938</v>
      </c>
      <c r="D7" s="10">
        <v>503</v>
      </c>
      <c r="E7" s="10">
        <v>433</v>
      </c>
      <c r="F7" s="10"/>
      <c r="G7" s="10">
        <v>429</v>
      </c>
      <c r="H7" s="10">
        <v>509</v>
      </c>
      <c r="I7" s="10" t="s">
        <v>75</v>
      </c>
      <c r="J7" s="10"/>
      <c r="K7" s="10">
        <v>938</v>
      </c>
      <c r="L7" s="10" t="s">
        <v>75</v>
      </c>
      <c r="M7" s="10" t="s">
        <v>75</v>
      </c>
      <c r="N7" s="10"/>
      <c r="O7" s="10">
        <v>827</v>
      </c>
      <c r="P7" s="10">
        <v>94</v>
      </c>
      <c r="Q7" s="10"/>
      <c r="R7" s="10">
        <v>134</v>
      </c>
      <c r="S7" s="10">
        <v>154</v>
      </c>
      <c r="T7" s="10">
        <v>99</v>
      </c>
      <c r="U7" s="10">
        <v>95</v>
      </c>
      <c r="V7" s="10">
        <v>87</v>
      </c>
      <c r="W7" s="10">
        <v>121</v>
      </c>
      <c r="X7" s="10">
        <v>67</v>
      </c>
      <c r="Y7" s="10">
        <v>44</v>
      </c>
      <c r="Z7" s="10">
        <v>137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611</v>
      </c>
      <c r="AN7" s="10">
        <v>169</v>
      </c>
    </row>
    <row r="8" spans="2:40" ht="30" customHeight="1" x14ac:dyDescent="0.35">
      <c r="B8" s="11" t="s">
        <v>20</v>
      </c>
      <c r="C8" s="11">
        <v>1018</v>
      </c>
      <c r="D8" s="11">
        <v>532</v>
      </c>
      <c r="E8" s="11">
        <v>484</v>
      </c>
      <c r="F8" s="11"/>
      <c r="G8" s="11">
        <v>559</v>
      </c>
      <c r="H8" s="11">
        <v>459</v>
      </c>
      <c r="I8" s="11" t="s">
        <v>75</v>
      </c>
      <c r="J8" s="11"/>
      <c r="K8" s="11">
        <v>1018</v>
      </c>
      <c r="L8" s="11" t="s">
        <v>75</v>
      </c>
      <c r="M8" s="11" t="s">
        <v>75</v>
      </c>
      <c r="N8" s="11"/>
      <c r="O8" s="11">
        <v>901</v>
      </c>
      <c r="P8" s="11">
        <v>100</v>
      </c>
      <c r="Q8" s="11"/>
      <c r="R8" s="11">
        <v>162</v>
      </c>
      <c r="S8" s="11">
        <v>153</v>
      </c>
      <c r="T8" s="11">
        <v>111</v>
      </c>
      <c r="U8" s="11">
        <v>116</v>
      </c>
      <c r="V8" s="11">
        <v>95</v>
      </c>
      <c r="W8" s="11">
        <v>103</v>
      </c>
      <c r="X8" s="11">
        <v>108</v>
      </c>
      <c r="Y8" s="11">
        <v>46</v>
      </c>
      <c r="Z8" s="11">
        <v>123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673</v>
      </c>
      <c r="AN8" s="11">
        <v>174</v>
      </c>
    </row>
    <row r="9" spans="2:40" ht="29" x14ac:dyDescent="0.35">
      <c r="B9" s="15" t="s">
        <v>344</v>
      </c>
      <c r="C9" s="14">
        <v>0.71035226664805795</v>
      </c>
      <c r="D9" s="14">
        <v>0.70852345706630004</v>
      </c>
      <c r="E9" s="14">
        <v>0.71372479519704202</v>
      </c>
      <c r="F9" s="14"/>
      <c r="G9" s="14">
        <v>0.63243964750717496</v>
      </c>
      <c r="H9" s="14">
        <v>0.80521237626709596</v>
      </c>
      <c r="I9" s="14" t="s">
        <v>76</v>
      </c>
      <c r="J9" s="14"/>
      <c r="K9" s="14">
        <v>0.71035226664805795</v>
      </c>
      <c r="L9" s="14" t="s">
        <v>76</v>
      </c>
      <c r="M9" s="14" t="s">
        <v>76</v>
      </c>
      <c r="N9" s="14"/>
      <c r="O9" s="14">
        <v>0.70797904799936295</v>
      </c>
      <c r="P9" s="14">
        <v>0.74211417162865601</v>
      </c>
      <c r="Q9" s="14"/>
      <c r="R9" s="14">
        <v>0.72777529686144904</v>
      </c>
      <c r="S9" s="14">
        <v>0.71539099611428603</v>
      </c>
      <c r="T9" s="14">
        <v>0.64815562965404305</v>
      </c>
      <c r="U9" s="14">
        <v>0.71651292888380003</v>
      </c>
      <c r="V9" s="14">
        <v>0.66015612427403403</v>
      </c>
      <c r="W9" s="14">
        <v>0.74805473183014703</v>
      </c>
      <c r="X9" s="14">
        <v>0.73664019185363505</v>
      </c>
      <c r="Y9" s="14">
        <v>0.67961099309177997</v>
      </c>
      <c r="Z9" s="14">
        <v>0.72724056392539504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0.727638117701497</v>
      </c>
      <c r="AN9" s="14">
        <v>0.69080264952110904</v>
      </c>
    </row>
    <row r="10" spans="2:40" ht="29" x14ac:dyDescent="0.35">
      <c r="B10" s="15" t="s">
        <v>345</v>
      </c>
      <c r="C10" s="14">
        <v>0.115260316316547</v>
      </c>
      <c r="D10" s="14">
        <v>0.112494321563815</v>
      </c>
      <c r="E10" s="14">
        <v>0.11879595730039499</v>
      </c>
      <c r="F10" s="14"/>
      <c r="G10" s="14">
        <v>0.11165826227686799</v>
      </c>
      <c r="H10" s="14">
        <v>0.119645886264336</v>
      </c>
      <c r="I10" s="14" t="s">
        <v>76</v>
      </c>
      <c r="J10" s="14"/>
      <c r="K10" s="14">
        <v>0.115260316316547</v>
      </c>
      <c r="L10" s="14" t="s">
        <v>76</v>
      </c>
      <c r="M10" s="14" t="s">
        <v>76</v>
      </c>
      <c r="N10" s="14"/>
      <c r="O10" s="14">
        <v>0.119374587426016</v>
      </c>
      <c r="P10" s="14">
        <v>9.0074870055783296E-2</v>
      </c>
      <c r="Q10" s="14"/>
      <c r="R10" s="14">
        <v>0.133273252471834</v>
      </c>
      <c r="S10" s="14">
        <v>9.4056742220878106E-2</v>
      </c>
      <c r="T10" s="14">
        <v>0.19356678584700901</v>
      </c>
      <c r="U10" s="14">
        <v>9.1034933653028394E-2</v>
      </c>
      <c r="V10" s="14">
        <v>0.12811048812009099</v>
      </c>
      <c r="W10" s="14">
        <v>8.3415000386167101E-2</v>
      </c>
      <c r="X10" s="14">
        <v>6.4178472297469397E-2</v>
      </c>
      <c r="Y10" s="14">
        <v>0.13971069544923001</v>
      </c>
      <c r="Z10" s="14">
        <v>0.12244205878071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0.101087092406763</v>
      </c>
      <c r="AN10" s="14">
        <v>0.14540523346730799</v>
      </c>
    </row>
    <row r="11" spans="2:40" x14ac:dyDescent="0.35">
      <c r="B11" s="15" t="s">
        <v>346</v>
      </c>
      <c r="C11" s="14">
        <v>0.138052426876006</v>
      </c>
      <c r="D11" s="14">
        <v>0.153059811630331</v>
      </c>
      <c r="E11" s="14">
        <v>0.122134854219421</v>
      </c>
      <c r="F11" s="14"/>
      <c r="G11" s="14">
        <v>0.206539471820229</v>
      </c>
      <c r="H11" s="14">
        <v>5.4668134799447501E-2</v>
      </c>
      <c r="I11" s="14" t="s">
        <v>76</v>
      </c>
      <c r="J11" s="14"/>
      <c r="K11" s="14">
        <v>0.138052426876006</v>
      </c>
      <c r="L11" s="14" t="s">
        <v>76</v>
      </c>
      <c r="M11" s="14" t="s">
        <v>76</v>
      </c>
      <c r="N11" s="14"/>
      <c r="O11" s="14">
        <v>0.13620456951426799</v>
      </c>
      <c r="P11" s="14">
        <v>0.15111759895975799</v>
      </c>
      <c r="Q11" s="14"/>
      <c r="R11" s="14">
        <v>0.120961448485934</v>
      </c>
      <c r="S11" s="14">
        <v>0.17439021102077601</v>
      </c>
      <c r="T11" s="14">
        <v>8.3617171488524003E-2</v>
      </c>
      <c r="U11" s="14">
        <v>0.167129857112924</v>
      </c>
      <c r="V11" s="14">
        <v>0.14211624781454599</v>
      </c>
      <c r="W11" s="14">
        <v>0.13599905882702201</v>
      </c>
      <c r="X11" s="14">
        <v>0.16352162339387299</v>
      </c>
      <c r="Y11" s="14">
        <v>0.107025261945522</v>
      </c>
      <c r="Z11" s="14">
        <v>0.124827410944416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0.1401674890846</v>
      </c>
      <c r="AN11" s="14">
        <v>0.132252477840198</v>
      </c>
    </row>
    <row r="12" spans="2:40" x14ac:dyDescent="0.35">
      <c r="B12" s="15" t="s">
        <v>70</v>
      </c>
      <c r="C12" s="20">
        <v>3.6334990159389097E-2</v>
      </c>
      <c r="D12" s="20">
        <v>2.5922409739554099E-2</v>
      </c>
      <c r="E12" s="20">
        <v>4.5344393283142603E-2</v>
      </c>
      <c r="F12" s="20"/>
      <c r="G12" s="20">
        <v>4.9362618395728398E-2</v>
      </c>
      <c r="H12" s="20">
        <v>2.0473602669120801E-2</v>
      </c>
      <c r="I12" s="20" t="s">
        <v>76</v>
      </c>
      <c r="J12" s="20"/>
      <c r="K12" s="20">
        <v>3.6334990159389097E-2</v>
      </c>
      <c r="L12" s="20" t="s">
        <v>76</v>
      </c>
      <c r="M12" s="20" t="s">
        <v>76</v>
      </c>
      <c r="N12" s="20"/>
      <c r="O12" s="20">
        <v>3.6441795060352299E-2</v>
      </c>
      <c r="P12" s="20">
        <v>1.6693359355801799E-2</v>
      </c>
      <c r="Q12" s="20"/>
      <c r="R12" s="20">
        <v>1.7990002180783199E-2</v>
      </c>
      <c r="S12" s="20">
        <v>1.6162050644060601E-2</v>
      </c>
      <c r="T12" s="20">
        <v>7.4660413010423393E-2</v>
      </c>
      <c r="U12" s="20">
        <v>2.5322280350246799E-2</v>
      </c>
      <c r="V12" s="20">
        <v>6.9617139791329899E-2</v>
      </c>
      <c r="W12" s="20">
        <v>3.2531208956663699E-2</v>
      </c>
      <c r="X12" s="20">
        <v>3.5659712455023099E-2</v>
      </c>
      <c r="Y12" s="20">
        <v>7.3653049513468599E-2</v>
      </c>
      <c r="Z12" s="20">
        <v>2.54899663494784E-2</v>
      </c>
      <c r="AA12" s="20"/>
      <c r="AB12" s="20" t="s">
        <v>76</v>
      </c>
      <c r="AC12" s="20" t="s">
        <v>76</v>
      </c>
      <c r="AD12" s="20" t="s">
        <v>76</v>
      </c>
      <c r="AE12" s="20" t="s">
        <v>76</v>
      </c>
      <c r="AF12" s="20"/>
      <c r="AG12" s="20" t="s">
        <v>76</v>
      </c>
      <c r="AH12" s="20" t="s">
        <v>76</v>
      </c>
      <c r="AI12" s="20"/>
      <c r="AJ12" s="20" t="s">
        <v>76</v>
      </c>
      <c r="AK12" s="20" t="s">
        <v>76</v>
      </c>
      <c r="AL12" s="20"/>
      <c r="AM12" s="20">
        <v>3.1107300807140501E-2</v>
      </c>
      <c r="AN12" s="20">
        <v>3.1539639171385303E-2</v>
      </c>
    </row>
    <row r="13" spans="2:40" x14ac:dyDescent="0.35">
      <c r="B13" s="16" t="s">
        <v>89</v>
      </c>
    </row>
    <row r="14" spans="2:40" x14ac:dyDescent="0.35">
      <c r="B14" t="s">
        <v>72</v>
      </c>
    </row>
    <row r="15" spans="2:40" x14ac:dyDescent="0.35">
      <c r="B15" t="s">
        <v>73</v>
      </c>
    </row>
    <row r="17" spans="2:2" x14ac:dyDescent="0.35">
      <c r="B17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dimension ref="B2:AN1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353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938</v>
      </c>
      <c r="D7" s="10">
        <v>503</v>
      </c>
      <c r="E7" s="10">
        <v>433</v>
      </c>
      <c r="F7" s="10"/>
      <c r="G7" s="10">
        <v>429</v>
      </c>
      <c r="H7" s="10">
        <v>509</v>
      </c>
      <c r="I7" s="10" t="s">
        <v>75</v>
      </c>
      <c r="J7" s="10"/>
      <c r="K7" s="10">
        <v>938</v>
      </c>
      <c r="L7" s="10" t="s">
        <v>75</v>
      </c>
      <c r="M7" s="10" t="s">
        <v>75</v>
      </c>
      <c r="N7" s="10"/>
      <c r="O7" s="10">
        <v>827</v>
      </c>
      <c r="P7" s="10">
        <v>94</v>
      </c>
      <c r="Q7" s="10"/>
      <c r="R7" s="10">
        <v>134</v>
      </c>
      <c r="S7" s="10">
        <v>154</v>
      </c>
      <c r="T7" s="10">
        <v>99</v>
      </c>
      <c r="U7" s="10">
        <v>95</v>
      </c>
      <c r="V7" s="10">
        <v>87</v>
      </c>
      <c r="W7" s="10">
        <v>121</v>
      </c>
      <c r="X7" s="10">
        <v>67</v>
      </c>
      <c r="Y7" s="10">
        <v>44</v>
      </c>
      <c r="Z7" s="10">
        <v>137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611</v>
      </c>
      <c r="AN7" s="10">
        <v>169</v>
      </c>
    </row>
    <row r="8" spans="2:40" ht="30" customHeight="1" x14ac:dyDescent="0.35">
      <c r="B8" s="11" t="s">
        <v>20</v>
      </c>
      <c r="C8" s="11">
        <v>1018</v>
      </c>
      <c r="D8" s="11">
        <v>532</v>
      </c>
      <c r="E8" s="11">
        <v>484</v>
      </c>
      <c r="F8" s="11"/>
      <c r="G8" s="11">
        <v>559</v>
      </c>
      <c r="H8" s="11">
        <v>459</v>
      </c>
      <c r="I8" s="11" t="s">
        <v>75</v>
      </c>
      <c r="J8" s="11"/>
      <c r="K8" s="11">
        <v>1018</v>
      </c>
      <c r="L8" s="11" t="s">
        <v>75</v>
      </c>
      <c r="M8" s="11" t="s">
        <v>75</v>
      </c>
      <c r="N8" s="11"/>
      <c r="O8" s="11">
        <v>901</v>
      </c>
      <c r="P8" s="11">
        <v>100</v>
      </c>
      <c r="Q8" s="11"/>
      <c r="R8" s="11">
        <v>162</v>
      </c>
      <c r="S8" s="11">
        <v>153</v>
      </c>
      <c r="T8" s="11">
        <v>111</v>
      </c>
      <c r="U8" s="11">
        <v>116</v>
      </c>
      <c r="V8" s="11">
        <v>95</v>
      </c>
      <c r="W8" s="11">
        <v>103</v>
      </c>
      <c r="X8" s="11">
        <v>108</v>
      </c>
      <c r="Y8" s="11">
        <v>46</v>
      </c>
      <c r="Z8" s="11">
        <v>123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673</v>
      </c>
      <c r="AN8" s="11">
        <v>174</v>
      </c>
    </row>
    <row r="9" spans="2:40" ht="29" x14ac:dyDescent="0.35">
      <c r="B9" s="15" t="s">
        <v>344</v>
      </c>
      <c r="C9" s="14">
        <v>0.60223837482887099</v>
      </c>
      <c r="D9" s="14">
        <v>0.60192835001399303</v>
      </c>
      <c r="E9" s="14">
        <v>0.60515559019481702</v>
      </c>
      <c r="F9" s="14"/>
      <c r="G9" s="14">
        <v>0.57075795305079902</v>
      </c>
      <c r="H9" s="14">
        <v>0.64056639272442795</v>
      </c>
      <c r="I9" s="14" t="s">
        <v>76</v>
      </c>
      <c r="J9" s="14"/>
      <c r="K9" s="14">
        <v>0.60223837482887099</v>
      </c>
      <c r="L9" s="14" t="s">
        <v>76</v>
      </c>
      <c r="M9" s="14" t="s">
        <v>76</v>
      </c>
      <c r="N9" s="14"/>
      <c r="O9" s="14">
        <v>0.610126182475069</v>
      </c>
      <c r="P9" s="14">
        <v>0.55239309151816895</v>
      </c>
      <c r="Q9" s="14"/>
      <c r="R9" s="14">
        <v>0.64488372874368405</v>
      </c>
      <c r="S9" s="14">
        <v>0.60355772053966095</v>
      </c>
      <c r="T9" s="14">
        <v>0.52770886134855</v>
      </c>
      <c r="U9" s="14">
        <v>0.63330112125814397</v>
      </c>
      <c r="V9" s="14">
        <v>0.52879436260874502</v>
      </c>
      <c r="W9" s="14">
        <v>0.601945567484094</v>
      </c>
      <c r="X9" s="14">
        <v>0.67359455846084104</v>
      </c>
      <c r="Y9" s="14">
        <v>0.61215581938154595</v>
      </c>
      <c r="Z9" s="14">
        <v>0.57316515295099502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0.62029910837631597</v>
      </c>
      <c r="AN9" s="14">
        <v>0.60022939049566204</v>
      </c>
    </row>
    <row r="10" spans="2:40" ht="29" x14ac:dyDescent="0.35">
      <c r="B10" s="15" t="s">
        <v>345</v>
      </c>
      <c r="C10" s="14">
        <v>0.12369484572285</v>
      </c>
      <c r="D10" s="14">
        <v>0.10374944161692699</v>
      </c>
      <c r="E10" s="14">
        <v>0.14616391122646399</v>
      </c>
      <c r="F10" s="14"/>
      <c r="G10" s="14">
        <v>0.11370393313719</v>
      </c>
      <c r="H10" s="14">
        <v>0.135858973607658</v>
      </c>
      <c r="I10" s="14" t="s">
        <v>76</v>
      </c>
      <c r="J10" s="14"/>
      <c r="K10" s="14">
        <v>0.12369484572285</v>
      </c>
      <c r="L10" s="14" t="s">
        <v>76</v>
      </c>
      <c r="M10" s="14" t="s">
        <v>76</v>
      </c>
      <c r="N10" s="14"/>
      <c r="O10" s="14">
        <v>0.116065421441527</v>
      </c>
      <c r="P10" s="14">
        <v>0.20583499093704299</v>
      </c>
      <c r="Q10" s="14"/>
      <c r="R10" s="14">
        <v>9.8361857667702599E-2</v>
      </c>
      <c r="S10" s="14">
        <v>0.14813113267853401</v>
      </c>
      <c r="T10" s="14">
        <v>0.132266831380248</v>
      </c>
      <c r="U10" s="14">
        <v>0.173419429766345</v>
      </c>
      <c r="V10" s="14">
        <v>0.13121556968784701</v>
      </c>
      <c r="W10" s="14">
        <v>0.10572699126669</v>
      </c>
      <c r="X10" s="14">
        <v>5.0838987863996002E-2</v>
      </c>
      <c r="Y10" s="14">
        <v>0.12592230304942301</v>
      </c>
      <c r="Z10" s="14">
        <v>0.14427883906540001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0.108627291712563</v>
      </c>
      <c r="AN10" s="14">
        <v>0.16334524097980699</v>
      </c>
    </row>
    <row r="11" spans="2:40" x14ac:dyDescent="0.35">
      <c r="B11" s="15" t="s">
        <v>346</v>
      </c>
      <c r="C11" s="14">
        <v>0.22795136378584399</v>
      </c>
      <c r="D11" s="14">
        <v>0.253452247597592</v>
      </c>
      <c r="E11" s="14">
        <v>0.19919767843828401</v>
      </c>
      <c r="F11" s="14"/>
      <c r="G11" s="14">
        <v>0.26706079605788502</v>
      </c>
      <c r="H11" s="14">
        <v>0.180334879147382</v>
      </c>
      <c r="I11" s="14" t="s">
        <v>76</v>
      </c>
      <c r="J11" s="14"/>
      <c r="K11" s="14">
        <v>0.22795136378584399</v>
      </c>
      <c r="L11" s="14" t="s">
        <v>76</v>
      </c>
      <c r="M11" s="14" t="s">
        <v>76</v>
      </c>
      <c r="N11" s="14"/>
      <c r="O11" s="14">
        <v>0.225317344405701</v>
      </c>
      <c r="P11" s="14">
        <v>0.217746051468063</v>
      </c>
      <c r="Q11" s="14"/>
      <c r="R11" s="14">
        <v>0.222319547757792</v>
      </c>
      <c r="S11" s="14">
        <v>0.20889702292405499</v>
      </c>
      <c r="T11" s="14">
        <v>0.248296604823488</v>
      </c>
      <c r="U11" s="14">
        <v>0.15925811297561601</v>
      </c>
      <c r="V11" s="14">
        <v>0.31059953059093198</v>
      </c>
      <c r="W11" s="14">
        <v>0.23936623688517999</v>
      </c>
      <c r="X11" s="14">
        <v>0.23990674122014</v>
      </c>
      <c r="Y11" s="14">
        <v>0.208413672393957</v>
      </c>
      <c r="Z11" s="14">
        <v>0.228843941517102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0.23619775274148899</v>
      </c>
      <c r="AN11" s="14">
        <v>0.16520250619072899</v>
      </c>
    </row>
    <row r="12" spans="2:40" x14ac:dyDescent="0.35">
      <c r="B12" s="15" t="s">
        <v>70</v>
      </c>
      <c r="C12" s="20">
        <v>4.6115415662435197E-2</v>
      </c>
      <c r="D12" s="20">
        <v>4.0869960771488002E-2</v>
      </c>
      <c r="E12" s="20">
        <v>4.9482820140436201E-2</v>
      </c>
      <c r="F12" s="20"/>
      <c r="G12" s="20">
        <v>4.8477317754126899E-2</v>
      </c>
      <c r="H12" s="20">
        <v>4.32397545205324E-2</v>
      </c>
      <c r="I12" s="20" t="s">
        <v>76</v>
      </c>
      <c r="J12" s="20"/>
      <c r="K12" s="20">
        <v>4.6115415662435197E-2</v>
      </c>
      <c r="L12" s="20" t="s">
        <v>76</v>
      </c>
      <c r="M12" s="20" t="s">
        <v>76</v>
      </c>
      <c r="N12" s="20"/>
      <c r="O12" s="20">
        <v>4.8491051677702401E-2</v>
      </c>
      <c r="P12" s="20">
        <v>2.4025866076725501E-2</v>
      </c>
      <c r="Q12" s="20"/>
      <c r="R12" s="20">
        <v>3.4434865830821802E-2</v>
      </c>
      <c r="S12" s="20">
        <v>3.9414123857749901E-2</v>
      </c>
      <c r="T12" s="20">
        <v>9.1727702447714596E-2</v>
      </c>
      <c r="U12" s="20">
        <v>3.4021335999894597E-2</v>
      </c>
      <c r="V12" s="20">
        <v>2.9390537112476401E-2</v>
      </c>
      <c r="W12" s="20">
        <v>5.2961204364037E-2</v>
      </c>
      <c r="X12" s="20">
        <v>3.5659712455023099E-2</v>
      </c>
      <c r="Y12" s="20">
        <v>5.3508205175073598E-2</v>
      </c>
      <c r="Z12" s="20">
        <v>5.37120664665027E-2</v>
      </c>
      <c r="AA12" s="20"/>
      <c r="AB12" s="20" t="s">
        <v>76</v>
      </c>
      <c r="AC12" s="20" t="s">
        <v>76</v>
      </c>
      <c r="AD12" s="20" t="s">
        <v>76</v>
      </c>
      <c r="AE12" s="20" t="s">
        <v>76</v>
      </c>
      <c r="AF12" s="20"/>
      <c r="AG12" s="20" t="s">
        <v>76</v>
      </c>
      <c r="AH12" s="20" t="s">
        <v>76</v>
      </c>
      <c r="AI12" s="20"/>
      <c r="AJ12" s="20" t="s">
        <v>76</v>
      </c>
      <c r="AK12" s="20" t="s">
        <v>76</v>
      </c>
      <c r="AL12" s="20"/>
      <c r="AM12" s="20">
        <v>3.4875847169632199E-2</v>
      </c>
      <c r="AN12" s="20">
        <v>7.1222862333802706E-2</v>
      </c>
    </row>
    <row r="13" spans="2:40" x14ac:dyDescent="0.35">
      <c r="B13" s="16" t="s">
        <v>89</v>
      </c>
    </row>
    <row r="14" spans="2:40" x14ac:dyDescent="0.35">
      <c r="B14" t="s">
        <v>72</v>
      </c>
    </row>
    <row r="15" spans="2:40" x14ac:dyDescent="0.35">
      <c r="B15" t="s">
        <v>73</v>
      </c>
    </row>
    <row r="17" spans="2:2" x14ac:dyDescent="0.35">
      <c r="B17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dimension ref="B2:AN1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354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938</v>
      </c>
      <c r="D7" s="10">
        <v>503</v>
      </c>
      <c r="E7" s="10">
        <v>433</v>
      </c>
      <c r="F7" s="10"/>
      <c r="G7" s="10">
        <v>429</v>
      </c>
      <c r="H7" s="10">
        <v>509</v>
      </c>
      <c r="I7" s="10" t="s">
        <v>75</v>
      </c>
      <c r="J7" s="10"/>
      <c r="K7" s="10">
        <v>938</v>
      </c>
      <c r="L7" s="10" t="s">
        <v>75</v>
      </c>
      <c r="M7" s="10" t="s">
        <v>75</v>
      </c>
      <c r="N7" s="10"/>
      <c r="O7" s="10">
        <v>827</v>
      </c>
      <c r="P7" s="10">
        <v>94</v>
      </c>
      <c r="Q7" s="10"/>
      <c r="R7" s="10">
        <v>134</v>
      </c>
      <c r="S7" s="10">
        <v>154</v>
      </c>
      <c r="T7" s="10">
        <v>99</v>
      </c>
      <c r="U7" s="10">
        <v>95</v>
      </c>
      <c r="V7" s="10">
        <v>87</v>
      </c>
      <c r="W7" s="10">
        <v>121</v>
      </c>
      <c r="X7" s="10">
        <v>67</v>
      </c>
      <c r="Y7" s="10">
        <v>44</v>
      </c>
      <c r="Z7" s="10">
        <v>137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611</v>
      </c>
      <c r="AN7" s="10">
        <v>169</v>
      </c>
    </row>
    <row r="8" spans="2:40" ht="30" customHeight="1" x14ac:dyDescent="0.35">
      <c r="B8" s="11" t="s">
        <v>20</v>
      </c>
      <c r="C8" s="11">
        <v>1018</v>
      </c>
      <c r="D8" s="11">
        <v>532</v>
      </c>
      <c r="E8" s="11">
        <v>484</v>
      </c>
      <c r="F8" s="11"/>
      <c r="G8" s="11">
        <v>559</v>
      </c>
      <c r="H8" s="11">
        <v>459</v>
      </c>
      <c r="I8" s="11" t="s">
        <v>75</v>
      </c>
      <c r="J8" s="11"/>
      <c r="K8" s="11">
        <v>1018</v>
      </c>
      <c r="L8" s="11" t="s">
        <v>75</v>
      </c>
      <c r="M8" s="11" t="s">
        <v>75</v>
      </c>
      <c r="N8" s="11"/>
      <c r="O8" s="11">
        <v>901</v>
      </c>
      <c r="P8" s="11">
        <v>100</v>
      </c>
      <c r="Q8" s="11"/>
      <c r="R8" s="11">
        <v>162</v>
      </c>
      <c r="S8" s="11">
        <v>153</v>
      </c>
      <c r="T8" s="11">
        <v>111</v>
      </c>
      <c r="U8" s="11">
        <v>116</v>
      </c>
      <c r="V8" s="11">
        <v>95</v>
      </c>
      <c r="W8" s="11">
        <v>103</v>
      </c>
      <c r="X8" s="11">
        <v>108</v>
      </c>
      <c r="Y8" s="11">
        <v>46</v>
      </c>
      <c r="Z8" s="11">
        <v>123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673</v>
      </c>
      <c r="AN8" s="11">
        <v>174</v>
      </c>
    </row>
    <row r="9" spans="2:40" ht="29" x14ac:dyDescent="0.35">
      <c r="B9" s="15" t="s">
        <v>344</v>
      </c>
      <c r="C9" s="14">
        <v>0.43985047605931898</v>
      </c>
      <c r="D9" s="14">
        <v>0.43675803768058102</v>
      </c>
      <c r="E9" s="14">
        <v>0.443455873436649</v>
      </c>
      <c r="F9" s="14"/>
      <c r="G9" s="14">
        <v>0.39193159186960103</v>
      </c>
      <c r="H9" s="14">
        <v>0.49819263753690002</v>
      </c>
      <c r="I9" s="14" t="s">
        <v>76</v>
      </c>
      <c r="J9" s="14"/>
      <c r="K9" s="14">
        <v>0.43985047605931898</v>
      </c>
      <c r="L9" s="14" t="s">
        <v>76</v>
      </c>
      <c r="M9" s="14" t="s">
        <v>76</v>
      </c>
      <c r="N9" s="14"/>
      <c r="O9" s="14">
        <v>0.42777524346921503</v>
      </c>
      <c r="P9" s="14">
        <v>0.52277853406167296</v>
      </c>
      <c r="Q9" s="14"/>
      <c r="R9" s="14">
        <v>0.53802772266981302</v>
      </c>
      <c r="S9" s="14">
        <v>0.43136160788422201</v>
      </c>
      <c r="T9" s="14">
        <v>0.415369117170864</v>
      </c>
      <c r="U9" s="14">
        <v>0.367816288800691</v>
      </c>
      <c r="V9" s="14">
        <v>0.41526431770257699</v>
      </c>
      <c r="W9" s="14">
        <v>0.44787846826092298</v>
      </c>
      <c r="X9" s="14">
        <v>0.52379978876414501</v>
      </c>
      <c r="Y9" s="14">
        <v>0.37106098804841398</v>
      </c>
      <c r="Z9" s="14">
        <v>0.37548509074561498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0.48735035474048999</v>
      </c>
      <c r="AN9" s="14">
        <v>0.31536200949537102</v>
      </c>
    </row>
    <row r="10" spans="2:40" ht="29" x14ac:dyDescent="0.35">
      <c r="B10" s="15" t="s">
        <v>345</v>
      </c>
      <c r="C10" s="14">
        <v>0.17433230170550601</v>
      </c>
      <c r="D10" s="14">
        <v>0.17393398902629401</v>
      </c>
      <c r="E10" s="14">
        <v>0.17551618479686201</v>
      </c>
      <c r="F10" s="14"/>
      <c r="G10" s="14">
        <v>0.16001241731937299</v>
      </c>
      <c r="H10" s="14">
        <v>0.19176703586768701</v>
      </c>
      <c r="I10" s="14" t="s">
        <v>76</v>
      </c>
      <c r="J10" s="14"/>
      <c r="K10" s="14">
        <v>0.17433230170550601</v>
      </c>
      <c r="L10" s="14" t="s">
        <v>76</v>
      </c>
      <c r="M10" s="14" t="s">
        <v>76</v>
      </c>
      <c r="N10" s="14"/>
      <c r="O10" s="14">
        <v>0.17549701231748699</v>
      </c>
      <c r="P10" s="14">
        <v>0.18537476263993999</v>
      </c>
      <c r="Q10" s="14"/>
      <c r="R10" s="14">
        <v>0.15880728588665799</v>
      </c>
      <c r="S10" s="14">
        <v>0.16248370322720501</v>
      </c>
      <c r="T10" s="14">
        <v>0.17160457032537499</v>
      </c>
      <c r="U10" s="14">
        <v>0.21198383281041799</v>
      </c>
      <c r="V10" s="14">
        <v>0.18035343137434201</v>
      </c>
      <c r="W10" s="14">
        <v>0.200240770110684</v>
      </c>
      <c r="X10" s="14">
        <v>0.133083143067493</v>
      </c>
      <c r="Y10" s="14">
        <v>0.13186085186836399</v>
      </c>
      <c r="Z10" s="14">
        <v>0.202087530139199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0.15723481611579099</v>
      </c>
      <c r="AN10" s="14">
        <v>0.227981578638773</v>
      </c>
    </row>
    <row r="11" spans="2:40" x14ac:dyDescent="0.35">
      <c r="B11" s="15" t="s">
        <v>346</v>
      </c>
      <c r="C11" s="14">
        <v>0.22893946015248601</v>
      </c>
      <c r="D11" s="14">
        <v>0.229753754159079</v>
      </c>
      <c r="E11" s="14">
        <v>0.22902306873157199</v>
      </c>
      <c r="F11" s="14"/>
      <c r="G11" s="14">
        <v>0.250332792076495</v>
      </c>
      <c r="H11" s="14">
        <v>0.20289266781248799</v>
      </c>
      <c r="I11" s="14" t="s">
        <v>76</v>
      </c>
      <c r="J11" s="14"/>
      <c r="K11" s="14">
        <v>0.22893946015248601</v>
      </c>
      <c r="L11" s="14" t="s">
        <v>76</v>
      </c>
      <c r="M11" s="14" t="s">
        <v>76</v>
      </c>
      <c r="N11" s="14"/>
      <c r="O11" s="14">
        <v>0.22893840757772699</v>
      </c>
      <c r="P11" s="14">
        <v>0.231281556705282</v>
      </c>
      <c r="Q11" s="14"/>
      <c r="R11" s="14">
        <v>0.18858992969563201</v>
      </c>
      <c r="S11" s="14">
        <v>0.24025131571436101</v>
      </c>
      <c r="T11" s="14">
        <v>0.22377939061635099</v>
      </c>
      <c r="U11" s="14">
        <v>0.240927740778592</v>
      </c>
      <c r="V11" s="14">
        <v>0.25402041713866302</v>
      </c>
      <c r="W11" s="14">
        <v>0.20321156633992399</v>
      </c>
      <c r="X11" s="14">
        <v>0.23428909868247599</v>
      </c>
      <c r="Y11" s="14">
        <v>0.29416002748569398</v>
      </c>
      <c r="Z11" s="14">
        <v>0.23448008972763901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0.21272923587860099</v>
      </c>
      <c r="AN11" s="14">
        <v>0.26664819459252298</v>
      </c>
    </row>
    <row r="12" spans="2:40" x14ac:dyDescent="0.35">
      <c r="B12" s="15" t="s">
        <v>70</v>
      </c>
      <c r="C12" s="20">
        <v>0.156877762082689</v>
      </c>
      <c r="D12" s="20">
        <v>0.15955421913404699</v>
      </c>
      <c r="E12" s="20">
        <v>0.152004873034917</v>
      </c>
      <c r="F12" s="20"/>
      <c r="G12" s="20">
        <v>0.19772319873453101</v>
      </c>
      <c r="H12" s="20">
        <v>0.107147658782925</v>
      </c>
      <c r="I12" s="20" t="s">
        <v>76</v>
      </c>
      <c r="J12" s="20"/>
      <c r="K12" s="20">
        <v>0.156877762082689</v>
      </c>
      <c r="L12" s="20" t="s">
        <v>76</v>
      </c>
      <c r="M12" s="20" t="s">
        <v>76</v>
      </c>
      <c r="N12" s="20"/>
      <c r="O12" s="20">
        <v>0.167789336635572</v>
      </c>
      <c r="P12" s="20">
        <v>6.0565146593105003E-2</v>
      </c>
      <c r="Q12" s="20"/>
      <c r="R12" s="20">
        <v>0.114575061747897</v>
      </c>
      <c r="S12" s="20">
        <v>0.165903373174213</v>
      </c>
      <c r="T12" s="20">
        <v>0.18924692188740899</v>
      </c>
      <c r="U12" s="20">
        <v>0.179272137610299</v>
      </c>
      <c r="V12" s="20">
        <v>0.15036183378442</v>
      </c>
      <c r="W12" s="20">
        <v>0.148669195288468</v>
      </c>
      <c r="X12" s="20">
        <v>0.10882796948588599</v>
      </c>
      <c r="Y12" s="20">
        <v>0.202918132597528</v>
      </c>
      <c r="Z12" s="20">
        <v>0.18794728938754701</v>
      </c>
      <c r="AA12" s="20"/>
      <c r="AB12" s="20" t="s">
        <v>76</v>
      </c>
      <c r="AC12" s="20" t="s">
        <v>76</v>
      </c>
      <c r="AD12" s="20" t="s">
        <v>76</v>
      </c>
      <c r="AE12" s="20" t="s">
        <v>76</v>
      </c>
      <c r="AF12" s="20"/>
      <c r="AG12" s="20" t="s">
        <v>76</v>
      </c>
      <c r="AH12" s="20" t="s">
        <v>76</v>
      </c>
      <c r="AI12" s="20"/>
      <c r="AJ12" s="20" t="s">
        <v>76</v>
      </c>
      <c r="AK12" s="20" t="s">
        <v>76</v>
      </c>
      <c r="AL12" s="20"/>
      <c r="AM12" s="20">
        <v>0.14268559326511801</v>
      </c>
      <c r="AN12" s="20">
        <v>0.190008217273332</v>
      </c>
    </row>
    <row r="13" spans="2:40" x14ac:dyDescent="0.35">
      <c r="B13" s="16" t="s">
        <v>89</v>
      </c>
    </row>
    <row r="14" spans="2:40" x14ac:dyDescent="0.35">
      <c r="B14" t="s">
        <v>72</v>
      </c>
    </row>
    <row r="15" spans="2:40" x14ac:dyDescent="0.35">
      <c r="B15" t="s">
        <v>73</v>
      </c>
    </row>
    <row r="17" spans="2:2" x14ac:dyDescent="0.35">
      <c r="B17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dimension ref="B2:AN1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355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938</v>
      </c>
      <c r="D7" s="10">
        <v>503</v>
      </c>
      <c r="E7" s="10">
        <v>433</v>
      </c>
      <c r="F7" s="10"/>
      <c r="G7" s="10">
        <v>429</v>
      </c>
      <c r="H7" s="10">
        <v>509</v>
      </c>
      <c r="I7" s="10" t="s">
        <v>75</v>
      </c>
      <c r="J7" s="10"/>
      <c r="K7" s="10">
        <v>938</v>
      </c>
      <c r="L7" s="10" t="s">
        <v>75</v>
      </c>
      <c r="M7" s="10" t="s">
        <v>75</v>
      </c>
      <c r="N7" s="10"/>
      <c r="O7" s="10">
        <v>827</v>
      </c>
      <c r="P7" s="10">
        <v>94</v>
      </c>
      <c r="Q7" s="10"/>
      <c r="R7" s="10">
        <v>134</v>
      </c>
      <c r="S7" s="10">
        <v>154</v>
      </c>
      <c r="T7" s="10">
        <v>99</v>
      </c>
      <c r="U7" s="10">
        <v>95</v>
      </c>
      <c r="V7" s="10">
        <v>87</v>
      </c>
      <c r="W7" s="10">
        <v>121</v>
      </c>
      <c r="X7" s="10">
        <v>67</v>
      </c>
      <c r="Y7" s="10">
        <v>44</v>
      </c>
      <c r="Z7" s="10">
        <v>137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611</v>
      </c>
      <c r="AN7" s="10">
        <v>169</v>
      </c>
    </row>
    <row r="8" spans="2:40" ht="30" customHeight="1" x14ac:dyDescent="0.35">
      <c r="B8" s="11" t="s">
        <v>20</v>
      </c>
      <c r="C8" s="11">
        <v>1018</v>
      </c>
      <c r="D8" s="11">
        <v>532</v>
      </c>
      <c r="E8" s="11">
        <v>484</v>
      </c>
      <c r="F8" s="11"/>
      <c r="G8" s="11">
        <v>559</v>
      </c>
      <c r="H8" s="11">
        <v>459</v>
      </c>
      <c r="I8" s="11" t="s">
        <v>75</v>
      </c>
      <c r="J8" s="11"/>
      <c r="K8" s="11">
        <v>1018</v>
      </c>
      <c r="L8" s="11" t="s">
        <v>75</v>
      </c>
      <c r="M8" s="11" t="s">
        <v>75</v>
      </c>
      <c r="N8" s="11"/>
      <c r="O8" s="11">
        <v>901</v>
      </c>
      <c r="P8" s="11">
        <v>100</v>
      </c>
      <c r="Q8" s="11"/>
      <c r="R8" s="11">
        <v>162</v>
      </c>
      <c r="S8" s="11">
        <v>153</v>
      </c>
      <c r="T8" s="11">
        <v>111</v>
      </c>
      <c r="U8" s="11">
        <v>116</v>
      </c>
      <c r="V8" s="11">
        <v>95</v>
      </c>
      <c r="W8" s="11">
        <v>103</v>
      </c>
      <c r="X8" s="11">
        <v>108</v>
      </c>
      <c r="Y8" s="11">
        <v>46</v>
      </c>
      <c r="Z8" s="11">
        <v>123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673</v>
      </c>
      <c r="AN8" s="11">
        <v>174</v>
      </c>
    </row>
    <row r="9" spans="2:40" ht="29" x14ac:dyDescent="0.35">
      <c r="B9" s="15" t="s">
        <v>344</v>
      </c>
      <c r="C9" s="14">
        <v>0.61670899358212605</v>
      </c>
      <c r="D9" s="14">
        <v>0.60401550486163202</v>
      </c>
      <c r="E9" s="14">
        <v>0.63163208859865605</v>
      </c>
      <c r="F9" s="14"/>
      <c r="G9" s="14">
        <v>0.57187074555202999</v>
      </c>
      <c r="H9" s="14">
        <v>0.67130042139139601</v>
      </c>
      <c r="I9" s="14" t="s">
        <v>76</v>
      </c>
      <c r="J9" s="14"/>
      <c r="K9" s="14">
        <v>0.61670899358212605</v>
      </c>
      <c r="L9" s="14" t="s">
        <v>76</v>
      </c>
      <c r="M9" s="14" t="s">
        <v>76</v>
      </c>
      <c r="N9" s="14"/>
      <c r="O9" s="14">
        <v>0.61074915600110302</v>
      </c>
      <c r="P9" s="14">
        <v>0.66519785658561204</v>
      </c>
      <c r="Q9" s="14"/>
      <c r="R9" s="14">
        <v>0.70739966125486697</v>
      </c>
      <c r="S9" s="14">
        <v>0.62722896324215305</v>
      </c>
      <c r="T9" s="14">
        <v>0.60322366529090998</v>
      </c>
      <c r="U9" s="14">
        <v>0.578713936482675</v>
      </c>
      <c r="V9" s="14">
        <v>0.64210560277125905</v>
      </c>
      <c r="W9" s="14">
        <v>0.560429518320955</v>
      </c>
      <c r="X9" s="14">
        <v>0.62116788357822905</v>
      </c>
      <c r="Y9" s="14">
        <v>0.66040509951690296</v>
      </c>
      <c r="Z9" s="14">
        <v>0.53951167623594998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0.65654086269811696</v>
      </c>
      <c r="AN9" s="14">
        <v>0.50938984640102702</v>
      </c>
    </row>
    <row r="10" spans="2:40" ht="29" x14ac:dyDescent="0.35">
      <c r="B10" s="15" t="s">
        <v>345</v>
      </c>
      <c r="C10" s="14">
        <v>0.16231599354540799</v>
      </c>
      <c r="D10" s="14">
        <v>0.165275331598708</v>
      </c>
      <c r="E10" s="14">
        <v>0.15715519855552501</v>
      </c>
      <c r="F10" s="14"/>
      <c r="G10" s="14">
        <v>0.15078423965615401</v>
      </c>
      <c r="H10" s="14">
        <v>0.176356125299371</v>
      </c>
      <c r="I10" s="14" t="s">
        <v>76</v>
      </c>
      <c r="J10" s="14"/>
      <c r="K10" s="14">
        <v>0.16231599354540799</v>
      </c>
      <c r="L10" s="14" t="s">
        <v>76</v>
      </c>
      <c r="M10" s="14" t="s">
        <v>76</v>
      </c>
      <c r="N10" s="14"/>
      <c r="O10" s="14">
        <v>0.16140561763191</v>
      </c>
      <c r="P10" s="14">
        <v>0.189996803759612</v>
      </c>
      <c r="Q10" s="14"/>
      <c r="R10" s="14">
        <v>0.14921002553656601</v>
      </c>
      <c r="S10" s="14">
        <v>0.157937723100883</v>
      </c>
      <c r="T10" s="14">
        <v>0.16133141714169799</v>
      </c>
      <c r="U10" s="14">
        <v>0.15908951544567501</v>
      </c>
      <c r="V10" s="14">
        <v>0.14522993419757499</v>
      </c>
      <c r="W10" s="14">
        <v>0.19853181490461999</v>
      </c>
      <c r="X10" s="14">
        <v>0.14659137822177301</v>
      </c>
      <c r="Y10" s="14">
        <v>0.21312926852203401</v>
      </c>
      <c r="Z10" s="14">
        <v>0.16691954057736599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0.14176693513312499</v>
      </c>
      <c r="AN10" s="14">
        <v>0.22867512505387</v>
      </c>
    </row>
    <row r="11" spans="2:40" x14ac:dyDescent="0.35">
      <c r="B11" s="15" t="s">
        <v>346</v>
      </c>
      <c r="C11" s="14">
        <v>0.123413475303094</v>
      </c>
      <c r="D11" s="14">
        <v>0.129457976396088</v>
      </c>
      <c r="E11" s="14">
        <v>0.117292450638212</v>
      </c>
      <c r="F11" s="14"/>
      <c r="G11" s="14">
        <v>0.14641781556602801</v>
      </c>
      <c r="H11" s="14">
        <v>9.5405249381311993E-2</v>
      </c>
      <c r="I11" s="14" t="s">
        <v>76</v>
      </c>
      <c r="J11" s="14"/>
      <c r="K11" s="14">
        <v>0.123413475303094</v>
      </c>
      <c r="L11" s="14" t="s">
        <v>76</v>
      </c>
      <c r="M11" s="14" t="s">
        <v>76</v>
      </c>
      <c r="N11" s="14"/>
      <c r="O11" s="14">
        <v>0.12468499193942099</v>
      </c>
      <c r="P11" s="14">
        <v>0.123672202767654</v>
      </c>
      <c r="Q11" s="14"/>
      <c r="R11" s="14">
        <v>0.131671266760886</v>
      </c>
      <c r="S11" s="14">
        <v>9.3597084228366101E-2</v>
      </c>
      <c r="T11" s="14">
        <v>0.11350023641568099</v>
      </c>
      <c r="U11" s="14">
        <v>0.15069126832000199</v>
      </c>
      <c r="V11" s="14">
        <v>0.10278870601066301</v>
      </c>
      <c r="W11" s="14">
        <v>0.114297547599348</v>
      </c>
      <c r="X11" s="14">
        <v>0.15670459032022299</v>
      </c>
      <c r="Y11" s="14">
        <v>7.3882857628208606E-2</v>
      </c>
      <c r="Z11" s="14">
        <v>0.14545169101443201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0.12005088621467901</v>
      </c>
      <c r="AN11" s="14">
        <v>0.120918880622925</v>
      </c>
    </row>
    <row r="12" spans="2:40" x14ac:dyDescent="0.35">
      <c r="B12" s="15" t="s">
        <v>70</v>
      </c>
      <c r="C12" s="20">
        <v>9.7561537569371706E-2</v>
      </c>
      <c r="D12" s="20">
        <v>0.10125118714357199</v>
      </c>
      <c r="E12" s="20">
        <v>9.3920262207607894E-2</v>
      </c>
      <c r="F12" s="20"/>
      <c r="G12" s="20">
        <v>0.13092719922578799</v>
      </c>
      <c r="H12" s="20">
        <v>5.69382039279209E-2</v>
      </c>
      <c r="I12" s="20" t="s">
        <v>76</v>
      </c>
      <c r="J12" s="20"/>
      <c r="K12" s="20">
        <v>9.7561537569371706E-2</v>
      </c>
      <c r="L12" s="20" t="s">
        <v>76</v>
      </c>
      <c r="M12" s="20" t="s">
        <v>76</v>
      </c>
      <c r="N12" s="20"/>
      <c r="O12" s="20">
        <v>0.103160234427566</v>
      </c>
      <c r="P12" s="20">
        <v>2.1133136887122199E-2</v>
      </c>
      <c r="Q12" s="20"/>
      <c r="R12" s="20">
        <v>1.17190464476813E-2</v>
      </c>
      <c r="S12" s="20">
        <v>0.12123622942859801</v>
      </c>
      <c r="T12" s="20">
        <v>0.121944681151711</v>
      </c>
      <c r="U12" s="20">
        <v>0.11150527975164699</v>
      </c>
      <c r="V12" s="20">
        <v>0.10987575702050401</v>
      </c>
      <c r="W12" s="20">
        <v>0.12674111917507699</v>
      </c>
      <c r="X12" s="20">
        <v>7.5536147879775098E-2</v>
      </c>
      <c r="Y12" s="20">
        <v>5.2582774332854298E-2</v>
      </c>
      <c r="Z12" s="20">
        <v>0.148117092172252</v>
      </c>
      <c r="AA12" s="20"/>
      <c r="AB12" s="20" t="s">
        <v>76</v>
      </c>
      <c r="AC12" s="20" t="s">
        <v>76</v>
      </c>
      <c r="AD12" s="20" t="s">
        <v>76</v>
      </c>
      <c r="AE12" s="20" t="s">
        <v>76</v>
      </c>
      <c r="AF12" s="20"/>
      <c r="AG12" s="20" t="s">
        <v>76</v>
      </c>
      <c r="AH12" s="20" t="s">
        <v>76</v>
      </c>
      <c r="AI12" s="20"/>
      <c r="AJ12" s="20" t="s">
        <v>76</v>
      </c>
      <c r="AK12" s="20" t="s">
        <v>76</v>
      </c>
      <c r="AL12" s="20"/>
      <c r="AM12" s="20">
        <v>8.1641315954078197E-2</v>
      </c>
      <c r="AN12" s="20">
        <v>0.14101614792217701</v>
      </c>
    </row>
    <row r="13" spans="2:40" x14ac:dyDescent="0.35">
      <c r="B13" s="16" t="s">
        <v>89</v>
      </c>
    </row>
    <row r="14" spans="2:40" x14ac:dyDescent="0.35">
      <c r="B14" t="s">
        <v>72</v>
      </c>
    </row>
    <row r="15" spans="2:40" x14ac:dyDescent="0.35">
      <c r="B15" t="s">
        <v>73</v>
      </c>
    </row>
    <row r="17" spans="2:2" x14ac:dyDescent="0.35">
      <c r="B17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dimension ref="B2:AN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358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1216</v>
      </c>
      <c r="D7" s="10">
        <v>613</v>
      </c>
      <c r="E7" s="10">
        <v>598</v>
      </c>
      <c r="F7" s="10"/>
      <c r="G7" s="10" t="s">
        <v>75</v>
      </c>
      <c r="H7" s="10" t="s">
        <v>75</v>
      </c>
      <c r="I7" s="10">
        <v>1216</v>
      </c>
      <c r="J7" s="10"/>
      <c r="K7" s="10" t="s">
        <v>75</v>
      </c>
      <c r="L7" s="10">
        <v>924</v>
      </c>
      <c r="M7" s="10">
        <v>292</v>
      </c>
      <c r="N7" s="10"/>
      <c r="O7" s="10">
        <v>1020</v>
      </c>
      <c r="P7" s="10">
        <v>166</v>
      </c>
      <c r="Q7" s="10"/>
      <c r="R7" s="10">
        <v>177</v>
      </c>
      <c r="S7" s="10">
        <v>216</v>
      </c>
      <c r="T7" s="10">
        <v>97</v>
      </c>
      <c r="U7" s="10">
        <v>116</v>
      </c>
      <c r="V7" s="10">
        <v>104</v>
      </c>
      <c r="W7" s="10">
        <v>152</v>
      </c>
      <c r="X7" s="10">
        <v>76</v>
      </c>
      <c r="Y7" s="10">
        <v>70</v>
      </c>
      <c r="Z7" s="10">
        <v>208</v>
      </c>
      <c r="AA7" s="10"/>
      <c r="AB7" s="10">
        <v>152</v>
      </c>
      <c r="AC7" s="10">
        <v>147</v>
      </c>
      <c r="AD7" s="10">
        <v>152</v>
      </c>
      <c r="AE7" s="10">
        <v>106</v>
      </c>
      <c r="AF7" s="10"/>
      <c r="AG7" s="10">
        <v>95</v>
      </c>
      <c r="AH7" s="10">
        <v>46</v>
      </c>
      <c r="AI7" s="10"/>
      <c r="AJ7" s="10">
        <v>141</v>
      </c>
      <c r="AK7" s="10">
        <v>131</v>
      </c>
      <c r="AL7" s="10"/>
      <c r="AM7" s="10">
        <v>626</v>
      </c>
      <c r="AN7" s="10">
        <v>310</v>
      </c>
    </row>
    <row r="8" spans="2:40" ht="30" customHeight="1" x14ac:dyDescent="0.35">
      <c r="B8" s="11" t="s">
        <v>20</v>
      </c>
      <c r="C8" s="11">
        <v>1136</v>
      </c>
      <c r="D8" s="11">
        <v>540</v>
      </c>
      <c r="E8" s="11">
        <v>591</v>
      </c>
      <c r="F8" s="11"/>
      <c r="G8" s="11" t="s">
        <v>75</v>
      </c>
      <c r="H8" s="11" t="s">
        <v>75</v>
      </c>
      <c r="I8" s="11">
        <v>1136</v>
      </c>
      <c r="J8" s="11"/>
      <c r="K8" s="11" t="s">
        <v>75</v>
      </c>
      <c r="L8" s="11">
        <v>745</v>
      </c>
      <c r="M8" s="11">
        <v>391</v>
      </c>
      <c r="N8" s="11"/>
      <c r="O8" s="11">
        <v>946</v>
      </c>
      <c r="P8" s="11">
        <v>161</v>
      </c>
      <c r="Q8" s="11"/>
      <c r="R8" s="11">
        <v>183</v>
      </c>
      <c r="S8" s="11">
        <v>192</v>
      </c>
      <c r="T8" s="11">
        <v>104</v>
      </c>
      <c r="U8" s="11">
        <v>121</v>
      </c>
      <c r="V8" s="11">
        <v>99</v>
      </c>
      <c r="W8" s="11">
        <v>112</v>
      </c>
      <c r="X8" s="11">
        <v>107</v>
      </c>
      <c r="Y8" s="11">
        <v>62</v>
      </c>
      <c r="Z8" s="11">
        <v>157</v>
      </c>
      <c r="AA8" s="11"/>
      <c r="AB8" s="11">
        <v>117</v>
      </c>
      <c r="AC8" s="11">
        <v>117</v>
      </c>
      <c r="AD8" s="11">
        <v>211</v>
      </c>
      <c r="AE8" s="11">
        <v>141</v>
      </c>
      <c r="AF8" s="11"/>
      <c r="AG8" s="11">
        <v>117</v>
      </c>
      <c r="AH8" s="11">
        <v>63</v>
      </c>
      <c r="AI8" s="11"/>
      <c r="AJ8" s="11">
        <v>180</v>
      </c>
      <c r="AK8" s="11">
        <v>185</v>
      </c>
      <c r="AL8" s="11"/>
      <c r="AM8" s="11">
        <v>567</v>
      </c>
      <c r="AN8" s="11">
        <v>311</v>
      </c>
    </row>
    <row r="9" spans="2:40" ht="43.5" x14ac:dyDescent="0.35">
      <c r="B9" s="15" t="s">
        <v>356</v>
      </c>
      <c r="C9" s="14">
        <v>0.181311894838977</v>
      </c>
      <c r="D9" s="14">
        <v>0.19051223845564</v>
      </c>
      <c r="E9" s="14">
        <v>0.17170003922493399</v>
      </c>
      <c r="F9" s="14"/>
      <c r="G9" s="14" t="s">
        <v>76</v>
      </c>
      <c r="H9" s="14" t="s">
        <v>76</v>
      </c>
      <c r="I9" s="14">
        <v>0.181311894838977</v>
      </c>
      <c r="J9" s="14"/>
      <c r="K9" s="14" t="s">
        <v>76</v>
      </c>
      <c r="L9" s="14">
        <v>0.181971138560725</v>
      </c>
      <c r="M9" s="14">
        <v>0.18005818773391299</v>
      </c>
      <c r="N9" s="14"/>
      <c r="O9" s="14">
        <v>0.192154742375863</v>
      </c>
      <c r="P9" s="14">
        <v>9.4535755010829406E-2</v>
      </c>
      <c r="Q9" s="14"/>
      <c r="R9" s="14">
        <v>0.21135966964052599</v>
      </c>
      <c r="S9" s="14">
        <v>0.17547190896302201</v>
      </c>
      <c r="T9" s="14">
        <v>0.20087957948082799</v>
      </c>
      <c r="U9" s="14">
        <v>0.13707283624563399</v>
      </c>
      <c r="V9" s="14">
        <v>0.16083559857312399</v>
      </c>
      <c r="W9" s="14">
        <v>0.202051129161299</v>
      </c>
      <c r="X9" s="14">
        <v>0.17805299921019099</v>
      </c>
      <c r="Y9" s="14">
        <v>0.21512141487295799</v>
      </c>
      <c r="Z9" s="14">
        <v>0.16132656657604499</v>
      </c>
      <c r="AA9" s="14"/>
      <c r="AB9" s="14">
        <v>0.191345037634163</v>
      </c>
      <c r="AC9" s="14">
        <v>0.13992332695050499</v>
      </c>
      <c r="AD9" s="14">
        <v>0.23282125881010199</v>
      </c>
      <c r="AE9" s="14">
        <v>0.11738817967995099</v>
      </c>
      <c r="AF9" s="14"/>
      <c r="AG9" s="14">
        <v>0.102948133929523</v>
      </c>
      <c r="AH9" s="14">
        <v>0.25461304833394</v>
      </c>
      <c r="AI9" s="14"/>
      <c r="AJ9" s="14">
        <v>0.15595501185066399</v>
      </c>
      <c r="AK9" s="14">
        <v>0.22942232693623801</v>
      </c>
      <c r="AL9" s="14"/>
      <c r="AM9" s="14">
        <v>0.13994502347976701</v>
      </c>
      <c r="AN9" s="14">
        <v>0.245641127493442</v>
      </c>
    </row>
    <row r="10" spans="2:40" ht="29" x14ac:dyDescent="0.35">
      <c r="B10" s="15" t="s">
        <v>325</v>
      </c>
      <c r="C10" s="14">
        <v>0.20750093974475201</v>
      </c>
      <c r="D10" s="14">
        <v>0.21914227117111301</v>
      </c>
      <c r="E10" s="14">
        <v>0.194271750950651</v>
      </c>
      <c r="F10" s="14"/>
      <c r="G10" s="14" t="s">
        <v>76</v>
      </c>
      <c r="H10" s="14" t="s">
        <v>76</v>
      </c>
      <c r="I10" s="14">
        <v>0.20750093974475201</v>
      </c>
      <c r="J10" s="14"/>
      <c r="K10" s="14" t="s">
        <v>76</v>
      </c>
      <c r="L10" s="14">
        <v>0.212919397973582</v>
      </c>
      <c r="M10" s="14">
        <v>0.19719646606396199</v>
      </c>
      <c r="N10" s="14"/>
      <c r="O10" s="14">
        <v>0.20064151990693099</v>
      </c>
      <c r="P10" s="14">
        <v>0.26731598842877802</v>
      </c>
      <c r="Q10" s="14"/>
      <c r="R10" s="14">
        <v>0.25618455452988098</v>
      </c>
      <c r="S10" s="14">
        <v>0.19690215431414801</v>
      </c>
      <c r="T10" s="14">
        <v>0.14350811355978499</v>
      </c>
      <c r="U10" s="14">
        <v>0.22796116403712299</v>
      </c>
      <c r="V10" s="14">
        <v>0.200904521574612</v>
      </c>
      <c r="W10" s="14">
        <v>0.15116076794365099</v>
      </c>
      <c r="X10" s="14">
        <v>0.20989148639626501</v>
      </c>
      <c r="Y10" s="14">
        <v>0.20074556429648399</v>
      </c>
      <c r="Z10" s="14">
        <v>0.23585635179227099</v>
      </c>
      <c r="AA10" s="14"/>
      <c r="AB10" s="14">
        <v>0.24645882629141799</v>
      </c>
      <c r="AC10" s="14">
        <v>0.214101680487186</v>
      </c>
      <c r="AD10" s="14">
        <v>0.17755107098742701</v>
      </c>
      <c r="AE10" s="14">
        <v>0.26128790334516899</v>
      </c>
      <c r="AF10" s="14"/>
      <c r="AG10" s="14">
        <v>0.18175144885908701</v>
      </c>
      <c r="AH10" s="14">
        <v>0.16951874440981499</v>
      </c>
      <c r="AI10" s="14"/>
      <c r="AJ10" s="14">
        <v>0.177476119433463</v>
      </c>
      <c r="AK10" s="14">
        <v>0.19685907681752701</v>
      </c>
      <c r="AL10" s="14"/>
      <c r="AM10" s="14">
        <v>0.236823454401908</v>
      </c>
      <c r="AN10" s="14">
        <v>0.169196523547749</v>
      </c>
    </row>
    <row r="11" spans="2:40" ht="29" x14ac:dyDescent="0.35">
      <c r="B11" s="15" t="s">
        <v>324</v>
      </c>
      <c r="C11" s="14">
        <v>7.2504462410366094E-2</v>
      </c>
      <c r="D11" s="14">
        <v>6.57006988905314E-2</v>
      </c>
      <c r="E11" s="14">
        <v>7.93324359494091E-2</v>
      </c>
      <c r="F11" s="14"/>
      <c r="G11" s="14" t="s">
        <v>76</v>
      </c>
      <c r="H11" s="14" t="s">
        <v>76</v>
      </c>
      <c r="I11" s="14">
        <v>7.2504462410366094E-2</v>
      </c>
      <c r="J11" s="14"/>
      <c r="K11" s="14" t="s">
        <v>76</v>
      </c>
      <c r="L11" s="14">
        <v>8.5021799993296704E-2</v>
      </c>
      <c r="M11" s="14">
        <v>4.8699798753357101E-2</v>
      </c>
      <c r="N11" s="14"/>
      <c r="O11" s="14">
        <v>7.0247635887578194E-2</v>
      </c>
      <c r="P11" s="14">
        <v>8.8918560341506095E-2</v>
      </c>
      <c r="Q11" s="14"/>
      <c r="R11" s="14">
        <v>7.2971045667151999E-2</v>
      </c>
      <c r="S11" s="14">
        <v>8.3404636467260998E-2</v>
      </c>
      <c r="T11" s="14">
        <v>5.9904846392239398E-2</v>
      </c>
      <c r="U11" s="14">
        <v>7.7260502645547999E-2</v>
      </c>
      <c r="V11" s="14">
        <v>4.8293963340890998E-2</v>
      </c>
      <c r="W11" s="14">
        <v>7.9337336119301702E-2</v>
      </c>
      <c r="X11" s="14">
        <v>6.9247862324801596E-2</v>
      </c>
      <c r="Y11" s="14">
        <v>8.3602180928991798E-2</v>
      </c>
      <c r="Z11" s="14">
        <v>7.1443290006463406E-2</v>
      </c>
      <c r="AA11" s="14"/>
      <c r="AB11" s="14">
        <v>6.96236668960417E-2</v>
      </c>
      <c r="AC11" s="14">
        <v>0.109231579612404</v>
      </c>
      <c r="AD11" s="14">
        <v>3.9962562095457101E-2</v>
      </c>
      <c r="AE11" s="14">
        <v>2.8507326328151901E-2</v>
      </c>
      <c r="AF11" s="14"/>
      <c r="AG11" s="14">
        <v>5.6510434347236897E-2</v>
      </c>
      <c r="AH11" s="14">
        <v>7.4364761598813306E-2</v>
      </c>
      <c r="AI11" s="14"/>
      <c r="AJ11" s="14">
        <v>6.2750520584089406E-2</v>
      </c>
      <c r="AK11" s="14">
        <v>8.5298059449098306E-3</v>
      </c>
      <c r="AL11" s="14"/>
      <c r="AM11" s="14">
        <v>8.6361918141432806E-2</v>
      </c>
      <c r="AN11" s="14">
        <v>5.4862482923871303E-2</v>
      </c>
    </row>
    <row r="12" spans="2:40" ht="43.5" x14ac:dyDescent="0.35">
      <c r="B12" s="15" t="s">
        <v>357</v>
      </c>
      <c r="C12" s="14">
        <v>0.28464220546798502</v>
      </c>
      <c r="D12" s="14">
        <v>0.24267157458741501</v>
      </c>
      <c r="E12" s="14">
        <v>0.32409613413415</v>
      </c>
      <c r="F12" s="14"/>
      <c r="G12" s="14" t="s">
        <v>76</v>
      </c>
      <c r="H12" s="14" t="s">
        <v>76</v>
      </c>
      <c r="I12" s="14">
        <v>0.28464220546798502</v>
      </c>
      <c r="J12" s="14"/>
      <c r="K12" s="14" t="s">
        <v>76</v>
      </c>
      <c r="L12" s="14">
        <v>0.287529392119873</v>
      </c>
      <c r="M12" s="14">
        <v>0.27915154048369001</v>
      </c>
      <c r="N12" s="14"/>
      <c r="O12" s="14">
        <v>0.288352448782078</v>
      </c>
      <c r="P12" s="14">
        <v>0.27594580414908698</v>
      </c>
      <c r="Q12" s="14"/>
      <c r="R12" s="14">
        <v>0.22586370145558399</v>
      </c>
      <c r="S12" s="14">
        <v>0.26042996681279601</v>
      </c>
      <c r="T12" s="14">
        <v>0.28975908424467101</v>
      </c>
      <c r="U12" s="14">
        <v>0.29132148553098097</v>
      </c>
      <c r="V12" s="14">
        <v>0.31752117865038298</v>
      </c>
      <c r="W12" s="14">
        <v>0.39624580469197701</v>
      </c>
      <c r="X12" s="14">
        <v>0.30113057370365598</v>
      </c>
      <c r="Y12" s="14">
        <v>0.252464058967311</v>
      </c>
      <c r="Z12" s="14">
        <v>0.27525444299402702</v>
      </c>
      <c r="AA12" s="14"/>
      <c r="AB12" s="14">
        <v>0.25325264755020099</v>
      </c>
      <c r="AC12" s="14">
        <v>0.2996621527235</v>
      </c>
      <c r="AD12" s="14">
        <v>0.26359284667888799</v>
      </c>
      <c r="AE12" s="14">
        <v>0.33299989111059097</v>
      </c>
      <c r="AF12" s="14"/>
      <c r="AG12" s="14">
        <v>0.29817504028383801</v>
      </c>
      <c r="AH12" s="14">
        <v>0.28236633622735302</v>
      </c>
      <c r="AI12" s="14"/>
      <c r="AJ12" s="14">
        <v>0.29264989922333501</v>
      </c>
      <c r="AK12" s="14">
        <v>0.29337102765294998</v>
      </c>
      <c r="AL12" s="14"/>
      <c r="AM12" s="14">
        <v>0.26661993780856003</v>
      </c>
      <c r="AN12" s="14">
        <v>0.26534699509535198</v>
      </c>
    </row>
    <row r="13" spans="2:40" ht="43.5" x14ac:dyDescent="0.35">
      <c r="B13" s="15" t="s">
        <v>328</v>
      </c>
      <c r="C13" s="14">
        <v>0.219252068634776</v>
      </c>
      <c r="D13" s="14">
        <v>0.248219139244787</v>
      </c>
      <c r="E13" s="14">
        <v>0.19457540156398501</v>
      </c>
      <c r="F13" s="14"/>
      <c r="G13" s="14" t="s">
        <v>76</v>
      </c>
      <c r="H13" s="14" t="s">
        <v>76</v>
      </c>
      <c r="I13" s="14">
        <v>0.219252068634776</v>
      </c>
      <c r="J13" s="14"/>
      <c r="K13" s="14" t="s">
        <v>76</v>
      </c>
      <c r="L13" s="14">
        <v>0.199303839721507</v>
      </c>
      <c r="M13" s="14">
        <v>0.25718832118746998</v>
      </c>
      <c r="N13" s="14"/>
      <c r="O13" s="14">
        <v>0.21523584077435601</v>
      </c>
      <c r="P13" s="14">
        <v>0.253612276567314</v>
      </c>
      <c r="Q13" s="14"/>
      <c r="R13" s="14">
        <v>0.21788394270410599</v>
      </c>
      <c r="S13" s="14">
        <v>0.244886017701751</v>
      </c>
      <c r="T13" s="14">
        <v>0.25174002726529499</v>
      </c>
      <c r="U13" s="14">
        <v>0.23705067611209199</v>
      </c>
      <c r="V13" s="14">
        <v>0.23969854249571099</v>
      </c>
      <c r="W13" s="14">
        <v>0.13885942992848599</v>
      </c>
      <c r="X13" s="14">
        <v>0.229118454350765</v>
      </c>
      <c r="Y13" s="14">
        <v>0.223418238623841</v>
      </c>
      <c r="Z13" s="14">
        <v>0.19060021827594401</v>
      </c>
      <c r="AA13" s="14"/>
      <c r="AB13" s="14">
        <v>0.19706264226679299</v>
      </c>
      <c r="AC13" s="14">
        <v>0.22011111591101201</v>
      </c>
      <c r="AD13" s="14">
        <v>0.240137995539142</v>
      </c>
      <c r="AE13" s="14">
        <v>0.25981669953613701</v>
      </c>
      <c r="AF13" s="14"/>
      <c r="AG13" s="14">
        <v>0.35363984558139999</v>
      </c>
      <c r="AH13" s="14">
        <v>0.20723936635203799</v>
      </c>
      <c r="AI13" s="14"/>
      <c r="AJ13" s="14">
        <v>0.30247288741852202</v>
      </c>
      <c r="AK13" s="14">
        <v>0.21545642753292099</v>
      </c>
      <c r="AL13" s="14"/>
      <c r="AM13" s="14">
        <v>0.25547184303576498</v>
      </c>
      <c r="AN13" s="14">
        <v>0.186111207561134</v>
      </c>
    </row>
    <row r="14" spans="2:40" x14ac:dyDescent="0.35">
      <c r="B14" s="15" t="s">
        <v>70</v>
      </c>
      <c r="C14" s="20">
        <v>3.4788428903144902E-2</v>
      </c>
      <c r="D14" s="20">
        <v>3.37540776505134E-2</v>
      </c>
      <c r="E14" s="20">
        <v>3.6024238176871802E-2</v>
      </c>
      <c r="F14" s="20"/>
      <c r="G14" s="20" t="s">
        <v>76</v>
      </c>
      <c r="H14" s="20" t="s">
        <v>76</v>
      </c>
      <c r="I14" s="20">
        <v>3.4788428903144902E-2</v>
      </c>
      <c r="J14" s="20"/>
      <c r="K14" s="20" t="s">
        <v>76</v>
      </c>
      <c r="L14" s="20">
        <v>3.32544316310164E-2</v>
      </c>
      <c r="M14" s="20">
        <v>3.7705685777608501E-2</v>
      </c>
      <c r="N14" s="20"/>
      <c r="O14" s="20">
        <v>3.33678122731937E-2</v>
      </c>
      <c r="P14" s="20">
        <v>1.9671615502485501E-2</v>
      </c>
      <c r="Q14" s="20"/>
      <c r="R14" s="20">
        <v>1.57370860027513E-2</v>
      </c>
      <c r="S14" s="20">
        <v>3.89053157410226E-2</v>
      </c>
      <c r="T14" s="20">
        <v>5.4208349057182102E-2</v>
      </c>
      <c r="U14" s="20">
        <v>2.9333335428622199E-2</v>
      </c>
      <c r="V14" s="20">
        <v>3.2746195365280097E-2</v>
      </c>
      <c r="W14" s="20">
        <v>3.2345532155285003E-2</v>
      </c>
      <c r="X14" s="20">
        <v>1.25586240143213E-2</v>
      </c>
      <c r="Y14" s="20">
        <v>2.4648542310414499E-2</v>
      </c>
      <c r="Z14" s="20">
        <v>6.5519130355249505E-2</v>
      </c>
      <c r="AA14" s="20"/>
      <c r="AB14" s="20">
        <v>4.2257179361384199E-2</v>
      </c>
      <c r="AC14" s="20">
        <v>1.6970144315392899E-2</v>
      </c>
      <c r="AD14" s="20">
        <v>4.5934265888983E-2</v>
      </c>
      <c r="AE14" s="20">
        <v>0</v>
      </c>
      <c r="AF14" s="20"/>
      <c r="AG14" s="20">
        <v>6.9750969989137096E-3</v>
      </c>
      <c r="AH14" s="20">
        <v>1.18977430780403E-2</v>
      </c>
      <c r="AI14" s="20"/>
      <c r="AJ14" s="20">
        <v>8.6955614899261804E-3</v>
      </c>
      <c r="AK14" s="20">
        <v>5.6361335115454797E-2</v>
      </c>
      <c r="AL14" s="20"/>
      <c r="AM14" s="20">
        <v>1.47778231325667E-2</v>
      </c>
      <c r="AN14" s="20">
        <v>7.8841663378451401E-2</v>
      </c>
    </row>
    <row r="15" spans="2:40" x14ac:dyDescent="0.35">
      <c r="B15" s="16" t="s">
        <v>74</v>
      </c>
    </row>
    <row r="16" spans="2:40" x14ac:dyDescent="0.35">
      <c r="B16" t="s">
        <v>72</v>
      </c>
    </row>
    <row r="17" spans="2:2" x14ac:dyDescent="0.35">
      <c r="B17" t="s">
        <v>73</v>
      </c>
    </row>
    <row r="19" spans="2:2" x14ac:dyDescent="0.35">
      <c r="B19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dimension ref="B2:AN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359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1216</v>
      </c>
      <c r="D7" s="10">
        <v>613</v>
      </c>
      <c r="E7" s="10">
        <v>598</v>
      </c>
      <c r="F7" s="10"/>
      <c r="G7" s="10" t="s">
        <v>75</v>
      </c>
      <c r="H7" s="10" t="s">
        <v>75</v>
      </c>
      <c r="I7" s="10">
        <v>1216</v>
      </c>
      <c r="J7" s="10"/>
      <c r="K7" s="10" t="s">
        <v>75</v>
      </c>
      <c r="L7" s="10">
        <v>924</v>
      </c>
      <c r="M7" s="10">
        <v>292</v>
      </c>
      <c r="N7" s="10"/>
      <c r="O7" s="10">
        <v>1020</v>
      </c>
      <c r="P7" s="10">
        <v>166</v>
      </c>
      <c r="Q7" s="10"/>
      <c r="R7" s="10">
        <v>177</v>
      </c>
      <c r="S7" s="10">
        <v>216</v>
      </c>
      <c r="T7" s="10">
        <v>97</v>
      </c>
      <c r="U7" s="10">
        <v>116</v>
      </c>
      <c r="V7" s="10">
        <v>104</v>
      </c>
      <c r="W7" s="10">
        <v>152</v>
      </c>
      <c r="X7" s="10">
        <v>76</v>
      </c>
      <c r="Y7" s="10">
        <v>70</v>
      </c>
      <c r="Z7" s="10">
        <v>208</v>
      </c>
      <c r="AA7" s="10"/>
      <c r="AB7" s="10">
        <v>152</v>
      </c>
      <c r="AC7" s="10">
        <v>147</v>
      </c>
      <c r="AD7" s="10">
        <v>152</v>
      </c>
      <c r="AE7" s="10">
        <v>106</v>
      </c>
      <c r="AF7" s="10"/>
      <c r="AG7" s="10">
        <v>95</v>
      </c>
      <c r="AH7" s="10">
        <v>46</v>
      </c>
      <c r="AI7" s="10"/>
      <c r="AJ7" s="10">
        <v>141</v>
      </c>
      <c r="AK7" s="10">
        <v>131</v>
      </c>
      <c r="AL7" s="10"/>
      <c r="AM7" s="10">
        <v>626</v>
      </c>
      <c r="AN7" s="10">
        <v>310</v>
      </c>
    </row>
    <row r="8" spans="2:40" ht="30" customHeight="1" x14ac:dyDescent="0.35">
      <c r="B8" s="11" t="s">
        <v>20</v>
      </c>
      <c r="C8" s="11">
        <v>1136</v>
      </c>
      <c r="D8" s="11">
        <v>540</v>
      </c>
      <c r="E8" s="11">
        <v>591</v>
      </c>
      <c r="F8" s="11"/>
      <c r="G8" s="11" t="s">
        <v>75</v>
      </c>
      <c r="H8" s="11" t="s">
        <v>75</v>
      </c>
      <c r="I8" s="11">
        <v>1136</v>
      </c>
      <c r="J8" s="11"/>
      <c r="K8" s="11" t="s">
        <v>75</v>
      </c>
      <c r="L8" s="11">
        <v>745</v>
      </c>
      <c r="M8" s="11">
        <v>391</v>
      </c>
      <c r="N8" s="11"/>
      <c r="O8" s="11">
        <v>946</v>
      </c>
      <c r="P8" s="11">
        <v>161</v>
      </c>
      <c r="Q8" s="11"/>
      <c r="R8" s="11">
        <v>183</v>
      </c>
      <c r="S8" s="11">
        <v>192</v>
      </c>
      <c r="T8" s="11">
        <v>104</v>
      </c>
      <c r="U8" s="11">
        <v>121</v>
      </c>
      <c r="V8" s="11">
        <v>99</v>
      </c>
      <c r="W8" s="11">
        <v>112</v>
      </c>
      <c r="X8" s="11">
        <v>107</v>
      </c>
      <c r="Y8" s="11">
        <v>62</v>
      </c>
      <c r="Z8" s="11">
        <v>157</v>
      </c>
      <c r="AA8" s="11"/>
      <c r="AB8" s="11">
        <v>117</v>
      </c>
      <c r="AC8" s="11">
        <v>117</v>
      </c>
      <c r="AD8" s="11">
        <v>211</v>
      </c>
      <c r="AE8" s="11">
        <v>141</v>
      </c>
      <c r="AF8" s="11"/>
      <c r="AG8" s="11">
        <v>117</v>
      </c>
      <c r="AH8" s="11">
        <v>63</v>
      </c>
      <c r="AI8" s="11"/>
      <c r="AJ8" s="11">
        <v>180</v>
      </c>
      <c r="AK8" s="11">
        <v>185</v>
      </c>
      <c r="AL8" s="11"/>
      <c r="AM8" s="11">
        <v>567</v>
      </c>
      <c r="AN8" s="11">
        <v>311</v>
      </c>
    </row>
    <row r="9" spans="2:40" x14ac:dyDescent="0.35">
      <c r="B9" s="15" t="s">
        <v>330</v>
      </c>
      <c r="C9" s="14">
        <v>6.7499717387890498E-2</v>
      </c>
      <c r="D9" s="14">
        <v>7.1381947352176303E-2</v>
      </c>
      <c r="E9" s="14">
        <v>6.3135548279376993E-2</v>
      </c>
      <c r="F9" s="14"/>
      <c r="G9" s="14" t="s">
        <v>76</v>
      </c>
      <c r="H9" s="14" t="s">
        <v>76</v>
      </c>
      <c r="I9" s="14">
        <v>6.7499717387890498E-2</v>
      </c>
      <c r="J9" s="14"/>
      <c r="K9" s="14" t="s">
        <v>76</v>
      </c>
      <c r="L9" s="14">
        <v>7.9795513417997205E-2</v>
      </c>
      <c r="M9" s="14">
        <v>4.4116367138472001E-2</v>
      </c>
      <c r="N9" s="14"/>
      <c r="O9" s="14">
        <v>6.14073691105992E-2</v>
      </c>
      <c r="P9" s="14">
        <v>0.110035404716768</v>
      </c>
      <c r="Q9" s="14"/>
      <c r="R9" s="14">
        <v>0.114454198589112</v>
      </c>
      <c r="S9" s="14">
        <v>4.4366800567893501E-2</v>
      </c>
      <c r="T9" s="14">
        <v>2.8340828619443099E-2</v>
      </c>
      <c r="U9" s="14">
        <v>2.31901728086727E-2</v>
      </c>
      <c r="V9" s="14">
        <v>8.40718188950208E-2</v>
      </c>
      <c r="W9" s="14">
        <v>7.4148296842867903E-2</v>
      </c>
      <c r="X9" s="14">
        <v>6.9084269358222802E-2</v>
      </c>
      <c r="Y9" s="14">
        <v>0.112624703033932</v>
      </c>
      <c r="Z9" s="14">
        <v>6.6858319195969296E-2</v>
      </c>
      <c r="AA9" s="14"/>
      <c r="AB9" s="14">
        <v>6.2615448764861498E-2</v>
      </c>
      <c r="AC9" s="14">
        <v>0.129067139408759</v>
      </c>
      <c r="AD9" s="14">
        <v>2.4887888387222501E-2</v>
      </c>
      <c r="AE9" s="14">
        <v>4.5049852832234102E-2</v>
      </c>
      <c r="AF9" s="14"/>
      <c r="AG9" s="14">
        <v>7.04678807942547E-2</v>
      </c>
      <c r="AH9" s="14">
        <v>9.7505374119368805E-3</v>
      </c>
      <c r="AI9" s="14"/>
      <c r="AJ9" s="14">
        <v>4.9247173150689202E-2</v>
      </c>
      <c r="AK9" s="14">
        <v>2.9133252337038999E-2</v>
      </c>
      <c r="AL9" s="14"/>
      <c r="AM9" s="14">
        <v>0.11388704868218</v>
      </c>
      <c r="AN9" s="14">
        <v>2.5290871413578601E-2</v>
      </c>
    </row>
    <row r="10" spans="2:40" x14ac:dyDescent="0.35">
      <c r="B10" s="15" t="s">
        <v>331</v>
      </c>
      <c r="C10" s="14">
        <v>0.41472294128249398</v>
      </c>
      <c r="D10" s="14">
        <v>0.452025813462892</v>
      </c>
      <c r="E10" s="14">
        <v>0.38111525974882599</v>
      </c>
      <c r="F10" s="14"/>
      <c r="G10" s="14" t="s">
        <v>76</v>
      </c>
      <c r="H10" s="14" t="s">
        <v>76</v>
      </c>
      <c r="I10" s="14">
        <v>0.41472294128249398</v>
      </c>
      <c r="J10" s="14"/>
      <c r="K10" s="14" t="s">
        <v>76</v>
      </c>
      <c r="L10" s="14">
        <v>0.40969093042786198</v>
      </c>
      <c r="M10" s="14">
        <v>0.42429249432197402</v>
      </c>
      <c r="N10" s="14"/>
      <c r="O10" s="14">
        <v>0.39542560712693198</v>
      </c>
      <c r="P10" s="14">
        <v>0.56204390417791905</v>
      </c>
      <c r="Q10" s="14"/>
      <c r="R10" s="14">
        <v>0.50962017335849297</v>
      </c>
      <c r="S10" s="14">
        <v>0.42518154810334202</v>
      </c>
      <c r="T10" s="14">
        <v>0.41686796174228502</v>
      </c>
      <c r="U10" s="14">
        <v>0.414645171710466</v>
      </c>
      <c r="V10" s="14">
        <v>0.25226808151845098</v>
      </c>
      <c r="W10" s="14">
        <v>0.45314802991105302</v>
      </c>
      <c r="X10" s="14">
        <v>0.396593169909296</v>
      </c>
      <c r="Y10" s="14">
        <v>0.31831079736679402</v>
      </c>
      <c r="Z10" s="14">
        <v>0.41526689976176001</v>
      </c>
      <c r="AA10" s="14"/>
      <c r="AB10" s="14">
        <v>0.388300435199667</v>
      </c>
      <c r="AC10" s="14">
        <v>0.56091106370499599</v>
      </c>
      <c r="AD10" s="14">
        <v>0.363061731757642</v>
      </c>
      <c r="AE10" s="14">
        <v>0.56515744465540096</v>
      </c>
      <c r="AF10" s="14"/>
      <c r="AG10" s="14">
        <v>0.56491562152167296</v>
      </c>
      <c r="AH10" s="14">
        <v>0.31441345589627301</v>
      </c>
      <c r="AI10" s="14"/>
      <c r="AJ10" s="14">
        <v>0.477365130596131</v>
      </c>
      <c r="AK10" s="14">
        <v>0.39439878622529401</v>
      </c>
      <c r="AL10" s="14"/>
      <c r="AM10" s="14">
        <v>0.53057559511077701</v>
      </c>
      <c r="AN10" s="14">
        <v>0.226236309496648</v>
      </c>
    </row>
    <row r="11" spans="2:40" x14ac:dyDescent="0.35">
      <c r="B11" s="15" t="s">
        <v>332</v>
      </c>
      <c r="C11" s="14">
        <v>0.31014801111453899</v>
      </c>
      <c r="D11" s="14">
        <v>0.29996551539433602</v>
      </c>
      <c r="E11" s="14">
        <v>0.32073200847035599</v>
      </c>
      <c r="F11" s="14"/>
      <c r="G11" s="14" t="s">
        <v>76</v>
      </c>
      <c r="H11" s="14" t="s">
        <v>76</v>
      </c>
      <c r="I11" s="14">
        <v>0.31014801111453899</v>
      </c>
      <c r="J11" s="14"/>
      <c r="K11" s="14" t="s">
        <v>76</v>
      </c>
      <c r="L11" s="14">
        <v>0.31755374974748701</v>
      </c>
      <c r="M11" s="14">
        <v>0.29606425599320502</v>
      </c>
      <c r="N11" s="14"/>
      <c r="O11" s="14">
        <v>0.32548012359242701</v>
      </c>
      <c r="P11" s="14">
        <v>0.22616680694459601</v>
      </c>
      <c r="Q11" s="14"/>
      <c r="R11" s="14">
        <v>0.24805248901753599</v>
      </c>
      <c r="S11" s="14">
        <v>0.274353433365913</v>
      </c>
      <c r="T11" s="14">
        <v>0.264893179879506</v>
      </c>
      <c r="U11" s="14">
        <v>0.35472239263077099</v>
      </c>
      <c r="V11" s="14">
        <v>0.40029136484625299</v>
      </c>
      <c r="W11" s="14">
        <v>0.308367204815858</v>
      </c>
      <c r="X11" s="14">
        <v>0.38987031779753301</v>
      </c>
      <c r="Y11" s="14">
        <v>0.36746448726585801</v>
      </c>
      <c r="Z11" s="14">
        <v>0.28951485019700302</v>
      </c>
      <c r="AA11" s="14"/>
      <c r="AB11" s="14">
        <v>0.33671587257032498</v>
      </c>
      <c r="AC11" s="14">
        <v>0.230217346720307</v>
      </c>
      <c r="AD11" s="14">
        <v>0.30813023852819998</v>
      </c>
      <c r="AE11" s="14">
        <v>0.29334549354069001</v>
      </c>
      <c r="AF11" s="14"/>
      <c r="AG11" s="14">
        <v>0.244451442891956</v>
      </c>
      <c r="AH11" s="14">
        <v>0.30626527529338698</v>
      </c>
      <c r="AI11" s="14"/>
      <c r="AJ11" s="14">
        <v>0.26605537337784002</v>
      </c>
      <c r="AK11" s="14">
        <v>0.34038617258283499</v>
      </c>
      <c r="AL11" s="14"/>
      <c r="AM11" s="14">
        <v>0.27935552048571599</v>
      </c>
      <c r="AN11" s="14">
        <v>0.30188390404573301</v>
      </c>
    </row>
    <row r="12" spans="2:40" x14ac:dyDescent="0.35">
      <c r="B12" s="15" t="s">
        <v>333</v>
      </c>
      <c r="C12" s="14">
        <v>0.11909388450771</v>
      </c>
      <c r="D12" s="14">
        <v>0.10291914396697301</v>
      </c>
      <c r="E12" s="14">
        <v>0.13341693050602199</v>
      </c>
      <c r="F12" s="14"/>
      <c r="G12" s="14" t="s">
        <v>76</v>
      </c>
      <c r="H12" s="14" t="s">
        <v>76</v>
      </c>
      <c r="I12" s="14">
        <v>0.11909388450771</v>
      </c>
      <c r="J12" s="14"/>
      <c r="K12" s="14" t="s">
        <v>76</v>
      </c>
      <c r="L12" s="14">
        <v>0.11096078633034399</v>
      </c>
      <c r="M12" s="14">
        <v>0.13456088500353799</v>
      </c>
      <c r="N12" s="14"/>
      <c r="O12" s="14">
        <v>0.12342432058856501</v>
      </c>
      <c r="P12" s="14">
        <v>5.39255184480147E-2</v>
      </c>
      <c r="Q12" s="14"/>
      <c r="R12" s="14">
        <v>6.6442615934734897E-2</v>
      </c>
      <c r="S12" s="14">
        <v>0.14213015444013799</v>
      </c>
      <c r="T12" s="14">
        <v>0.15236296852610101</v>
      </c>
      <c r="U12" s="14">
        <v>0.144154049921738</v>
      </c>
      <c r="V12" s="14">
        <v>0.174895621525606</v>
      </c>
      <c r="W12" s="14">
        <v>8.5903496761349493E-2</v>
      </c>
      <c r="X12" s="14">
        <v>4.4127056684182903E-2</v>
      </c>
      <c r="Y12" s="14">
        <v>0.13439753645767799</v>
      </c>
      <c r="Z12" s="14">
        <v>0.14463993096923999</v>
      </c>
      <c r="AA12" s="14"/>
      <c r="AB12" s="14">
        <v>0.154773853792493</v>
      </c>
      <c r="AC12" s="14">
        <v>5.3787726022676799E-2</v>
      </c>
      <c r="AD12" s="14">
        <v>0.167874062347729</v>
      </c>
      <c r="AE12" s="14">
        <v>6.4775149188952996E-2</v>
      </c>
      <c r="AF12" s="14"/>
      <c r="AG12" s="14">
        <v>9.1022709485654593E-2</v>
      </c>
      <c r="AH12" s="14">
        <v>0.149681920507968</v>
      </c>
      <c r="AI12" s="14"/>
      <c r="AJ12" s="14">
        <v>0.11152410000053101</v>
      </c>
      <c r="AK12" s="14">
        <v>0.138923808994556</v>
      </c>
      <c r="AL12" s="14"/>
      <c r="AM12" s="14">
        <v>5.4294207248848703E-2</v>
      </c>
      <c r="AN12" s="14">
        <v>0.24336938340961201</v>
      </c>
    </row>
    <row r="13" spans="2:40" x14ac:dyDescent="0.35">
      <c r="B13" s="15" t="s">
        <v>70</v>
      </c>
      <c r="C13" s="20">
        <v>8.85354457073666E-2</v>
      </c>
      <c r="D13" s="20">
        <v>7.3707579823622804E-2</v>
      </c>
      <c r="E13" s="20">
        <v>0.101600252995418</v>
      </c>
      <c r="F13" s="20"/>
      <c r="G13" s="20" t="s">
        <v>76</v>
      </c>
      <c r="H13" s="20" t="s">
        <v>76</v>
      </c>
      <c r="I13" s="20">
        <v>8.85354457073666E-2</v>
      </c>
      <c r="J13" s="20"/>
      <c r="K13" s="20" t="s">
        <v>76</v>
      </c>
      <c r="L13" s="20">
        <v>8.1999020076309603E-2</v>
      </c>
      <c r="M13" s="20">
        <v>0.10096599754280999</v>
      </c>
      <c r="N13" s="20"/>
      <c r="O13" s="20">
        <v>9.4262579581476297E-2</v>
      </c>
      <c r="P13" s="20">
        <v>4.7828365712702402E-2</v>
      </c>
      <c r="Q13" s="20"/>
      <c r="R13" s="20">
        <v>6.1430523100124097E-2</v>
      </c>
      <c r="S13" s="20">
        <v>0.11396806352271301</v>
      </c>
      <c r="T13" s="20">
        <v>0.13753506123266401</v>
      </c>
      <c r="U13" s="20">
        <v>6.3288212928352405E-2</v>
      </c>
      <c r="V13" s="20">
        <v>8.8473113214669205E-2</v>
      </c>
      <c r="W13" s="20">
        <v>7.8432971668871795E-2</v>
      </c>
      <c r="X13" s="20">
        <v>0.100325186250765</v>
      </c>
      <c r="Y13" s="20">
        <v>6.7202475875737105E-2</v>
      </c>
      <c r="Z13" s="20">
        <v>8.3719999876028198E-2</v>
      </c>
      <c r="AA13" s="20"/>
      <c r="AB13" s="20">
        <v>5.7594389672653797E-2</v>
      </c>
      <c r="AC13" s="20">
        <v>2.60167241432613E-2</v>
      </c>
      <c r="AD13" s="20">
        <v>0.13604607897920701</v>
      </c>
      <c r="AE13" s="20">
        <v>3.1672059782721598E-2</v>
      </c>
      <c r="AF13" s="20"/>
      <c r="AG13" s="20">
        <v>2.9142345306461499E-2</v>
      </c>
      <c r="AH13" s="20">
        <v>0.21988881089043499</v>
      </c>
      <c r="AI13" s="20"/>
      <c r="AJ13" s="20">
        <v>9.5808222874809307E-2</v>
      </c>
      <c r="AK13" s="20">
        <v>9.7157979860275606E-2</v>
      </c>
      <c r="AL13" s="20"/>
      <c r="AM13" s="20">
        <v>2.18876284724779E-2</v>
      </c>
      <c r="AN13" s="20">
        <v>0.20321953163442699</v>
      </c>
    </row>
    <row r="14" spans="2:40" x14ac:dyDescent="0.35">
      <c r="B14" s="16" t="s">
        <v>74</v>
      </c>
    </row>
    <row r="15" spans="2:40" x14ac:dyDescent="0.35">
      <c r="B15" t="s">
        <v>72</v>
      </c>
    </row>
    <row r="16" spans="2:40" x14ac:dyDescent="0.35">
      <c r="B16" t="s">
        <v>73</v>
      </c>
    </row>
    <row r="18" spans="2:2" x14ac:dyDescent="0.35">
      <c r="B18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dimension ref="B2:AN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335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1216</v>
      </c>
      <c r="D7" s="10">
        <v>613</v>
      </c>
      <c r="E7" s="10">
        <v>598</v>
      </c>
      <c r="F7" s="10"/>
      <c r="G7" s="10" t="s">
        <v>75</v>
      </c>
      <c r="H7" s="10" t="s">
        <v>75</v>
      </c>
      <c r="I7" s="10">
        <v>1216</v>
      </c>
      <c r="J7" s="10"/>
      <c r="K7" s="10" t="s">
        <v>75</v>
      </c>
      <c r="L7" s="10">
        <v>924</v>
      </c>
      <c r="M7" s="10">
        <v>292</v>
      </c>
      <c r="N7" s="10"/>
      <c r="O7" s="10">
        <v>1020</v>
      </c>
      <c r="P7" s="10">
        <v>166</v>
      </c>
      <c r="Q7" s="10"/>
      <c r="R7" s="10">
        <v>177</v>
      </c>
      <c r="S7" s="10">
        <v>216</v>
      </c>
      <c r="T7" s="10">
        <v>97</v>
      </c>
      <c r="U7" s="10">
        <v>116</v>
      </c>
      <c r="V7" s="10">
        <v>104</v>
      </c>
      <c r="W7" s="10">
        <v>152</v>
      </c>
      <c r="X7" s="10">
        <v>76</v>
      </c>
      <c r="Y7" s="10">
        <v>70</v>
      </c>
      <c r="Z7" s="10">
        <v>208</v>
      </c>
      <c r="AA7" s="10"/>
      <c r="AB7" s="10">
        <v>152</v>
      </c>
      <c r="AC7" s="10">
        <v>147</v>
      </c>
      <c r="AD7" s="10">
        <v>152</v>
      </c>
      <c r="AE7" s="10">
        <v>106</v>
      </c>
      <c r="AF7" s="10"/>
      <c r="AG7" s="10">
        <v>95</v>
      </c>
      <c r="AH7" s="10">
        <v>46</v>
      </c>
      <c r="AI7" s="10"/>
      <c r="AJ7" s="10">
        <v>141</v>
      </c>
      <c r="AK7" s="10">
        <v>131</v>
      </c>
      <c r="AL7" s="10"/>
      <c r="AM7" s="10">
        <v>626</v>
      </c>
      <c r="AN7" s="10">
        <v>310</v>
      </c>
    </row>
    <row r="8" spans="2:40" ht="30" customHeight="1" x14ac:dyDescent="0.35">
      <c r="B8" s="11" t="s">
        <v>20</v>
      </c>
      <c r="C8" s="11">
        <v>1136</v>
      </c>
      <c r="D8" s="11">
        <v>540</v>
      </c>
      <c r="E8" s="11">
        <v>591</v>
      </c>
      <c r="F8" s="11"/>
      <c r="G8" s="11" t="s">
        <v>75</v>
      </c>
      <c r="H8" s="11" t="s">
        <v>75</v>
      </c>
      <c r="I8" s="11">
        <v>1136</v>
      </c>
      <c r="J8" s="11"/>
      <c r="K8" s="11" t="s">
        <v>75</v>
      </c>
      <c r="L8" s="11">
        <v>745</v>
      </c>
      <c r="M8" s="11">
        <v>391</v>
      </c>
      <c r="N8" s="11"/>
      <c r="O8" s="11">
        <v>946</v>
      </c>
      <c r="P8" s="11">
        <v>161</v>
      </c>
      <c r="Q8" s="11"/>
      <c r="R8" s="11">
        <v>183</v>
      </c>
      <c r="S8" s="11">
        <v>192</v>
      </c>
      <c r="T8" s="11">
        <v>104</v>
      </c>
      <c r="U8" s="11">
        <v>121</v>
      </c>
      <c r="V8" s="11">
        <v>99</v>
      </c>
      <c r="W8" s="11">
        <v>112</v>
      </c>
      <c r="X8" s="11">
        <v>107</v>
      </c>
      <c r="Y8" s="11">
        <v>62</v>
      </c>
      <c r="Z8" s="11">
        <v>157</v>
      </c>
      <c r="AA8" s="11"/>
      <c r="AB8" s="11">
        <v>117</v>
      </c>
      <c r="AC8" s="11">
        <v>117</v>
      </c>
      <c r="AD8" s="11">
        <v>211</v>
      </c>
      <c r="AE8" s="11">
        <v>141</v>
      </c>
      <c r="AF8" s="11"/>
      <c r="AG8" s="11">
        <v>117</v>
      </c>
      <c r="AH8" s="11">
        <v>63</v>
      </c>
      <c r="AI8" s="11"/>
      <c r="AJ8" s="11">
        <v>180</v>
      </c>
      <c r="AK8" s="11">
        <v>185</v>
      </c>
      <c r="AL8" s="11"/>
      <c r="AM8" s="11">
        <v>567</v>
      </c>
      <c r="AN8" s="11">
        <v>311</v>
      </c>
    </row>
    <row r="9" spans="2:40" x14ac:dyDescent="0.35">
      <c r="B9" s="15" t="s">
        <v>330</v>
      </c>
      <c r="C9" s="14">
        <v>0.124024426560723</v>
      </c>
      <c r="D9" s="14">
        <v>0.136841151574322</v>
      </c>
      <c r="E9" s="14">
        <v>0.113330839347298</v>
      </c>
      <c r="F9" s="14"/>
      <c r="G9" s="14" t="s">
        <v>76</v>
      </c>
      <c r="H9" s="14" t="s">
        <v>76</v>
      </c>
      <c r="I9" s="14">
        <v>0.124024426560723</v>
      </c>
      <c r="J9" s="14"/>
      <c r="K9" s="14" t="s">
        <v>76</v>
      </c>
      <c r="L9" s="14">
        <v>0.128937421947452</v>
      </c>
      <c r="M9" s="14">
        <v>0.11468120944648499</v>
      </c>
      <c r="N9" s="14"/>
      <c r="O9" s="14">
        <v>0.117236248629412</v>
      </c>
      <c r="P9" s="14">
        <v>0.16906738960967799</v>
      </c>
      <c r="Q9" s="14"/>
      <c r="R9" s="14">
        <v>0.21079884653860501</v>
      </c>
      <c r="S9" s="14">
        <v>0.110729162339386</v>
      </c>
      <c r="T9" s="14">
        <v>0.13810047019805699</v>
      </c>
      <c r="U9" s="14">
        <v>7.5822030638878005E-2</v>
      </c>
      <c r="V9" s="14">
        <v>6.7949931679665898E-2</v>
      </c>
      <c r="W9" s="14">
        <v>0.12512610070928401</v>
      </c>
      <c r="X9" s="14">
        <v>7.9034551212846305E-2</v>
      </c>
      <c r="Y9" s="14">
        <v>0.12619397886973799</v>
      </c>
      <c r="Z9" s="14">
        <v>0.13116085320176199</v>
      </c>
      <c r="AA9" s="14"/>
      <c r="AB9" s="14">
        <v>0.11332853854211999</v>
      </c>
      <c r="AC9" s="14">
        <v>0.18186365623093101</v>
      </c>
      <c r="AD9" s="14">
        <v>7.0581992223041207E-2</v>
      </c>
      <c r="AE9" s="14">
        <v>0.14742974389479199</v>
      </c>
      <c r="AF9" s="14"/>
      <c r="AG9" s="14">
        <v>0.20011589331486199</v>
      </c>
      <c r="AH9" s="14">
        <v>4.5138734928948099E-2</v>
      </c>
      <c r="AI9" s="14"/>
      <c r="AJ9" s="14">
        <v>0.14595138633322499</v>
      </c>
      <c r="AK9" s="14">
        <v>7.3291645084364407E-2</v>
      </c>
      <c r="AL9" s="14"/>
      <c r="AM9" s="14">
        <v>0.17112202260279299</v>
      </c>
      <c r="AN9" s="14">
        <v>5.1889449970262798E-2</v>
      </c>
    </row>
    <row r="10" spans="2:40" x14ac:dyDescent="0.35">
      <c r="B10" s="15" t="s">
        <v>331</v>
      </c>
      <c r="C10" s="14">
        <v>0.42610649462593803</v>
      </c>
      <c r="D10" s="14">
        <v>0.43637319446566097</v>
      </c>
      <c r="E10" s="14">
        <v>0.41888562734190199</v>
      </c>
      <c r="F10" s="14"/>
      <c r="G10" s="14" t="s">
        <v>76</v>
      </c>
      <c r="H10" s="14" t="s">
        <v>76</v>
      </c>
      <c r="I10" s="14">
        <v>0.42610649462593803</v>
      </c>
      <c r="J10" s="14"/>
      <c r="K10" s="14" t="s">
        <v>76</v>
      </c>
      <c r="L10" s="14">
        <v>0.433288585118349</v>
      </c>
      <c r="M10" s="14">
        <v>0.412448059084567</v>
      </c>
      <c r="N10" s="14"/>
      <c r="O10" s="14">
        <v>0.429338726886136</v>
      </c>
      <c r="P10" s="14">
        <v>0.42200989077921103</v>
      </c>
      <c r="Q10" s="14"/>
      <c r="R10" s="14">
        <v>0.40058737694845098</v>
      </c>
      <c r="S10" s="14">
        <v>0.428870645648532</v>
      </c>
      <c r="T10" s="14">
        <v>0.491248982467483</v>
      </c>
      <c r="U10" s="14">
        <v>0.41004011569851201</v>
      </c>
      <c r="V10" s="14">
        <v>0.41136760218881602</v>
      </c>
      <c r="W10" s="14">
        <v>0.46406837696797698</v>
      </c>
      <c r="X10" s="14">
        <v>0.39330532353511299</v>
      </c>
      <c r="Y10" s="14">
        <v>0.38096879773236098</v>
      </c>
      <c r="Z10" s="14">
        <v>0.44411158440681098</v>
      </c>
      <c r="AA10" s="14"/>
      <c r="AB10" s="14">
        <v>0.44850591620228603</v>
      </c>
      <c r="AC10" s="14">
        <v>0.44050870129561398</v>
      </c>
      <c r="AD10" s="14">
        <v>0.41327398225402501</v>
      </c>
      <c r="AE10" s="14">
        <v>0.40688150842159998</v>
      </c>
      <c r="AF10" s="14"/>
      <c r="AG10" s="14">
        <v>0.37112737514637301</v>
      </c>
      <c r="AH10" s="14">
        <v>0.54445205366721805</v>
      </c>
      <c r="AI10" s="14"/>
      <c r="AJ10" s="14">
        <v>0.43170433924617202</v>
      </c>
      <c r="AK10" s="14">
        <v>0.40188394383709702</v>
      </c>
      <c r="AL10" s="14"/>
      <c r="AM10" s="14">
        <v>0.45994994998364802</v>
      </c>
      <c r="AN10" s="14">
        <v>0.38977300768616502</v>
      </c>
    </row>
    <row r="11" spans="2:40" x14ac:dyDescent="0.35">
      <c r="B11" s="15" t="s">
        <v>332</v>
      </c>
      <c r="C11" s="14">
        <v>0.26288379647390198</v>
      </c>
      <c r="D11" s="14">
        <v>0.23409826773758699</v>
      </c>
      <c r="E11" s="14">
        <v>0.29140667208665799</v>
      </c>
      <c r="F11" s="14"/>
      <c r="G11" s="14" t="s">
        <v>76</v>
      </c>
      <c r="H11" s="14" t="s">
        <v>76</v>
      </c>
      <c r="I11" s="14">
        <v>0.26288379647390198</v>
      </c>
      <c r="J11" s="14"/>
      <c r="K11" s="14" t="s">
        <v>76</v>
      </c>
      <c r="L11" s="14">
        <v>0.231559371737004</v>
      </c>
      <c r="M11" s="14">
        <v>0.32245456303435399</v>
      </c>
      <c r="N11" s="14"/>
      <c r="O11" s="14">
        <v>0.26890979118989899</v>
      </c>
      <c r="P11" s="14">
        <v>0.220548810908055</v>
      </c>
      <c r="Q11" s="14"/>
      <c r="R11" s="14">
        <v>0.23395762793382899</v>
      </c>
      <c r="S11" s="14">
        <v>0.24944053380765499</v>
      </c>
      <c r="T11" s="14">
        <v>0.229505015868427</v>
      </c>
      <c r="U11" s="14">
        <v>0.33281660383822198</v>
      </c>
      <c r="V11" s="14">
        <v>0.28504140734432198</v>
      </c>
      <c r="W11" s="14">
        <v>0.23002032265017899</v>
      </c>
      <c r="X11" s="14">
        <v>0.346188865017935</v>
      </c>
      <c r="Y11" s="14">
        <v>0.28010754648811398</v>
      </c>
      <c r="Z11" s="14">
        <v>0.22737071663004499</v>
      </c>
      <c r="AA11" s="14"/>
      <c r="AB11" s="14">
        <v>0.28711273797956799</v>
      </c>
      <c r="AC11" s="14">
        <v>0.14879455048169499</v>
      </c>
      <c r="AD11" s="14">
        <v>0.40700291806024302</v>
      </c>
      <c r="AE11" s="14">
        <v>0.23057046335060999</v>
      </c>
      <c r="AF11" s="14"/>
      <c r="AG11" s="14">
        <v>0.28768954406504299</v>
      </c>
      <c r="AH11" s="14">
        <v>0.34041566471465101</v>
      </c>
      <c r="AI11" s="14"/>
      <c r="AJ11" s="14">
        <v>0.30611731987267998</v>
      </c>
      <c r="AK11" s="14">
        <v>0.33449927006204</v>
      </c>
      <c r="AL11" s="14"/>
      <c r="AM11" s="14">
        <v>0.169404831012195</v>
      </c>
      <c r="AN11" s="14">
        <v>0.40889679833781201</v>
      </c>
    </row>
    <row r="12" spans="2:40" x14ac:dyDescent="0.35">
      <c r="B12" s="15" t="s">
        <v>333</v>
      </c>
      <c r="C12" s="14">
        <v>8.04242159459055E-2</v>
      </c>
      <c r="D12" s="14">
        <v>8.0272530893687397E-2</v>
      </c>
      <c r="E12" s="14">
        <v>7.8528723659668107E-2</v>
      </c>
      <c r="F12" s="14"/>
      <c r="G12" s="14" t="s">
        <v>76</v>
      </c>
      <c r="H12" s="14" t="s">
        <v>76</v>
      </c>
      <c r="I12" s="14">
        <v>8.04242159459055E-2</v>
      </c>
      <c r="J12" s="14"/>
      <c r="K12" s="14" t="s">
        <v>76</v>
      </c>
      <c r="L12" s="14">
        <v>9.6894092576455607E-2</v>
      </c>
      <c r="M12" s="14">
        <v>4.9102868968948402E-2</v>
      </c>
      <c r="N12" s="14"/>
      <c r="O12" s="14">
        <v>7.8959565491209194E-2</v>
      </c>
      <c r="P12" s="14">
        <v>6.6727882923980505E-2</v>
      </c>
      <c r="Q12" s="14"/>
      <c r="R12" s="14">
        <v>6.1151160332676702E-2</v>
      </c>
      <c r="S12" s="14">
        <v>7.1630235225483299E-2</v>
      </c>
      <c r="T12" s="14">
        <v>4.9760467908465E-2</v>
      </c>
      <c r="U12" s="14">
        <v>6.7613098904850802E-2</v>
      </c>
      <c r="V12" s="14">
        <v>9.9357300488106898E-2</v>
      </c>
      <c r="W12" s="14">
        <v>9.9461735996216494E-2</v>
      </c>
      <c r="X12" s="14">
        <v>0.11023269921206801</v>
      </c>
      <c r="Y12" s="14">
        <v>0.100777733057001</v>
      </c>
      <c r="Z12" s="14">
        <v>8.9867158811679407E-2</v>
      </c>
      <c r="AA12" s="14"/>
      <c r="AB12" s="14">
        <v>0.103238947314478</v>
      </c>
      <c r="AC12" s="14">
        <v>0.113824707135463</v>
      </c>
      <c r="AD12" s="14">
        <v>3.6001345382914801E-2</v>
      </c>
      <c r="AE12" s="14">
        <v>5.7349869940940802E-2</v>
      </c>
      <c r="AF12" s="14"/>
      <c r="AG12" s="14">
        <v>6.7796508430597605E-2</v>
      </c>
      <c r="AH12" s="14">
        <v>3.3585924171550402E-2</v>
      </c>
      <c r="AI12" s="14"/>
      <c r="AJ12" s="14">
        <v>5.5839911411759299E-2</v>
      </c>
      <c r="AK12" s="14">
        <v>4.5557738394531901E-2</v>
      </c>
      <c r="AL12" s="14"/>
      <c r="AM12" s="14">
        <v>7.0264865965987494E-2</v>
      </c>
      <c r="AN12" s="14">
        <v>9.54205719513712E-2</v>
      </c>
    </row>
    <row r="13" spans="2:40" x14ac:dyDescent="0.35">
      <c r="B13" s="15" t="s">
        <v>70</v>
      </c>
      <c r="C13" s="20">
        <v>0.10656106639353199</v>
      </c>
      <c r="D13" s="20">
        <v>0.112414855328742</v>
      </c>
      <c r="E13" s="20">
        <v>9.7848137564473206E-2</v>
      </c>
      <c r="F13" s="20"/>
      <c r="G13" s="20" t="s">
        <v>76</v>
      </c>
      <c r="H13" s="20" t="s">
        <v>76</v>
      </c>
      <c r="I13" s="20">
        <v>0.10656106639353199</v>
      </c>
      <c r="J13" s="20"/>
      <c r="K13" s="20" t="s">
        <v>76</v>
      </c>
      <c r="L13" s="20">
        <v>0.10932052862074</v>
      </c>
      <c r="M13" s="20">
        <v>0.101313299465646</v>
      </c>
      <c r="N13" s="20"/>
      <c r="O13" s="20">
        <v>0.10555566780334399</v>
      </c>
      <c r="P13" s="20">
        <v>0.121646025779076</v>
      </c>
      <c r="Q13" s="20"/>
      <c r="R13" s="20">
        <v>9.3504988246437507E-2</v>
      </c>
      <c r="S13" s="20">
        <v>0.13932942297894399</v>
      </c>
      <c r="T13" s="20">
        <v>9.1385063557567994E-2</v>
      </c>
      <c r="U13" s="20">
        <v>0.113708150919538</v>
      </c>
      <c r="V13" s="20">
        <v>0.13628375829908901</v>
      </c>
      <c r="W13" s="20">
        <v>8.1323463676343896E-2</v>
      </c>
      <c r="X13" s="20">
        <v>7.1238561022037405E-2</v>
      </c>
      <c r="Y13" s="20">
        <v>0.11195194385278601</v>
      </c>
      <c r="Z13" s="20">
        <v>0.107489686949703</v>
      </c>
      <c r="AA13" s="20"/>
      <c r="AB13" s="20">
        <v>4.78138599615478E-2</v>
      </c>
      <c r="AC13" s="20">
        <v>0.115008384856298</v>
      </c>
      <c r="AD13" s="20">
        <v>7.3139762079776002E-2</v>
      </c>
      <c r="AE13" s="20">
        <v>0.15776841439205799</v>
      </c>
      <c r="AF13" s="20"/>
      <c r="AG13" s="20">
        <v>7.3270679043124606E-2</v>
      </c>
      <c r="AH13" s="20">
        <v>3.6407622517632701E-2</v>
      </c>
      <c r="AI13" s="20"/>
      <c r="AJ13" s="20">
        <v>6.0387043136163901E-2</v>
      </c>
      <c r="AK13" s="20">
        <v>0.144767402621967</v>
      </c>
      <c r="AL13" s="20"/>
      <c r="AM13" s="20">
        <v>0.12925833043537699</v>
      </c>
      <c r="AN13" s="20">
        <v>5.4020172054389401E-2</v>
      </c>
    </row>
    <row r="14" spans="2:40" x14ac:dyDescent="0.35">
      <c r="B14" s="16" t="s">
        <v>74</v>
      </c>
    </row>
    <row r="15" spans="2:40" x14ac:dyDescent="0.35">
      <c r="B15" t="s">
        <v>72</v>
      </c>
    </row>
    <row r="16" spans="2:40" x14ac:dyDescent="0.35">
      <c r="B16" t="s">
        <v>73</v>
      </c>
    </row>
    <row r="18" spans="2:2" x14ac:dyDescent="0.35">
      <c r="B18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dimension ref="B2:AN17"/>
  <sheetViews>
    <sheetView showGridLines="0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363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537</v>
      </c>
      <c r="D7" s="10">
        <v>277</v>
      </c>
      <c r="E7" s="10">
        <v>259</v>
      </c>
      <c r="F7" s="10"/>
      <c r="G7" s="10" t="s">
        <v>75</v>
      </c>
      <c r="H7" s="10" t="s">
        <v>75</v>
      </c>
      <c r="I7" s="10">
        <v>537</v>
      </c>
      <c r="J7" s="10"/>
      <c r="K7" s="10" t="s">
        <v>75</v>
      </c>
      <c r="L7" s="10">
        <v>537</v>
      </c>
      <c r="M7" s="10" t="s">
        <v>75</v>
      </c>
      <c r="N7" s="10"/>
      <c r="O7" s="10">
        <v>454</v>
      </c>
      <c r="P7" s="10">
        <v>66</v>
      </c>
      <c r="Q7" s="10"/>
      <c r="R7" s="10">
        <v>68</v>
      </c>
      <c r="S7" s="10">
        <v>98</v>
      </c>
      <c r="T7" s="10">
        <v>47</v>
      </c>
      <c r="U7" s="10">
        <v>50</v>
      </c>
      <c r="V7" s="10">
        <v>46</v>
      </c>
      <c r="W7" s="10">
        <v>63</v>
      </c>
      <c r="X7" s="10">
        <v>35</v>
      </c>
      <c r="Y7" s="10">
        <v>38</v>
      </c>
      <c r="Z7" s="10">
        <v>92</v>
      </c>
      <c r="AA7" s="10"/>
      <c r="AB7" s="10" t="s">
        <v>75</v>
      </c>
      <c r="AC7" s="10" t="s">
        <v>75</v>
      </c>
      <c r="AD7" s="10" t="s">
        <v>75</v>
      </c>
      <c r="AE7" s="10" t="s">
        <v>75</v>
      </c>
      <c r="AF7" s="10"/>
      <c r="AG7" s="10" t="s">
        <v>75</v>
      </c>
      <c r="AH7" s="10" t="s">
        <v>75</v>
      </c>
      <c r="AI7" s="10"/>
      <c r="AJ7" s="10" t="s">
        <v>75</v>
      </c>
      <c r="AK7" s="10" t="s">
        <v>75</v>
      </c>
      <c r="AL7" s="10"/>
      <c r="AM7" s="10">
        <v>285</v>
      </c>
      <c r="AN7" s="10">
        <v>132</v>
      </c>
    </row>
    <row r="8" spans="2:40" ht="30" customHeight="1" x14ac:dyDescent="0.35">
      <c r="B8" s="11" t="s">
        <v>20</v>
      </c>
      <c r="C8" s="11">
        <v>443</v>
      </c>
      <c r="D8" s="11">
        <v>222</v>
      </c>
      <c r="E8" s="11">
        <v>221</v>
      </c>
      <c r="F8" s="11"/>
      <c r="G8" s="11" t="s">
        <v>75</v>
      </c>
      <c r="H8" s="11" t="s">
        <v>75</v>
      </c>
      <c r="I8" s="11">
        <v>443</v>
      </c>
      <c r="J8" s="11"/>
      <c r="K8" s="11" t="s">
        <v>75</v>
      </c>
      <c r="L8" s="11">
        <v>443</v>
      </c>
      <c r="M8" s="11" t="s">
        <v>75</v>
      </c>
      <c r="N8" s="11"/>
      <c r="O8" s="11">
        <v>373</v>
      </c>
      <c r="P8" s="11">
        <v>55</v>
      </c>
      <c r="Q8" s="11"/>
      <c r="R8" s="11">
        <v>63</v>
      </c>
      <c r="S8" s="11">
        <v>76</v>
      </c>
      <c r="T8" s="11">
        <v>41</v>
      </c>
      <c r="U8" s="11">
        <v>47</v>
      </c>
      <c r="V8" s="11">
        <v>39</v>
      </c>
      <c r="W8" s="11">
        <v>41</v>
      </c>
      <c r="X8" s="11">
        <v>43</v>
      </c>
      <c r="Y8" s="11">
        <v>30</v>
      </c>
      <c r="Z8" s="11">
        <v>62</v>
      </c>
      <c r="AA8" s="11"/>
      <c r="AB8" s="11" t="s">
        <v>75</v>
      </c>
      <c r="AC8" s="11" t="s">
        <v>75</v>
      </c>
      <c r="AD8" s="11" t="s">
        <v>75</v>
      </c>
      <c r="AE8" s="11" t="s">
        <v>75</v>
      </c>
      <c r="AF8" s="11"/>
      <c r="AG8" s="11" t="s">
        <v>75</v>
      </c>
      <c r="AH8" s="11" t="s">
        <v>75</v>
      </c>
      <c r="AI8" s="11"/>
      <c r="AJ8" s="11" t="s">
        <v>75</v>
      </c>
      <c r="AK8" s="11" t="s">
        <v>75</v>
      </c>
      <c r="AL8" s="11"/>
      <c r="AM8" s="11">
        <v>230</v>
      </c>
      <c r="AN8" s="11">
        <v>113</v>
      </c>
    </row>
    <row r="9" spans="2:40" ht="29" x14ac:dyDescent="0.35">
      <c r="B9" s="15" t="s">
        <v>360</v>
      </c>
      <c r="C9" s="14">
        <v>8.1717215537617502E-2</v>
      </c>
      <c r="D9" s="14">
        <v>8.7670574452537994E-2</v>
      </c>
      <c r="E9" s="14">
        <v>7.6038812893629695E-2</v>
      </c>
      <c r="F9" s="14"/>
      <c r="G9" s="14" t="s">
        <v>76</v>
      </c>
      <c r="H9" s="14" t="s">
        <v>76</v>
      </c>
      <c r="I9" s="14">
        <v>8.1717215537617502E-2</v>
      </c>
      <c r="J9" s="14"/>
      <c r="K9" s="14" t="s">
        <v>76</v>
      </c>
      <c r="L9" s="14">
        <v>8.1717215537617502E-2</v>
      </c>
      <c r="M9" s="14" t="s">
        <v>76</v>
      </c>
      <c r="N9" s="14"/>
      <c r="O9" s="14">
        <v>7.2814587822144894E-2</v>
      </c>
      <c r="P9" s="14">
        <v>0.102504888115773</v>
      </c>
      <c r="Q9" s="14"/>
      <c r="R9" s="14">
        <v>0.105440859435315</v>
      </c>
      <c r="S9" s="14">
        <v>6.3315408656466898E-2</v>
      </c>
      <c r="T9" s="14">
        <v>0.10719654446169601</v>
      </c>
      <c r="U9" s="14">
        <v>6.0648456377676803E-2</v>
      </c>
      <c r="V9" s="14">
        <v>3.99032412299705E-2</v>
      </c>
      <c r="W9" s="14">
        <v>6.2349547405181199E-2</v>
      </c>
      <c r="X9" s="14">
        <v>2.5978002531716001E-2</v>
      </c>
      <c r="Y9" s="14">
        <v>0.158278453166489</v>
      </c>
      <c r="Z9" s="14">
        <v>0.119513670982986</v>
      </c>
      <c r="AA9" s="14"/>
      <c r="AB9" s="14" t="s">
        <v>76</v>
      </c>
      <c r="AC9" s="14" t="s">
        <v>76</v>
      </c>
      <c r="AD9" s="14" t="s">
        <v>76</v>
      </c>
      <c r="AE9" s="14" t="s">
        <v>76</v>
      </c>
      <c r="AF9" s="14"/>
      <c r="AG9" s="14" t="s">
        <v>76</v>
      </c>
      <c r="AH9" s="14" t="s">
        <v>76</v>
      </c>
      <c r="AI9" s="14"/>
      <c r="AJ9" s="14" t="s">
        <v>76</v>
      </c>
      <c r="AK9" s="14" t="s">
        <v>76</v>
      </c>
      <c r="AL9" s="14"/>
      <c r="AM9" s="14">
        <v>8.5912297612426705E-2</v>
      </c>
      <c r="AN9" s="14">
        <v>8.5690935943740804E-2</v>
      </c>
    </row>
    <row r="10" spans="2:40" ht="43.5" x14ac:dyDescent="0.35">
      <c r="B10" s="15" t="s">
        <v>361</v>
      </c>
      <c r="C10" s="14">
        <v>0.655920335695375</v>
      </c>
      <c r="D10" s="14">
        <v>0.63168609819914701</v>
      </c>
      <c r="E10" s="14">
        <v>0.682671647947104</v>
      </c>
      <c r="F10" s="14"/>
      <c r="G10" s="14" t="s">
        <v>76</v>
      </c>
      <c r="H10" s="14" t="s">
        <v>76</v>
      </c>
      <c r="I10" s="14">
        <v>0.655920335695375</v>
      </c>
      <c r="J10" s="14"/>
      <c r="K10" s="14" t="s">
        <v>76</v>
      </c>
      <c r="L10" s="14">
        <v>0.655920335695375</v>
      </c>
      <c r="M10" s="14" t="s">
        <v>76</v>
      </c>
      <c r="N10" s="14"/>
      <c r="O10" s="14">
        <v>0.658327274488539</v>
      </c>
      <c r="P10" s="14">
        <v>0.64946593922937002</v>
      </c>
      <c r="Q10" s="14"/>
      <c r="R10" s="14">
        <v>0.67424370998021599</v>
      </c>
      <c r="S10" s="14">
        <v>0.70710835854346399</v>
      </c>
      <c r="T10" s="14">
        <v>0.57813507979701995</v>
      </c>
      <c r="U10" s="14">
        <v>0.61809495304988904</v>
      </c>
      <c r="V10" s="14">
        <v>0.68589025225336298</v>
      </c>
      <c r="W10" s="14">
        <v>0.717403355728361</v>
      </c>
      <c r="X10" s="14">
        <v>0.663185970866906</v>
      </c>
      <c r="Y10" s="14">
        <v>0.61034809733415996</v>
      </c>
      <c r="Z10" s="14">
        <v>0.61269365677408205</v>
      </c>
      <c r="AA10" s="14"/>
      <c r="AB10" s="14" t="s">
        <v>76</v>
      </c>
      <c r="AC10" s="14" t="s">
        <v>76</v>
      </c>
      <c r="AD10" s="14" t="s">
        <v>76</v>
      </c>
      <c r="AE10" s="14" t="s">
        <v>76</v>
      </c>
      <c r="AF10" s="14"/>
      <c r="AG10" s="14" t="s">
        <v>76</v>
      </c>
      <c r="AH10" s="14" t="s">
        <v>76</v>
      </c>
      <c r="AI10" s="14"/>
      <c r="AJ10" s="14" t="s">
        <v>76</v>
      </c>
      <c r="AK10" s="14" t="s">
        <v>76</v>
      </c>
      <c r="AL10" s="14"/>
      <c r="AM10" s="14">
        <v>0.67208341264397098</v>
      </c>
      <c r="AN10" s="14">
        <v>0.59991423331640203</v>
      </c>
    </row>
    <row r="11" spans="2:40" ht="29" x14ac:dyDescent="0.35">
      <c r="B11" s="15" t="s">
        <v>362</v>
      </c>
      <c r="C11" s="14">
        <v>0.24077822129425899</v>
      </c>
      <c r="D11" s="14">
        <v>0.26850932038155501</v>
      </c>
      <c r="E11" s="14">
        <v>0.21013500816821901</v>
      </c>
      <c r="F11" s="14"/>
      <c r="G11" s="14" t="s">
        <v>76</v>
      </c>
      <c r="H11" s="14" t="s">
        <v>76</v>
      </c>
      <c r="I11" s="14">
        <v>0.24077822129425899</v>
      </c>
      <c r="J11" s="14"/>
      <c r="K11" s="14" t="s">
        <v>76</v>
      </c>
      <c r="L11" s="14">
        <v>0.24077822129425899</v>
      </c>
      <c r="M11" s="14" t="s">
        <v>76</v>
      </c>
      <c r="N11" s="14"/>
      <c r="O11" s="14">
        <v>0.24936099321847499</v>
      </c>
      <c r="P11" s="14">
        <v>0.23085733644568501</v>
      </c>
      <c r="Q11" s="14"/>
      <c r="R11" s="14">
        <v>0.22031543058446901</v>
      </c>
      <c r="S11" s="14">
        <v>0.209215721593554</v>
      </c>
      <c r="T11" s="14">
        <v>0.29177547445330998</v>
      </c>
      <c r="U11" s="14">
        <v>0.28115896370479798</v>
      </c>
      <c r="V11" s="14">
        <v>0.274206506516666</v>
      </c>
      <c r="W11" s="14">
        <v>0.22024709686645699</v>
      </c>
      <c r="X11" s="14">
        <v>0.222870827438439</v>
      </c>
      <c r="Y11" s="14">
        <v>0.23137344949935101</v>
      </c>
      <c r="Z11" s="14">
        <v>0.24564523627919899</v>
      </c>
      <c r="AA11" s="14"/>
      <c r="AB11" s="14" t="s">
        <v>76</v>
      </c>
      <c r="AC11" s="14" t="s">
        <v>76</v>
      </c>
      <c r="AD11" s="14" t="s">
        <v>76</v>
      </c>
      <c r="AE11" s="14" t="s">
        <v>76</v>
      </c>
      <c r="AF11" s="14"/>
      <c r="AG11" s="14" t="s">
        <v>76</v>
      </c>
      <c r="AH11" s="14" t="s">
        <v>76</v>
      </c>
      <c r="AI11" s="14"/>
      <c r="AJ11" s="14" t="s">
        <v>76</v>
      </c>
      <c r="AK11" s="14" t="s">
        <v>76</v>
      </c>
      <c r="AL11" s="14"/>
      <c r="AM11" s="14">
        <v>0.23394814835104599</v>
      </c>
      <c r="AN11" s="14">
        <v>0.26972359880307001</v>
      </c>
    </row>
    <row r="12" spans="2:40" x14ac:dyDescent="0.35">
      <c r="B12" s="25" t="s">
        <v>70</v>
      </c>
      <c r="C12" s="20">
        <v>2.1584227472748602E-2</v>
      </c>
      <c r="D12" s="20">
        <v>1.2134006966759901E-2</v>
      </c>
      <c r="E12" s="20">
        <v>3.1154530991046599E-2</v>
      </c>
      <c r="F12" s="20"/>
      <c r="G12" s="20" t="s">
        <v>76</v>
      </c>
      <c r="H12" s="20" t="s">
        <v>76</v>
      </c>
      <c r="I12" s="20">
        <v>2.1584227472748602E-2</v>
      </c>
      <c r="J12" s="20"/>
      <c r="K12" s="20" t="s">
        <v>76</v>
      </c>
      <c r="L12" s="20">
        <v>2.1584227472748602E-2</v>
      </c>
      <c r="M12" s="20" t="s">
        <v>76</v>
      </c>
      <c r="N12" s="20"/>
      <c r="O12" s="20">
        <v>1.9497144470840801E-2</v>
      </c>
      <c r="P12" s="20">
        <v>1.71718362091716E-2</v>
      </c>
      <c r="Q12" s="20"/>
      <c r="R12" s="20">
        <v>0</v>
      </c>
      <c r="S12" s="20">
        <v>2.0360511206514699E-2</v>
      </c>
      <c r="T12" s="20">
        <v>2.2892901287973499E-2</v>
      </c>
      <c r="U12" s="20">
        <v>4.0097626867636203E-2</v>
      </c>
      <c r="V12" s="20">
        <v>0</v>
      </c>
      <c r="W12" s="20">
        <v>0</v>
      </c>
      <c r="X12" s="20">
        <v>8.7965199162939003E-2</v>
      </c>
      <c r="Y12" s="20">
        <v>0</v>
      </c>
      <c r="Z12" s="20">
        <v>2.21474359637331E-2</v>
      </c>
      <c r="AA12" s="20"/>
      <c r="AB12" s="20" t="s">
        <v>76</v>
      </c>
      <c r="AC12" s="20" t="s">
        <v>76</v>
      </c>
      <c r="AD12" s="20" t="s">
        <v>76</v>
      </c>
      <c r="AE12" s="20" t="s">
        <v>76</v>
      </c>
      <c r="AF12" s="20"/>
      <c r="AG12" s="20" t="s">
        <v>76</v>
      </c>
      <c r="AH12" s="20" t="s">
        <v>76</v>
      </c>
      <c r="AI12" s="20"/>
      <c r="AJ12" s="20" t="s">
        <v>76</v>
      </c>
      <c r="AK12" s="20" t="s">
        <v>76</v>
      </c>
      <c r="AL12" s="20"/>
      <c r="AM12" s="20">
        <v>8.0561413925564502E-3</v>
      </c>
      <c r="AN12" s="20">
        <v>4.4671231936786897E-2</v>
      </c>
    </row>
    <row r="13" spans="2:40" x14ac:dyDescent="0.35">
      <c r="B13" t="s">
        <v>392</v>
      </c>
    </row>
    <row r="14" spans="2:40" x14ac:dyDescent="0.35">
      <c r="B14" t="s">
        <v>72</v>
      </c>
    </row>
    <row r="15" spans="2:40" x14ac:dyDescent="0.35">
      <c r="B15" t="s">
        <v>73</v>
      </c>
    </row>
    <row r="17" spans="2:2" x14ac:dyDescent="0.35">
      <c r="B17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dimension ref="B2:AN1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367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1216</v>
      </c>
      <c r="D7" s="10">
        <v>613</v>
      </c>
      <c r="E7" s="10">
        <v>598</v>
      </c>
      <c r="F7" s="10"/>
      <c r="G7" s="10" t="s">
        <v>75</v>
      </c>
      <c r="H7" s="10" t="s">
        <v>75</v>
      </c>
      <c r="I7" s="10">
        <v>1216</v>
      </c>
      <c r="J7" s="10"/>
      <c r="K7" s="10" t="s">
        <v>75</v>
      </c>
      <c r="L7" s="10">
        <v>924</v>
      </c>
      <c r="M7" s="10">
        <v>292</v>
      </c>
      <c r="N7" s="10"/>
      <c r="O7" s="10">
        <v>1020</v>
      </c>
      <c r="P7" s="10">
        <v>166</v>
      </c>
      <c r="Q7" s="10"/>
      <c r="R7" s="10">
        <v>177</v>
      </c>
      <c r="S7" s="10">
        <v>216</v>
      </c>
      <c r="T7" s="10">
        <v>97</v>
      </c>
      <c r="U7" s="10">
        <v>116</v>
      </c>
      <c r="V7" s="10">
        <v>104</v>
      </c>
      <c r="W7" s="10">
        <v>152</v>
      </c>
      <c r="X7" s="10">
        <v>76</v>
      </c>
      <c r="Y7" s="10">
        <v>70</v>
      </c>
      <c r="Z7" s="10">
        <v>208</v>
      </c>
      <c r="AA7" s="10"/>
      <c r="AB7" s="10">
        <v>152</v>
      </c>
      <c r="AC7" s="10">
        <v>147</v>
      </c>
      <c r="AD7" s="10">
        <v>152</v>
      </c>
      <c r="AE7" s="10">
        <v>106</v>
      </c>
      <c r="AF7" s="10"/>
      <c r="AG7" s="10">
        <v>95</v>
      </c>
      <c r="AH7" s="10">
        <v>46</v>
      </c>
      <c r="AI7" s="10"/>
      <c r="AJ7" s="10">
        <v>141</v>
      </c>
      <c r="AK7" s="10">
        <v>131</v>
      </c>
      <c r="AL7" s="10"/>
      <c r="AM7" s="10">
        <v>626</v>
      </c>
      <c r="AN7" s="10">
        <v>310</v>
      </c>
    </row>
    <row r="8" spans="2:40" ht="30" customHeight="1" x14ac:dyDescent="0.35">
      <c r="B8" s="11" t="s">
        <v>20</v>
      </c>
      <c r="C8" s="11">
        <v>1136</v>
      </c>
      <c r="D8" s="11">
        <v>540</v>
      </c>
      <c r="E8" s="11">
        <v>591</v>
      </c>
      <c r="F8" s="11"/>
      <c r="G8" s="11" t="s">
        <v>75</v>
      </c>
      <c r="H8" s="11" t="s">
        <v>75</v>
      </c>
      <c r="I8" s="11">
        <v>1136</v>
      </c>
      <c r="J8" s="11"/>
      <c r="K8" s="11" t="s">
        <v>75</v>
      </c>
      <c r="L8" s="11">
        <v>745</v>
      </c>
      <c r="M8" s="11">
        <v>391</v>
      </c>
      <c r="N8" s="11"/>
      <c r="O8" s="11">
        <v>946</v>
      </c>
      <c r="P8" s="11">
        <v>161</v>
      </c>
      <c r="Q8" s="11"/>
      <c r="R8" s="11">
        <v>183</v>
      </c>
      <c r="S8" s="11">
        <v>192</v>
      </c>
      <c r="T8" s="11">
        <v>104</v>
      </c>
      <c r="U8" s="11">
        <v>121</v>
      </c>
      <c r="V8" s="11">
        <v>99</v>
      </c>
      <c r="W8" s="11">
        <v>112</v>
      </c>
      <c r="X8" s="11">
        <v>107</v>
      </c>
      <c r="Y8" s="11">
        <v>62</v>
      </c>
      <c r="Z8" s="11">
        <v>157</v>
      </c>
      <c r="AA8" s="11"/>
      <c r="AB8" s="11">
        <v>117</v>
      </c>
      <c r="AC8" s="11">
        <v>117</v>
      </c>
      <c r="AD8" s="11">
        <v>211</v>
      </c>
      <c r="AE8" s="11">
        <v>141</v>
      </c>
      <c r="AF8" s="11"/>
      <c r="AG8" s="11">
        <v>117</v>
      </c>
      <c r="AH8" s="11">
        <v>63</v>
      </c>
      <c r="AI8" s="11"/>
      <c r="AJ8" s="11">
        <v>180</v>
      </c>
      <c r="AK8" s="11">
        <v>185</v>
      </c>
      <c r="AL8" s="11"/>
      <c r="AM8" s="11">
        <v>567</v>
      </c>
      <c r="AN8" s="11">
        <v>311</v>
      </c>
    </row>
    <row r="9" spans="2:40" ht="29" x14ac:dyDescent="0.35">
      <c r="B9" s="15" t="s">
        <v>364</v>
      </c>
      <c r="C9" s="14">
        <v>0.20798619077914901</v>
      </c>
      <c r="D9" s="14">
        <v>0.25992757694031798</v>
      </c>
      <c r="E9" s="14">
        <v>0.160822990616422</v>
      </c>
      <c r="F9" s="14"/>
      <c r="G9" s="14" t="s">
        <v>76</v>
      </c>
      <c r="H9" s="14" t="s">
        <v>76</v>
      </c>
      <c r="I9" s="14">
        <v>0.20798619077914901</v>
      </c>
      <c r="J9" s="14"/>
      <c r="K9" s="14" t="s">
        <v>76</v>
      </c>
      <c r="L9" s="14">
        <v>0.22313185990965601</v>
      </c>
      <c r="M9" s="14">
        <v>0.17918313604619299</v>
      </c>
      <c r="N9" s="14"/>
      <c r="O9" s="14">
        <v>0.18510246155752599</v>
      </c>
      <c r="P9" s="14">
        <v>0.35913882989778501</v>
      </c>
      <c r="Q9" s="14"/>
      <c r="R9" s="14">
        <v>0.286978806929026</v>
      </c>
      <c r="S9" s="14">
        <v>0.195692742036499</v>
      </c>
      <c r="T9" s="14">
        <v>0.101080668621412</v>
      </c>
      <c r="U9" s="14">
        <v>0.20858015209320399</v>
      </c>
      <c r="V9" s="14">
        <v>0.27275026199643299</v>
      </c>
      <c r="W9" s="14">
        <v>0.16482504922872099</v>
      </c>
      <c r="X9" s="14">
        <v>0.14103227424767001</v>
      </c>
      <c r="Y9" s="14">
        <v>0.22559690674528399</v>
      </c>
      <c r="Z9" s="14">
        <v>0.22995007614629701</v>
      </c>
      <c r="AA9" s="14"/>
      <c r="AB9" s="14">
        <v>0.18831210088070599</v>
      </c>
      <c r="AC9" s="14">
        <v>0.33759639589804302</v>
      </c>
      <c r="AD9" s="14">
        <v>9.8792939139174807E-2</v>
      </c>
      <c r="AE9" s="14">
        <v>0.28567760300049599</v>
      </c>
      <c r="AF9" s="14"/>
      <c r="AG9" s="14">
        <v>0.31757350787779498</v>
      </c>
      <c r="AH9" s="14">
        <v>0.14723427796385499</v>
      </c>
      <c r="AI9" s="14"/>
      <c r="AJ9" s="14">
        <v>0.25803995787589401</v>
      </c>
      <c r="AK9" s="14">
        <v>0.104975044536454</v>
      </c>
      <c r="AL9" s="14"/>
      <c r="AM9" s="14">
        <v>0.34371716493632398</v>
      </c>
      <c r="AN9" s="14">
        <v>4.8663709529374301E-2</v>
      </c>
    </row>
    <row r="10" spans="2:40" ht="29" x14ac:dyDescent="0.35">
      <c r="B10" s="15" t="s">
        <v>365</v>
      </c>
      <c r="C10" s="14">
        <v>0.54639486835758</v>
      </c>
      <c r="D10" s="14">
        <v>0.54427814967908805</v>
      </c>
      <c r="E10" s="14">
        <v>0.54716830554199503</v>
      </c>
      <c r="F10" s="14"/>
      <c r="G10" s="14" t="s">
        <v>76</v>
      </c>
      <c r="H10" s="14" t="s">
        <v>76</v>
      </c>
      <c r="I10" s="14">
        <v>0.54639486835758</v>
      </c>
      <c r="J10" s="14"/>
      <c r="K10" s="14" t="s">
        <v>76</v>
      </c>
      <c r="L10" s="14">
        <v>0.52388038990536501</v>
      </c>
      <c r="M10" s="14">
        <v>0.589211448434384</v>
      </c>
      <c r="N10" s="14"/>
      <c r="O10" s="14">
        <v>0.56306835671105004</v>
      </c>
      <c r="P10" s="14">
        <v>0.471999663984633</v>
      </c>
      <c r="Q10" s="14"/>
      <c r="R10" s="14">
        <v>0.490291960285271</v>
      </c>
      <c r="S10" s="14">
        <v>0.531819096156121</v>
      </c>
      <c r="T10" s="14">
        <v>0.61572423556622802</v>
      </c>
      <c r="U10" s="14">
        <v>0.52825984247969004</v>
      </c>
      <c r="V10" s="14">
        <v>0.52032465028092001</v>
      </c>
      <c r="W10" s="14">
        <v>0.54075064383092197</v>
      </c>
      <c r="X10" s="14">
        <v>0.60658461483405401</v>
      </c>
      <c r="Y10" s="14">
        <v>0.59429111970001502</v>
      </c>
      <c r="Z10" s="14">
        <v>0.55817224658697395</v>
      </c>
      <c r="AA10" s="14"/>
      <c r="AB10" s="14">
        <v>0.49554145601330701</v>
      </c>
      <c r="AC10" s="14">
        <v>0.52017775909439201</v>
      </c>
      <c r="AD10" s="14">
        <v>0.64152621467016702</v>
      </c>
      <c r="AE10" s="14">
        <v>0.58634629266024796</v>
      </c>
      <c r="AF10" s="14"/>
      <c r="AG10" s="14">
        <v>0.56288759501315799</v>
      </c>
      <c r="AH10" s="14">
        <v>0.48236014263266702</v>
      </c>
      <c r="AI10" s="14"/>
      <c r="AJ10" s="14">
        <v>0.53474325553691604</v>
      </c>
      <c r="AK10" s="14">
        <v>0.66740302877929902</v>
      </c>
      <c r="AL10" s="14"/>
      <c r="AM10" s="14">
        <v>0.54246995019998101</v>
      </c>
      <c r="AN10" s="14">
        <v>0.45285134915950798</v>
      </c>
    </row>
    <row r="11" spans="2:40" ht="29" x14ac:dyDescent="0.35">
      <c r="B11" s="15" t="s">
        <v>366</v>
      </c>
      <c r="C11" s="14">
        <v>0.161636573447865</v>
      </c>
      <c r="D11" s="14">
        <v>0.12161280212383201</v>
      </c>
      <c r="E11" s="14">
        <v>0.19836084120004599</v>
      </c>
      <c r="F11" s="14"/>
      <c r="G11" s="14" t="s">
        <v>76</v>
      </c>
      <c r="H11" s="14" t="s">
        <v>76</v>
      </c>
      <c r="I11" s="14">
        <v>0.161636573447865</v>
      </c>
      <c r="J11" s="14"/>
      <c r="K11" s="14" t="s">
        <v>76</v>
      </c>
      <c r="L11" s="14">
        <v>0.14944481777282401</v>
      </c>
      <c r="M11" s="14">
        <v>0.184822066473839</v>
      </c>
      <c r="N11" s="14"/>
      <c r="O11" s="14">
        <v>0.16026327815083899</v>
      </c>
      <c r="P11" s="14">
        <v>0.13347883374463099</v>
      </c>
      <c r="Q11" s="14"/>
      <c r="R11" s="14">
        <v>0.15650584514683999</v>
      </c>
      <c r="S11" s="14">
        <v>0.16443939384084</v>
      </c>
      <c r="T11" s="14">
        <v>0.19029788234547401</v>
      </c>
      <c r="U11" s="14">
        <v>0.184193653948902</v>
      </c>
      <c r="V11" s="14">
        <v>0.109609915157172</v>
      </c>
      <c r="W11" s="14">
        <v>0.190534133708012</v>
      </c>
      <c r="X11" s="14">
        <v>0.182592945286258</v>
      </c>
      <c r="Y11" s="14">
        <v>0.12766767730854101</v>
      </c>
      <c r="Z11" s="14">
        <v>0.13914607329075601</v>
      </c>
      <c r="AA11" s="14"/>
      <c r="AB11" s="14">
        <v>0.26562900283797303</v>
      </c>
      <c r="AC11" s="14">
        <v>8.6892388109711005E-2</v>
      </c>
      <c r="AD11" s="14">
        <v>0.206791185592685</v>
      </c>
      <c r="AE11" s="14">
        <v>0.122651763245281</v>
      </c>
      <c r="AF11" s="14"/>
      <c r="AG11" s="14">
        <v>7.35929457546496E-2</v>
      </c>
      <c r="AH11" s="14">
        <v>0.26164527436825602</v>
      </c>
      <c r="AI11" s="14"/>
      <c r="AJ11" s="14">
        <v>0.13931722262350901</v>
      </c>
      <c r="AK11" s="14">
        <v>0.20979598074005501</v>
      </c>
      <c r="AL11" s="14"/>
      <c r="AM11" s="14">
        <v>6.2970635472336695E-2</v>
      </c>
      <c r="AN11" s="14">
        <v>0.366658695892012</v>
      </c>
    </row>
    <row r="12" spans="2:40" x14ac:dyDescent="0.35">
      <c r="B12" s="15" t="s">
        <v>70</v>
      </c>
      <c r="C12" s="20">
        <v>8.3982367415405795E-2</v>
      </c>
      <c r="D12" s="20">
        <v>7.4181471256762693E-2</v>
      </c>
      <c r="E12" s="20">
        <v>9.3647862641537294E-2</v>
      </c>
      <c r="F12" s="20"/>
      <c r="G12" s="20" t="s">
        <v>76</v>
      </c>
      <c r="H12" s="20" t="s">
        <v>76</v>
      </c>
      <c r="I12" s="20">
        <v>8.3982367415405795E-2</v>
      </c>
      <c r="J12" s="20"/>
      <c r="K12" s="20" t="s">
        <v>76</v>
      </c>
      <c r="L12" s="20">
        <v>0.10354293241215499</v>
      </c>
      <c r="M12" s="20">
        <v>4.6783349045584899E-2</v>
      </c>
      <c r="N12" s="20"/>
      <c r="O12" s="20">
        <v>9.1565903580584598E-2</v>
      </c>
      <c r="P12" s="20">
        <v>3.5382672372950202E-2</v>
      </c>
      <c r="Q12" s="20"/>
      <c r="R12" s="20">
        <v>6.6223387638862596E-2</v>
      </c>
      <c r="S12" s="20">
        <v>0.10804876796654</v>
      </c>
      <c r="T12" s="20">
        <v>9.28972134668863E-2</v>
      </c>
      <c r="U12" s="20">
        <v>7.89663514782043E-2</v>
      </c>
      <c r="V12" s="20">
        <v>9.73151725654747E-2</v>
      </c>
      <c r="W12" s="20">
        <v>0.10389017323234501</v>
      </c>
      <c r="X12" s="20">
        <v>6.97901656320188E-2</v>
      </c>
      <c r="Y12" s="20">
        <v>5.2444296246160399E-2</v>
      </c>
      <c r="Z12" s="20">
        <v>7.2731603975972406E-2</v>
      </c>
      <c r="AA12" s="20"/>
      <c r="AB12" s="20">
        <v>5.05174402680146E-2</v>
      </c>
      <c r="AC12" s="20">
        <v>5.5333456897853898E-2</v>
      </c>
      <c r="AD12" s="20">
        <v>5.2889660597974099E-2</v>
      </c>
      <c r="AE12" s="20">
        <v>5.32434109397563E-3</v>
      </c>
      <c r="AF12" s="20"/>
      <c r="AG12" s="20">
        <v>4.5945951354396899E-2</v>
      </c>
      <c r="AH12" s="20">
        <v>0.10876030503522099</v>
      </c>
      <c r="AI12" s="20"/>
      <c r="AJ12" s="20">
        <v>6.7899563963681298E-2</v>
      </c>
      <c r="AK12" s="20">
        <v>1.78259459441923E-2</v>
      </c>
      <c r="AL12" s="20"/>
      <c r="AM12" s="20">
        <v>5.0842249391359E-2</v>
      </c>
      <c r="AN12" s="20">
        <v>0.13182624541910701</v>
      </c>
    </row>
    <row r="13" spans="2:40" x14ac:dyDescent="0.35">
      <c r="B13" s="16" t="s">
        <v>74</v>
      </c>
    </row>
    <row r="14" spans="2:40" x14ac:dyDescent="0.35">
      <c r="B14" t="s">
        <v>72</v>
      </c>
    </row>
    <row r="15" spans="2:40" x14ac:dyDescent="0.35">
      <c r="B15" t="s">
        <v>73</v>
      </c>
    </row>
    <row r="17" spans="2:2" x14ac:dyDescent="0.35">
      <c r="B17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dimension ref="B2:AN1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371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1216</v>
      </c>
      <c r="D7" s="10">
        <v>613</v>
      </c>
      <c r="E7" s="10">
        <v>598</v>
      </c>
      <c r="F7" s="10"/>
      <c r="G7" s="10" t="s">
        <v>75</v>
      </c>
      <c r="H7" s="10" t="s">
        <v>75</v>
      </c>
      <c r="I7" s="10">
        <v>1216</v>
      </c>
      <c r="J7" s="10"/>
      <c r="K7" s="10" t="s">
        <v>75</v>
      </c>
      <c r="L7" s="10">
        <v>924</v>
      </c>
      <c r="M7" s="10">
        <v>292</v>
      </c>
      <c r="N7" s="10"/>
      <c r="O7" s="10">
        <v>1020</v>
      </c>
      <c r="P7" s="10">
        <v>166</v>
      </c>
      <c r="Q7" s="10"/>
      <c r="R7" s="10">
        <v>177</v>
      </c>
      <c r="S7" s="10">
        <v>216</v>
      </c>
      <c r="T7" s="10">
        <v>97</v>
      </c>
      <c r="U7" s="10">
        <v>116</v>
      </c>
      <c r="V7" s="10">
        <v>104</v>
      </c>
      <c r="W7" s="10">
        <v>152</v>
      </c>
      <c r="X7" s="10">
        <v>76</v>
      </c>
      <c r="Y7" s="10">
        <v>70</v>
      </c>
      <c r="Z7" s="10">
        <v>208</v>
      </c>
      <c r="AA7" s="10"/>
      <c r="AB7" s="10">
        <v>152</v>
      </c>
      <c r="AC7" s="10">
        <v>147</v>
      </c>
      <c r="AD7" s="10">
        <v>152</v>
      </c>
      <c r="AE7" s="10">
        <v>106</v>
      </c>
      <c r="AF7" s="10"/>
      <c r="AG7" s="10">
        <v>95</v>
      </c>
      <c r="AH7" s="10">
        <v>46</v>
      </c>
      <c r="AI7" s="10"/>
      <c r="AJ7" s="10">
        <v>141</v>
      </c>
      <c r="AK7" s="10">
        <v>131</v>
      </c>
      <c r="AL7" s="10"/>
      <c r="AM7" s="10">
        <v>626</v>
      </c>
      <c r="AN7" s="10">
        <v>310</v>
      </c>
    </row>
    <row r="8" spans="2:40" ht="30" customHeight="1" x14ac:dyDescent="0.35">
      <c r="B8" s="11" t="s">
        <v>20</v>
      </c>
      <c r="C8" s="11">
        <v>1136</v>
      </c>
      <c r="D8" s="11">
        <v>540</v>
      </c>
      <c r="E8" s="11">
        <v>591</v>
      </c>
      <c r="F8" s="11"/>
      <c r="G8" s="11" t="s">
        <v>75</v>
      </c>
      <c r="H8" s="11" t="s">
        <v>75</v>
      </c>
      <c r="I8" s="11">
        <v>1136</v>
      </c>
      <c r="J8" s="11"/>
      <c r="K8" s="11" t="s">
        <v>75</v>
      </c>
      <c r="L8" s="11">
        <v>745</v>
      </c>
      <c r="M8" s="11">
        <v>391</v>
      </c>
      <c r="N8" s="11"/>
      <c r="O8" s="11">
        <v>946</v>
      </c>
      <c r="P8" s="11">
        <v>161</v>
      </c>
      <c r="Q8" s="11"/>
      <c r="R8" s="11">
        <v>183</v>
      </c>
      <c r="S8" s="11">
        <v>192</v>
      </c>
      <c r="T8" s="11">
        <v>104</v>
      </c>
      <c r="U8" s="11">
        <v>121</v>
      </c>
      <c r="V8" s="11">
        <v>99</v>
      </c>
      <c r="W8" s="11">
        <v>112</v>
      </c>
      <c r="X8" s="11">
        <v>107</v>
      </c>
      <c r="Y8" s="11">
        <v>62</v>
      </c>
      <c r="Z8" s="11">
        <v>157</v>
      </c>
      <c r="AA8" s="11"/>
      <c r="AB8" s="11">
        <v>117</v>
      </c>
      <c r="AC8" s="11">
        <v>117</v>
      </c>
      <c r="AD8" s="11">
        <v>211</v>
      </c>
      <c r="AE8" s="11">
        <v>141</v>
      </c>
      <c r="AF8" s="11"/>
      <c r="AG8" s="11">
        <v>117</v>
      </c>
      <c r="AH8" s="11">
        <v>63</v>
      </c>
      <c r="AI8" s="11"/>
      <c r="AJ8" s="11">
        <v>180</v>
      </c>
      <c r="AK8" s="11">
        <v>185</v>
      </c>
      <c r="AL8" s="11"/>
      <c r="AM8" s="11">
        <v>567</v>
      </c>
      <c r="AN8" s="11">
        <v>311</v>
      </c>
    </row>
    <row r="9" spans="2:40" ht="58" x14ac:dyDescent="0.35">
      <c r="B9" s="15" t="s">
        <v>368</v>
      </c>
      <c r="C9" s="14">
        <v>0.24786402047789299</v>
      </c>
      <c r="D9" s="14">
        <v>0.29499896294512401</v>
      </c>
      <c r="E9" s="14">
        <v>0.20680411750244199</v>
      </c>
      <c r="F9" s="14"/>
      <c r="G9" s="14" t="s">
        <v>76</v>
      </c>
      <c r="H9" s="14" t="s">
        <v>76</v>
      </c>
      <c r="I9" s="14">
        <v>0.24786402047789299</v>
      </c>
      <c r="J9" s="14"/>
      <c r="K9" s="14" t="s">
        <v>76</v>
      </c>
      <c r="L9" s="14">
        <v>0.246933107187078</v>
      </c>
      <c r="M9" s="14">
        <v>0.24963437121221299</v>
      </c>
      <c r="N9" s="14"/>
      <c r="O9" s="14">
        <v>0.231864350979961</v>
      </c>
      <c r="P9" s="14">
        <v>0.34857175931939899</v>
      </c>
      <c r="Q9" s="14"/>
      <c r="R9" s="14">
        <v>0.34541226559138799</v>
      </c>
      <c r="S9" s="14">
        <v>0.23078437326960199</v>
      </c>
      <c r="T9" s="14">
        <v>0.25370391077425902</v>
      </c>
      <c r="U9" s="14">
        <v>0.22050873312385599</v>
      </c>
      <c r="V9" s="14">
        <v>0.25474066356525099</v>
      </c>
      <c r="W9" s="14">
        <v>0.174695397798413</v>
      </c>
      <c r="X9" s="14">
        <v>0.19689844109294</v>
      </c>
      <c r="Y9" s="14">
        <v>0.25549574158159999</v>
      </c>
      <c r="Z9" s="14">
        <v>0.25195256502434799</v>
      </c>
      <c r="AA9" s="14"/>
      <c r="AB9" s="14">
        <v>0.231861064083835</v>
      </c>
      <c r="AC9" s="14">
        <v>0.359962879748217</v>
      </c>
      <c r="AD9" s="14">
        <v>0.23012327551960499</v>
      </c>
      <c r="AE9" s="14">
        <v>0.27861243509010403</v>
      </c>
      <c r="AF9" s="14"/>
      <c r="AG9" s="14">
        <v>0.36787330118189598</v>
      </c>
      <c r="AH9" s="14">
        <v>0.13942402903303799</v>
      </c>
      <c r="AI9" s="14"/>
      <c r="AJ9" s="14">
        <v>0.288030295121324</v>
      </c>
      <c r="AK9" s="14">
        <v>0.197992649641686</v>
      </c>
      <c r="AL9" s="14"/>
      <c r="AM9" s="14">
        <v>0.355713868258351</v>
      </c>
      <c r="AN9" s="14">
        <v>0.108533628221212</v>
      </c>
    </row>
    <row r="10" spans="2:40" ht="58" x14ac:dyDescent="0.35">
      <c r="B10" s="15" t="s">
        <v>369</v>
      </c>
      <c r="C10" s="14">
        <v>0.31471905964510599</v>
      </c>
      <c r="D10" s="14">
        <v>0.30324708433745801</v>
      </c>
      <c r="E10" s="14">
        <v>0.32368075214275399</v>
      </c>
      <c r="F10" s="14"/>
      <c r="G10" s="14" t="s">
        <v>76</v>
      </c>
      <c r="H10" s="14" t="s">
        <v>76</v>
      </c>
      <c r="I10" s="14">
        <v>0.31471905964510599</v>
      </c>
      <c r="J10" s="14"/>
      <c r="K10" s="14" t="s">
        <v>76</v>
      </c>
      <c r="L10" s="14">
        <v>0.305501451823049</v>
      </c>
      <c r="M10" s="14">
        <v>0.33224851049458298</v>
      </c>
      <c r="N10" s="14"/>
      <c r="O10" s="14">
        <v>0.32533933620970101</v>
      </c>
      <c r="P10" s="14">
        <v>0.26874401388108099</v>
      </c>
      <c r="Q10" s="14"/>
      <c r="R10" s="14">
        <v>0.31399731650677598</v>
      </c>
      <c r="S10" s="14">
        <v>0.288422578873549</v>
      </c>
      <c r="T10" s="14">
        <v>0.26111072382420902</v>
      </c>
      <c r="U10" s="14">
        <v>0.34520379038180199</v>
      </c>
      <c r="V10" s="14">
        <v>0.33517379658757301</v>
      </c>
      <c r="W10" s="14">
        <v>0.344641756934364</v>
      </c>
      <c r="X10" s="14">
        <v>0.35190977876025298</v>
      </c>
      <c r="Y10" s="14">
        <v>0.28824868276941701</v>
      </c>
      <c r="Z10" s="14">
        <v>0.31066026637225402</v>
      </c>
      <c r="AA10" s="14"/>
      <c r="AB10" s="14">
        <v>0.41239966449437698</v>
      </c>
      <c r="AC10" s="14">
        <v>0.22352793074202901</v>
      </c>
      <c r="AD10" s="14">
        <v>0.37397546652879798</v>
      </c>
      <c r="AE10" s="14">
        <v>0.28050511796871802</v>
      </c>
      <c r="AF10" s="14"/>
      <c r="AG10" s="14">
        <v>0.27544089555978801</v>
      </c>
      <c r="AH10" s="14">
        <v>0.39208528592925301</v>
      </c>
      <c r="AI10" s="14"/>
      <c r="AJ10" s="14">
        <v>0.31620810256201698</v>
      </c>
      <c r="AK10" s="14">
        <v>0.35837956967971502</v>
      </c>
      <c r="AL10" s="14"/>
      <c r="AM10" s="14">
        <v>0.25911181890223201</v>
      </c>
      <c r="AN10" s="14">
        <v>0.40741675182533499</v>
      </c>
    </row>
    <row r="11" spans="2:40" ht="58" x14ac:dyDescent="0.35">
      <c r="B11" s="15" t="s">
        <v>370</v>
      </c>
      <c r="C11" s="14">
        <v>0.21970884320074999</v>
      </c>
      <c r="D11" s="14">
        <v>0.20440904085112399</v>
      </c>
      <c r="E11" s="14">
        <v>0.23260317208926901</v>
      </c>
      <c r="F11" s="14"/>
      <c r="G11" s="14" t="s">
        <v>76</v>
      </c>
      <c r="H11" s="14" t="s">
        <v>76</v>
      </c>
      <c r="I11" s="14">
        <v>0.21970884320074999</v>
      </c>
      <c r="J11" s="14"/>
      <c r="K11" s="14" t="s">
        <v>76</v>
      </c>
      <c r="L11" s="14">
        <v>0.22105289066618999</v>
      </c>
      <c r="M11" s="14">
        <v>0.21715282059275501</v>
      </c>
      <c r="N11" s="14"/>
      <c r="O11" s="14">
        <v>0.21186242262766999</v>
      </c>
      <c r="P11" s="14">
        <v>0.26878329907825999</v>
      </c>
      <c r="Q11" s="14"/>
      <c r="R11" s="14">
        <v>0.19010552060414401</v>
      </c>
      <c r="S11" s="14">
        <v>0.26272705245779598</v>
      </c>
      <c r="T11" s="14">
        <v>0.115314307353151</v>
      </c>
      <c r="U11" s="14">
        <v>0.23776142366740399</v>
      </c>
      <c r="V11" s="14">
        <v>0.23358480128860701</v>
      </c>
      <c r="W11" s="14">
        <v>0.25461851334542401</v>
      </c>
      <c r="X11" s="14">
        <v>0.24727143682430899</v>
      </c>
      <c r="Y11" s="14">
        <v>0.214863812280598</v>
      </c>
      <c r="Z11" s="14">
        <v>0.20614645221001399</v>
      </c>
      <c r="AA11" s="14"/>
      <c r="AB11" s="14">
        <v>0.222399852481663</v>
      </c>
      <c r="AC11" s="14">
        <v>0.29027322797064498</v>
      </c>
      <c r="AD11" s="14">
        <v>0.206533938122687</v>
      </c>
      <c r="AE11" s="14">
        <v>0.24689166590610201</v>
      </c>
      <c r="AF11" s="14"/>
      <c r="AG11" s="14">
        <v>0.23015821074131099</v>
      </c>
      <c r="AH11" s="14">
        <v>0.211911427914976</v>
      </c>
      <c r="AI11" s="14"/>
      <c r="AJ11" s="14">
        <v>0.22378096130608599</v>
      </c>
      <c r="AK11" s="14">
        <v>0.22227322823356799</v>
      </c>
      <c r="AL11" s="14"/>
      <c r="AM11" s="14">
        <v>0.21840294820878201</v>
      </c>
      <c r="AN11" s="14">
        <v>0.192870995123126</v>
      </c>
    </row>
    <row r="12" spans="2:40" x14ac:dyDescent="0.35">
      <c r="B12" s="15" t="s">
        <v>70</v>
      </c>
      <c r="C12" s="20">
        <v>0.217708076676251</v>
      </c>
      <c r="D12" s="20">
        <v>0.19734491186629399</v>
      </c>
      <c r="E12" s="20">
        <v>0.23691195826553499</v>
      </c>
      <c r="F12" s="20"/>
      <c r="G12" s="20" t="s">
        <v>76</v>
      </c>
      <c r="H12" s="20" t="s">
        <v>76</v>
      </c>
      <c r="I12" s="20">
        <v>0.217708076676251</v>
      </c>
      <c r="J12" s="20"/>
      <c r="K12" s="20" t="s">
        <v>76</v>
      </c>
      <c r="L12" s="20">
        <v>0.226512550323682</v>
      </c>
      <c r="M12" s="20">
        <v>0.20096429770044899</v>
      </c>
      <c r="N12" s="20"/>
      <c r="O12" s="20">
        <v>0.230933890182667</v>
      </c>
      <c r="P12" s="20">
        <v>0.11390092772126</v>
      </c>
      <c r="Q12" s="20"/>
      <c r="R12" s="20">
        <v>0.15048489729769199</v>
      </c>
      <c r="S12" s="20">
        <v>0.218065995399053</v>
      </c>
      <c r="T12" s="20">
        <v>0.369871058048382</v>
      </c>
      <c r="U12" s="20">
        <v>0.196526052826939</v>
      </c>
      <c r="V12" s="20">
        <v>0.17650073855856899</v>
      </c>
      <c r="W12" s="20">
        <v>0.22604433192179901</v>
      </c>
      <c r="X12" s="20">
        <v>0.203920343322499</v>
      </c>
      <c r="Y12" s="20">
        <v>0.241391763368384</v>
      </c>
      <c r="Z12" s="20">
        <v>0.231240716393385</v>
      </c>
      <c r="AA12" s="20"/>
      <c r="AB12" s="20">
        <v>0.13333941894012499</v>
      </c>
      <c r="AC12" s="20">
        <v>0.12623596153910899</v>
      </c>
      <c r="AD12" s="20">
        <v>0.18936731982891</v>
      </c>
      <c r="AE12" s="20">
        <v>0.193990781035077</v>
      </c>
      <c r="AF12" s="20"/>
      <c r="AG12" s="20">
        <v>0.12652759251700399</v>
      </c>
      <c r="AH12" s="20">
        <v>0.256579257122733</v>
      </c>
      <c r="AI12" s="20"/>
      <c r="AJ12" s="20">
        <v>0.171980641010574</v>
      </c>
      <c r="AK12" s="20">
        <v>0.22135455244503099</v>
      </c>
      <c r="AL12" s="20"/>
      <c r="AM12" s="20">
        <v>0.16677136463063499</v>
      </c>
      <c r="AN12" s="20">
        <v>0.29117862483032803</v>
      </c>
    </row>
    <row r="13" spans="2:40" x14ac:dyDescent="0.35">
      <c r="B13" s="16" t="s">
        <v>74</v>
      </c>
    </row>
    <row r="14" spans="2:40" x14ac:dyDescent="0.35">
      <c r="B14" t="s">
        <v>72</v>
      </c>
    </row>
    <row r="15" spans="2:40" x14ac:dyDescent="0.35">
      <c r="B15" t="s">
        <v>73</v>
      </c>
    </row>
    <row r="17" spans="2:2" x14ac:dyDescent="0.35">
      <c r="B17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dimension ref="B2:H19"/>
  <sheetViews>
    <sheetView showGridLines="0" workbookViewId="0">
      <pane xSplit="2" topLeftCell="C1" activePane="topRight" state="frozen"/>
      <selection pane="topRight" activeCell="B16" sqref="B16"/>
    </sheetView>
  </sheetViews>
  <sheetFormatPr defaultColWidth="10.90625" defaultRowHeight="14.5" x14ac:dyDescent="0.35"/>
  <cols>
    <col min="2" max="2" width="25.7265625" customWidth="1"/>
    <col min="3" max="8" width="20.7265625" customWidth="1"/>
  </cols>
  <sheetData>
    <row r="2" spans="2:8" ht="40" customHeight="1" x14ac:dyDescent="0.35">
      <c r="D2" s="41" t="s">
        <v>382</v>
      </c>
      <c r="E2" s="38"/>
      <c r="F2" s="38"/>
      <c r="G2" s="38"/>
      <c r="H2" s="38"/>
    </row>
    <row r="6" spans="2:8" ht="50" customHeight="1" x14ac:dyDescent="0.35">
      <c r="B6" s="17" t="s">
        <v>15</v>
      </c>
      <c r="C6" s="17" t="s">
        <v>372</v>
      </c>
      <c r="D6" s="17" t="s">
        <v>373</v>
      </c>
      <c r="E6" s="17" t="s">
        <v>374</v>
      </c>
      <c r="F6" s="17" t="s">
        <v>375</v>
      </c>
      <c r="G6" s="17" t="s">
        <v>376</v>
      </c>
    </row>
    <row r="7" spans="2:8" x14ac:dyDescent="0.35">
      <c r="B7" s="15" t="s">
        <v>377</v>
      </c>
      <c r="C7" s="14">
        <v>0.22017749859824601</v>
      </c>
      <c r="D7" s="14">
        <v>0.33797457824291299</v>
      </c>
      <c r="E7" s="14">
        <v>0.39103462270112499</v>
      </c>
      <c r="F7" s="14">
        <v>0.45014888022644101</v>
      </c>
      <c r="G7" s="14">
        <v>0.48175695979669098</v>
      </c>
    </row>
    <row r="8" spans="2:8" x14ac:dyDescent="0.35">
      <c r="B8" s="15" t="s">
        <v>378</v>
      </c>
      <c r="C8" s="14">
        <v>0.34762699013533599</v>
      </c>
      <c r="D8" s="14">
        <v>0.315299872465644</v>
      </c>
      <c r="E8" s="14">
        <v>0.46256595875454198</v>
      </c>
      <c r="F8" s="14">
        <v>0.40448917470905998</v>
      </c>
      <c r="G8" s="14">
        <v>0.440401788582021</v>
      </c>
    </row>
    <row r="9" spans="2:8" x14ac:dyDescent="0.35">
      <c r="B9" s="15" t="s">
        <v>379</v>
      </c>
      <c r="C9" s="14">
        <v>0.243306276430034</v>
      </c>
      <c r="D9" s="14">
        <v>0.175760633944998</v>
      </c>
      <c r="E9" s="14">
        <v>0.110919640994081</v>
      </c>
      <c r="F9" s="14">
        <v>9.7271966228134499E-2</v>
      </c>
      <c r="G9" s="14">
        <v>6.0554566632621397E-2</v>
      </c>
    </row>
    <row r="10" spans="2:8" x14ac:dyDescent="0.35">
      <c r="B10" s="15" t="s">
        <v>380</v>
      </c>
      <c r="C10" s="14">
        <v>0.12992851203264999</v>
      </c>
      <c r="D10" s="14">
        <v>0.105602132292268</v>
      </c>
      <c r="E10" s="14">
        <v>2.1701599367640101E-2</v>
      </c>
      <c r="F10" s="14">
        <v>2.9416393973450299E-2</v>
      </c>
      <c r="G10" s="14">
        <v>1.06680293628519E-2</v>
      </c>
    </row>
    <row r="11" spans="2:8" x14ac:dyDescent="0.35">
      <c r="B11" s="23" t="s">
        <v>70</v>
      </c>
      <c r="C11" s="21">
        <v>5.8960722803733497E-2</v>
      </c>
      <c r="D11" s="21">
        <v>6.5362783054176601E-2</v>
      </c>
      <c r="E11" s="21">
        <v>1.3778178182612099E-2</v>
      </c>
      <c r="F11" s="21">
        <v>1.8673584862914198E-2</v>
      </c>
      <c r="G11" s="21">
        <v>6.6186556258146798E-3</v>
      </c>
    </row>
    <row r="12" spans="2:8" x14ac:dyDescent="0.35">
      <c r="B12" s="23" t="s">
        <v>381</v>
      </c>
      <c r="C12" s="21">
        <v>0.56780448873358202</v>
      </c>
      <c r="D12" s="21">
        <v>0.65327445070855805</v>
      </c>
      <c r="E12" s="21">
        <v>0.85360058145566697</v>
      </c>
      <c r="F12" s="21">
        <v>0.85463805493550105</v>
      </c>
      <c r="G12" s="21">
        <v>0.92215874837871203</v>
      </c>
    </row>
    <row r="13" spans="2:8" x14ac:dyDescent="0.35">
      <c r="B13" s="16" t="s">
        <v>74</v>
      </c>
      <c r="C13" s="16"/>
      <c r="D13" s="16"/>
      <c r="E13" s="16"/>
      <c r="F13" s="16"/>
      <c r="G13" s="16"/>
    </row>
    <row r="14" spans="2:8" x14ac:dyDescent="0.35">
      <c r="B14" t="s">
        <v>72</v>
      </c>
    </row>
    <row r="15" spans="2:8" x14ac:dyDescent="0.35">
      <c r="B15" t="s">
        <v>73</v>
      </c>
    </row>
    <row r="19" spans="2:2" x14ac:dyDescent="0.35">
      <c r="B19" s="8" t="str">
        <f>HYPERLINK("#'Contents'!A1", "Return to Contents")</f>
        <v>Return to Contents</v>
      </c>
    </row>
  </sheetData>
  <mergeCells count="1">
    <mergeCell ref="D2:H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dimension ref="B2:AN19"/>
  <sheetViews>
    <sheetView showGridLines="0" topLeftCell="A6" workbookViewId="0">
      <pane xSplit="2" topLeftCell="C1" activePane="topRight" state="frozen"/>
      <selection pane="topRight" activeCell="B19" sqref="B19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383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1216</v>
      </c>
      <c r="D7" s="10">
        <v>613</v>
      </c>
      <c r="E7" s="10">
        <v>598</v>
      </c>
      <c r="F7" s="10"/>
      <c r="G7" s="10" t="s">
        <v>75</v>
      </c>
      <c r="H7" s="10" t="s">
        <v>75</v>
      </c>
      <c r="I7" s="10">
        <v>1216</v>
      </c>
      <c r="J7" s="10"/>
      <c r="K7" s="10" t="s">
        <v>75</v>
      </c>
      <c r="L7" s="10">
        <v>924</v>
      </c>
      <c r="M7" s="10">
        <v>292</v>
      </c>
      <c r="N7" s="10"/>
      <c r="O7" s="10">
        <v>1020</v>
      </c>
      <c r="P7" s="10">
        <v>166</v>
      </c>
      <c r="Q7" s="10"/>
      <c r="R7" s="10">
        <v>177</v>
      </c>
      <c r="S7" s="10">
        <v>216</v>
      </c>
      <c r="T7" s="10">
        <v>97</v>
      </c>
      <c r="U7" s="10">
        <v>116</v>
      </c>
      <c r="V7" s="10">
        <v>104</v>
      </c>
      <c r="W7" s="10">
        <v>152</v>
      </c>
      <c r="X7" s="10">
        <v>76</v>
      </c>
      <c r="Y7" s="10">
        <v>70</v>
      </c>
      <c r="Z7" s="10">
        <v>208</v>
      </c>
      <c r="AA7" s="10"/>
      <c r="AB7" s="10">
        <v>152</v>
      </c>
      <c r="AC7" s="10">
        <v>147</v>
      </c>
      <c r="AD7" s="10">
        <v>152</v>
      </c>
      <c r="AE7" s="10">
        <v>106</v>
      </c>
      <c r="AF7" s="10"/>
      <c r="AG7" s="10">
        <v>95</v>
      </c>
      <c r="AH7" s="10">
        <v>46</v>
      </c>
      <c r="AI7" s="10"/>
      <c r="AJ7" s="10">
        <v>141</v>
      </c>
      <c r="AK7" s="10">
        <v>131</v>
      </c>
      <c r="AL7" s="10"/>
      <c r="AM7" s="10">
        <v>626</v>
      </c>
      <c r="AN7" s="10">
        <v>310</v>
      </c>
    </row>
    <row r="8" spans="2:40" ht="30" customHeight="1" x14ac:dyDescent="0.35">
      <c r="B8" s="11" t="s">
        <v>20</v>
      </c>
      <c r="C8" s="11">
        <v>1136</v>
      </c>
      <c r="D8" s="11">
        <v>540</v>
      </c>
      <c r="E8" s="11">
        <v>591</v>
      </c>
      <c r="F8" s="11"/>
      <c r="G8" s="11" t="s">
        <v>75</v>
      </c>
      <c r="H8" s="11" t="s">
        <v>75</v>
      </c>
      <c r="I8" s="11">
        <v>1136</v>
      </c>
      <c r="J8" s="11"/>
      <c r="K8" s="11" t="s">
        <v>75</v>
      </c>
      <c r="L8" s="11">
        <v>745</v>
      </c>
      <c r="M8" s="11">
        <v>391</v>
      </c>
      <c r="N8" s="11"/>
      <c r="O8" s="11">
        <v>946</v>
      </c>
      <c r="P8" s="11">
        <v>161</v>
      </c>
      <c r="Q8" s="11"/>
      <c r="R8" s="11">
        <v>183</v>
      </c>
      <c r="S8" s="11">
        <v>192</v>
      </c>
      <c r="T8" s="11">
        <v>104</v>
      </c>
      <c r="U8" s="11">
        <v>121</v>
      </c>
      <c r="V8" s="11">
        <v>99</v>
      </c>
      <c r="W8" s="11">
        <v>112</v>
      </c>
      <c r="X8" s="11">
        <v>107</v>
      </c>
      <c r="Y8" s="11">
        <v>62</v>
      </c>
      <c r="Z8" s="11">
        <v>157</v>
      </c>
      <c r="AA8" s="11"/>
      <c r="AB8" s="11">
        <v>117</v>
      </c>
      <c r="AC8" s="11">
        <v>117</v>
      </c>
      <c r="AD8" s="11">
        <v>211</v>
      </c>
      <c r="AE8" s="11">
        <v>141</v>
      </c>
      <c r="AF8" s="11"/>
      <c r="AG8" s="11">
        <v>117</v>
      </c>
      <c r="AH8" s="11">
        <v>63</v>
      </c>
      <c r="AI8" s="11"/>
      <c r="AJ8" s="11">
        <v>180</v>
      </c>
      <c r="AK8" s="11">
        <v>185</v>
      </c>
      <c r="AL8" s="11"/>
      <c r="AM8" s="11">
        <v>567</v>
      </c>
      <c r="AN8" s="11">
        <v>311</v>
      </c>
    </row>
    <row r="9" spans="2:40" x14ac:dyDescent="0.35">
      <c r="B9" s="15" t="s">
        <v>377</v>
      </c>
      <c r="C9" s="14">
        <v>0.45014888022644101</v>
      </c>
      <c r="D9" s="14">
        <v>0.47405595667524297</v>
      </c>
      <c r="E9" s="14">
        <v>0.42771735791633197</v>
      </c>
      <c r="F9" s="14"/>
      <c r="G9" s="14" t="s">
        <v>76</v>
      </c>
      <c r="H9" s="14" t="s">
        <v>76</v>
      </c>
      <c r="I9" s="14">
        <v>0.45014888022644101</v>
      </c>
      <c r="J9" s="14"/>
      <c r="K9" s="14" t="s">
        <v>76</v>
      </c>
      <c r="L9" s="14">
        <v>0.49674648986803899</v>
      </c>
      <c r="M9" s="14">
        <v>0.36153255767463499</v>
      </c>
      <c r="N9" s="14"/>
      <c r="O9" s="14">
        <v>0.43230795137261002</v>
      </c>
      <c r="P9" s="14">
        <v>0.59746337744608902</v>
      </c>
      <c r="Q9" s="14"/>
      <c r="R9" s="14">
        <v>0.54311407228449504</v>
      </c>
      <c r="S9" s="14">
        <v>0.42007725422612902</v>
      </c>
      <c r="T9" s="14">
        <v>0.381662047380809</v>
      </c>
      <c r="U9" s="14">
        <v>0.46158022636164597</v>
      </c>
      <c r="V9" s="14">
        <v>0.44153118042288297</v>
      </c>
      <c r="W9" s="14">
        <v>0.451962905320136</v>
      </c>
      <c r="X9" s="14">
        <v>0.39647256237686201</v>
      </c>
      <c r="Y9" s="14">
        <v>0.50160042559037499</v>
      </c>
      <c r="Z9" s="14">
        <v>0.43532546615530898</v>
      </c>
      <c r="AA9" s="14"/>
      <c r="AB9" s="14">
        <v>0.43823454155654601</v>
      </c>
      <c r="AC9" s="14">
        <v>0.70367506086951503</v>
      </c>
      <c r="AD9" s="14">
        <v>0.27152990651209702</v>
      </c>
      <c r="AE9" s="14">
        <v>0.50477868881569099</v>
      </c>
      <c r="AF9" s="14"/>
      <c r="AG9" s="14">
        <v>0.63070822096357804</v>
      </c>
      <c r="AH9" s="14">
        <v>0.14663520088594401</v>
      </c>
      <c r="AI9" s="14"/>
      <c r="AJ9" s="14">
        <v>0.46152473128875099</v>
      </c>
      <c r="AK9" s="14">
        <v>0.27074397596897398</v>
      </c>
      <c r="AL9" s="14"/>
      <c r="AM9" s="14">
        <v>0.63928105271313196</v>
      </c>
      <c r="AN9" s="14">
        <v>0.18510332040347299</v>
      </c>
    </row>
    <row r="10" spans="2:40" x14ac:dyDescent="0.35">
      <c r="B10" s="15" t="s">
        <v>378</v>
      </c>
      <c r="C10" s="14">
        <v>0.40448917470905998</v>
      </c>
      <c r="D10" s="14">
        <v>0.405809012539948</v>
      </c>
      <c r="E10" s="14">
        <v>0.405335067723192</v>
      </c>
      <c r="F10" s="14"/>
      <c r="G10" s="14" t="s">
        <v>76</v>
      </c>
      <c r="H10" s="14" t="s">
        <v>76</v>
      </c>
      <c r="I10" s="14">
        <v>0.40448917470905998</v>
      </c>
      <c r="J10" s="14"/>
      <c r="K10" s="14" t="s">
        <v>76</v>
      </c>
      <c r="L10" s="14">
        <v>0.37680976876987998</v>
      </c>
      <c r="M10" s="14">
        <v>0.45712808008670902</v>
      </c>
      <c r="N10" s="14"/>
      <c r="O10" s="14">
        <v>0.43007549165364001</v>
      </c>
      <c r="P10" s="14">
        <v>0.28100216298206199</v>
      </c>
      <c r="Q10" s="14"/>
      <c r="R10" s="14">
        <v>0.33459558903702002</v>
      </c>
      <c r="S10" s="14">
        <v>0.41380908693211699</v>
      </c>
      <c r="T10" s="14">
        <v>0.456781006929244</v>
      </c>
      <c r="U10" s="14">
        <v>0.41534499797380497</v>
      </c>
      <c r="V10" s="14">
        <v>0.34792543536590098</v>
      </c>
      <c r="W10" s="14">
        <v>0.43727901641933198</v>
      </c>
      <c r="X10" s="14">
        <v>0.45092823002569099</v>
      </c>
      <c r="Y10" s="14">
        <v>0.35163552642047002</v>
      </c>
      <c r="Z10" s="14">
        <v>0.43312103224278298</v>
      </c>
      <c r="AA10" s="14"/>
      <c r="AB10" s="14">
        <v>0.40087835405413003</v>
      </c>
      <c r="AC10" s="14">
        <v>0.27196386030974501</v>
      </c>
      <c r="AD10" s="14">
        <v>0.52117215868116995</v>
      </c>
      <c r="AE10" s="14">
        <v>0.38314977029845798</v>
      </c>
      <c r="AF10" s="14"/>
      <c r="AG10" s="14">
        <v>0.33779141377484501</v>
      </c>
      <c r="AH10" s="14">
        <v>0.60213328386295395</v>
      </c>
      <c r="AI10" s="14"/>
      <c r="AJ10" s="14">
        <v>0.43017888052831899</v>
      </c>
      <c r="AK10" s="14">
        <v>0.47984120472637598</v>
      </c>
      <c r="AL10" s="14"/>
      <c r="AM10" s="14">
        <v>0.31302104568903999</v>
      </c>
      <c r="AN10" s="14">
        <v>0.495397226926231</v>
      </c>
    </row>
    <row r="11" spans="2:40" x14ac:dyDescent="0.35">
      <c r="B11" s="15" t="s">
        <v>379</v>
      </c>
      <c r="C11" s="14">
        <v>9.7271966228134499E-2</v>
      </c>
      <c r="D11" s="14">
        <v>7.5231226828925093E-2</v>
      </c>
      <c r="E11" s="14">
        <v>0.11700836000046801</v>
      </c>
      <c r="F11" s="14"/>
      <c r="G11" s="14" t="s">
        <v>76</v>
      </c>
      <c r="H11" s="14" t="s">
        <v>76</v>
      </c>
      <c r="I11" s="14">
        <v>9.7271966228134499E-2</v>
      </c>
      <c r="J11" s="14"/>
      <c r="K11" s="14" t="s">
        <v>76</v>
      </c>
      <c r="L11" s="14">
        <v>8.0246339464458194E-2</v>
      </c>
      <c r="M11" s="14">
        <v>0.12965020289179699</v>
      </c>
      <c r="N11" s="14"/>
      <c r="O11" s="14">
        <v>9.5761888468298598E-2</v>
      </c>
      <c r="P11" s="14">
        <v>9.0757788824293306E-2</v>
      </c>
      <c r="Q11" s="14"/>
      <c r="R11" s="14">
        <v>6.7996131241294805E-2</v>
      </c>
      <c r="S11" s="14">
        <v>0.113497123385381</v>
      </c>
      <c r="T11" s="14">
        <v>0.118425215269096</v>
      </c>
      <c r="U11" s="14">
        <v>8.6607442818534899E-2</v>
      </c>
      <c r="V11" s="14">
        <v>0.14649125697318799</v>
      </c>
      <c r="W11" s="14">
        <v>7.6748886248314704E-2</v>
      </c>
      <c r="X11" s="14">
        <v>0.11754215398429201</v>
      </c>
      <c r="Y11" s="14">
        <v>9.1943371056660603E-2</v>
      </c>
      <c r="Z11" s="14">
        <v>7.7780642407673795E-2</v>
      </c>
      <c r="AA11" s="14"/>
      <c r="AB11" s="14">
        <v>0.115101478829347</v>
      </c>
      <c r="AC11" s="14">
        <v>1.7759850184065201E-2</v>
      </c>
      <c r="AD11" s="14">
        <v>0.16544089608162099</v>
      </c>
      <c r="AE11" s="14">
        <v>7.4724847589378696E-2</v>
      </c>
      <c r="AF11" s="14"/>
      <c r="AG11" s="14">
        <v>2.4525268262663501E-2</v>
      </c>
      <c r="AH11" s="14">
        <v>0.21013363407649999</v>
      </c>
      <c r="AI11" s="14"/>
      <c r="AJ11" s="14">
        <v>8.9395380288718199E-2</v>
      </c>
      <c r="AK11" s="14">
        <v>0.18330100376580599</v>
      </c>
      <c r="AL11" s="14"/>
      <c r="AM11" s="14">
        <v>2.6222189605522701E-2</v>
      </c>
      <c r="AN11" s="14">
        <v>0.21587579976288099</v>
      </c>
    </row>
    <row r="12" spans="2:40" x14ac:dyDescent="0.35">
      <c r="B12" s="15" t="s">
        <v>380</v>
      </c>
      <c r="C12" s="14">
        <v>2.9416393973450299E-2</v>
      </c>
      <c r="D12" s="14">
        <v>2.51277697455193E-2</v>
      </c>
      <c r="E12" s="14">
        <v>3.3584752473404297E-2</v>
      </c>
      <c r="F12" s="14"/>
      <c r="G12" s="14" t="s">
        <v>76</v>
      </c>
      <c r="H12" s="14" t="s">
        <v>76</v>
      </c>
      <c r="I12" s="14">
        <v>2.9416393973450299E-2</v>
      </c>
      <c r="J12" s="14"/>
      <c r="K12" s="14" t="s">
        <v>76</v>
      </c>
      <c r="L12" s="14">
        <v>2.3487811524415401E-2</v>
      </c>
      <c r="M12" s="14">
        <v>4.0690988928416598E-2</v>
      </c>
      <c r="N12" s="14"/>
      <c r="O12" s="14">
        <v>2.5193128948775501E-2</v>
      </c>
      <c r="P12" s="14">
        <v>2.13418112945006E-2</v>
      </c>
      <c r="Q12" s="14"/>
      <c r="R12" s="14">
        <v>2.74293746753159E-2</v>
      </c>
      <c r="S12" s="14">
        <v>3.6757716789875002E-2</v>
      </c>
      <c r="T12" s="14">
        <v>1.7770453888660599E-2</v>
      </c>
      <c r="U12" s="14">
        <v>1.46434278031016E-2</v>
      </c>
      <c r="V12" s="14">
        <v>4.6470010647705999E-2</v>
      </c>
      <c r="W12" s="14">
        <v>1.6682186063196901E-2</v>
      </c>
      <c r="X12" s="14">
        <v>3.50570536131556E-2</v>
      </c>
      <c r="Y12" s="14">
        <v>5.4820676932494997E-2</v>
      </c>
      <c r="Z12" s="14">
        <v>2.6261486971064198E-2</v>
      </c>
      <c r="AA12" s="14"/>
      <c r="AB12" s="14">
        <v>3.8493281989704503E-2</v>
      </c>
      <c r="AC12" s="14">
        <v>6.6012286366745696E-3</v>
      </c>
      <c r="AD12" s="14">
        <v>4.1857038725112101E-2</v>
      </c>
      <c r="AE12" s="14">
        <v>3.7346693296471702E-2</v>
      </c>
      <c r="AF12" s="14"/>
      <c r="AG12" s="14">
        <v>0</v>
      </c>
      <c r="AH12" s="14">
        <v>4.1097881174602301E-2</v>
      </c>
      <c r="AI12" s="14"/>
      <c r="AJ12" s="14">
        <v>1.43637068520065E-2</v>
      </c>
      <c r="AK12" s="14">
        <v>5.8206567186858502E-2</v>
      </c>
      <c r="AL12" s="14"/>
      <c r="AM12" s="14">
        <v>1.38272529303559E-2</v>
      </c>
      <c r="AN12" s="14">
        <v>6.6913571009082198E-2</v>
      </c>
    </row>
    <row r="13" spans="2:40" x14ac:dyDescent="0.35">
      <c r="B13" s="15" t="s">
        <v>70</v>
      </c>
      <c r="C13" s="21">
        <v>1.8673584862914198E-2</v>
      </c>
      <c r="D13" s="21">
        <v>1.97760342103648E-2</v>
      </c>
      <c r="E13" s="21">
        <v>1.6354461886604402E-2</v>
      </c>
      <c r="F13" s="21"/>
      <c r="G13" s="21" t="s">
        <v>76</v>
      </c>
      <c r="H13" s="21" t="s">
        <v>76</v>
      </c>
      <c r="I13" s="21">
        <v>1.8673584862914198E-2</v>
      </c>
      <c r="J13" s="21"/>
      <c r="K13" s="21" t="s">
        <v>76</v>
      </c>
      <c r="L13" s="21">
        <v>2.27095903732073E-2</v>
      </c>
      <c r="M13" s="21">
        <v>1.0998170418441901E-2</v>
      </c>
      <c r="N13" s="21"/>
      <c r="O13" s="21">
        <v>1.66615395566765E-2</v>
      </c>
      <c r="P13" s="21">
        <v>9.4348594530555708E-3</v>
      </c>
      <c r="Q13" s="21"/>
      <c r="R13" s="21">
        <v>2.6864832761874301E-2</v>
      </c>
      <c r="S13" s="21">
        <v>1.5858818666499099E-2</v>
      </c>
      <c r="T13" s="21">
        <v>2.5361276532190301E-2</v>
      </c>
      <c r="U13" s="21">
        <v>2.1823905042912602E-2</v>
      </c>
      <c r="V13" s="21">
        <v>1.7582116590322699E-2</v>
      </c>
      <c r="W13" s="21">
        <v>1.7327005949020698E-2</v>
      </c>
      <c r="X13" s="21">
        <v>0</v>
      </c>
      <c r="Y13" s="21">
        <v>0</v>
      </c>
      <c r="Z13" s="21">
        <v>2.7511372223169999E-2</v>
      </c>
      <c r="AA13" s="21"/>
      <c r="AB13" s="21">
        <v>7.2923435702724202E-3</v>
      </c>
      <c r="AC13" s="21">
        <v>0</v>
      </c>
      <c r="AD13" s="21">
        <v>0</v>
      </c>
      <c r="AE13" s="21">
        <v>0</v>
      </c>
      <c r="AF13" s="21"/>
      <c r="AG13" s="21">
        <v>6.9750969989137096E-3</v>
      </c>
      <c r="AH13" s="21">
        <v>0</v>
      </c>
      <c r="AI13" s="21"/>
      <c r="AJ13" s="21">
        <v>4.5373010422058201E-3</v>
      </c>
      <c r="AK13" s="21">
        <v>7.9072483519856997E-3</v>
      </c>
      <c r="AL13" s="21"/>
      <c r="AM13" s="21">
        <v>7.6484590619487099E-3</v>
      </c>
      <c r="AN13" s="21">
        <v>3.6710081898332601E-2</v>
      </c>
    </row>
    <row r="14" spans="2:40" x14ac:dyDescent="0.35">
      <c r="B14" s="25" t="s">
        <v>381</v>
      </c>
      <c r="C14" s="30">
        <v>0.85463805493550105</v>
      </c>
      <c r="D14" s="30">
        <v>0.87986496921519097</v>
      </c>
      <c r="E14" s="30">
        <v>0.83305242563952298</v>
      </c>
      <c r="F14" s="30"/>
      <c r="G14" s="30" t="s">
        <v>76</v>
      </c>
      <c r="H14" s="30" t="s">
        <v>76</v>
      </c>
      <c r="I14" s="30">
        <v>0.85463805493550105</v>
      </c>
      <c r="J14" s="30"/>
      <c r="K14" s="30" t="s">
        <v>76</v>
      </c>
      <c r="L14" s="30">
        <v>0.87355625863791897</v>
      </c>
      <c r="M14" s="30">
        <v>0.81866063776134501</v>
      </c>
      <c r="N14" s="30"/>
      <c r="O14" s="30">
        <v>0.86238344302624903</v>
      </c>
      <c r="P14" s="30">
        <v>0.87846554042815095</v>
      </c>
      <c r="Q14" s="30"/>
      <c r="R14" s="30">
        <v>0.87770966132151496</v>
      </c>
      <c r="S14" s="30">
        <v>0.833886341158245</v>
      </c>
      <c r="T14" s="30">
        <v>0.83844305431005295</v>
      </c>
      <c r="U14" s="30">
        <v>0.87692522433545095</v>
      </c>
      <c r="V14" s="30">
        <v>0.78945661578878301</v>
      </c>
      <c r="W14" s="30">
        <v>0.88924192173946803</v>
      </c>
      <c r="X14" s="30">
        <v>0.84740079240255195</v>
      </c>
      <c r="Y14" s="30">
        <v>0.85323595201084401</v>
      </c>
      <c r="Z14" s="30">
        <v>0.86844649839809196</v>
      </c>
      <c r="AA14" s="30"/>
      <c r="AB14" s="30">
        <v>0.83911289561067604</v>
      </c>
      <c r="AC14" s="30">
        <v>0.97563892117925999</v>
      </c>
      <c r="AD14" s="30">
        <v>0.79270206519326603</v>
      </c>
      <c r="AE14" s="30">
        <v>0.88792845911414997</v>
      </c>
      <c r="AF14" s="30"/>
      <c r="AG14" s="30">
        <v>0.96849963473842304</v>
      </c>
      <c r="AH14" s="30">
        <v>0.74876848474889801</v>
      </c>
      <c r="AI14" s="30"/>
      <c r="AJ14" s="30">
        <v>0.89170361181707003</v>
      </c>
      <c r="AK14" s="30">
        <v>0.75058518069534996</v>
      </c>
      <c r="AL14" s="30"/>
      <c r="AM14" s="30">
        <v>0.95230209840217295</v>
      </c>
      <c r="AN14" s="30">
        <v>0.680500547329704</v>
      </c>
    </row>
    <row r="15" spans="2:40" x14ac:dyDescent="0.35">
      <c r="B15" s="29" t="s">
        <v>74</v>
      </c>
    </row>
    <row r="16" spans="2:40" x14ac:dyDescent="0.35">
      <c r="B16" t="s">
        <v>72</v>
      </c>
    </row>
    <row r="17" spans="2:2" x14ac:dyDescent="0.35">
      <c r="B17" t="s">
        <v>73</v>
      </c>
    </row>
    <row r="19" spans="2:2" x14ac:dyDescent="0.35">
      <c r="B19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dimension ref="B2:AN19"/>
  <sheetViews>
    <sheetView showGridLines="0" workbookViewId="0">
      <pane xSplit="2" topLeftCell="C1" activePane="topRight" state="frozen"/>
      <selection pane="topRight" activeCell="B25" sqref="B25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384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1216</v>
      </c>
      <c r="D7" s="10">
        <v>613</v>
      </c>
      <c r="E7" s="10">
        <v>598</v>
      </c>
      <c r="F7" s="10"/>
      <c r="G7" s="10" t="s">
        <v>75</v>
      </c>
      <c r="H7" s="10" t="s">
        <v>75</v>
      </c>
      <c r="I7" s="10">
        <v>1216</v>
      </c>
      <c r="J7" s="10"/>
      <c r="K7" s="10" t="s">
        <v>75</v>
      </c>
      <c r="L7" s="10">
        <v>924</v>
      </c>
      <c r="M7" s="10">
        <v>292</v>
      </c>
      <c r="N7" s="10"/>
      <c r="O7" s="10">
        <v>1020</v>
      </c>
      <c r="P7" s="10">
        <v>166</v>
      </c>
      <c r="Q7" s="10"/>
      <c r="R7" s="10">
        <v>177</v>
      </c>
      <c r="S7" s="10">
        <v>216</v>
      </c>
      <c r="T7" s="10">
        <v>97</v>
      </c>
      <c r="U7" s="10">
        <v>116</v>
      </c>
      <c r="V7" s="10">
        <v>104</v>
      </c>
      <c r="W7" s="10">
        <v>152</v>
      </c>
      <c r="X7" s="10">
        <v>76</v>
      </c>
      <c r="Y7" s="10">
        <v>70</v>
      </c>
      <c r="Z7" s="10">
        <v>208</v>
      </c>
      <c r="AA7" s="10"/>
      <c r="AB7" s="10">
        <v>152</v>
      </c>
      <c r="AC7" s="10">
        <v>147</v>
      </c>
      <c r="AD7" s="10">
        <v>152</v>
      </c>
      <c r="AE7" s="10">
        <v>106</v>
      </c>
      <c r="AF7" s="10"/>
      <c r="AG7" s="10">
        <v>95</v>
      </c>
      <c r="AH7" s="10">
        <v>46</v>
      </c>
      <c r="AI7" s="10"/>
      <c r="AJ7" s="10">
        <v>141</v>
      </c>
      <c r="AK7" s="10">
        <v>131</v>
      </c>
      <c r="AL7" s="10"/>
      <c r="AM7" s="10">
        <v>626</v>
      </c>
      <c r="AN7" s="10">
        <v>310</v>
      </c>
    </row>
    <row r="8" spans="2:40" ht="30" customHeight="1" x14ac:dyDescent="0.35">
      <c r="B8" s="11" t="s">
        <v>20</v>
      </c>
      <c r="C8" s="11">
        <v>1136</v>
      </c>
      <c r="D8" s="11">
        <v>540</v>
      </c>
      <c r="E8" s="11">
        <v>591</v>
      </c>
      <c r="F8" s="11"/>
      <c r="G8" s="11" t="s">
        <v>75</v>
      </c>
      <c r="H8" s="11" t="s">
        <v>75</v>
      </c>
      <c r="I8" s="11">
        <v>1136</v>
      </c>
      <c r="J8" s="11"/>
      <c r="K8" s="11" t="s">
        <v>75</v>
      </c>
      <c r="L8" s="11">
        <v>745</v>
      </c>
      <c r="M8" s="11">
        <v>391</v>
      </c>
      <c r="N8" s="11"/>
      <c r="O8" s="11">
        <v>946</v>
      </c>
      <c r="P8" s="11">
        <v>161</v>
      </c>
      <c r="Q8" s="11"/>
      <c r="R8" s="11">
        <v>183</v>
      </c>
      <c r="S8" s="11">
        <v>192</v>
      </c>
      <c r="T8" s="11">
        <v>104</v>
      </c>
      <c r="U8" s="11">
        <v>121</v>
      </c>
      <c r="V8" s="11">
        <v>99</v>
      </c>
      <c r="W8" s="11">
        <v>112</v>
      </c>
      <c r="X8" s="11">
        <v>107</v>
      </c>
      <c r="Y8" s="11">
        <v>62</v>
      </c>
      <c r="Z8" s="11">
        <v>157</v>
      </c>
      <c r="AA8" s="11"/>
      <c r="AB8" s="11">
        <v>117</v>
      </c>
      <c r="AC8" s="11">
        <v>117</v>
      </c>
      <c r="AD8" s="11">
        <v>211</v>
      </c>
      <c r="AE8" s="11">
        <v>141</v>
      </c>
      <c r="AF8" s="11"/>
      <c r="AG8" s="11">
        <v>117</v>
      </c>
      <c r="AH8" s="11">
        <v>63</v>
      </c>
      <c r="AI8" s="11"/>
      <c r="AJ8" s="11">
        <v>180</v>
      </c>
      <c r="AK8" s="11">
        <v>185</v>
      </c>
      <c r="AL8" s="11"/>
      <c r="AM8" s="11">
        <v>567</v>
      </c>
      <c r="AN8" s="11">
        <v>311</v>
      </c>
    </row>
    <row r="9" spans="2:40" x14ac:dyDescent="0.35">
      <c r="B9" s="15" t="s">
        <v>377</v>
      </c>
      <c r="C9" s="14">
        <v>0.33797457824291299</v>
      </c>
      <c r="D9" s="14">
        <v>0.36400571308276097</v>
      </c>
      <c r="E9" s="14">
        <v>0.31697192650755701</v>
      </c>
      <c r="F9" s="14"/>
      <c r="G9" s="14" t="s">
        <v>76</v>
      </c>
      <c r="H9" s="14" t="s">
        <v>76</v>
      </c>
      <c r="I9" s="14">
        <v>0.33797457824291299</v>
      </c>
      <c r="J9" s="14"/>
      <c r="K9" s="14" t="s">
        <v>76</v>
      </c>
      <c r="L9" s="14">
        <v>0.38246020832406702</v>
      </c>
      <c r="M9" s="14">
        <v>0.25337468192821799</v>
      </c>
      <c r="N9" s="14"/>
      <c r="O9" s="14">
        <v>0.319490719098869</v>
      </c>
      <c r="P9" s="14">
        <v>0.49222692672922103</v>
      </c>
      <c r="Q9" s="14"/>
      <c r="R9" s="14">
        <v>0.45819084702608098</v>
      </c>
      <c r="S9" s="14">
        <v>0.28894258820209401</v>
      </c>
      <c r="T9" s="14">
        <v>0.27720815410143301</v>
      </c>
      <c r="U9" s="14">
        <v>0.308953072035691</v>
      </c>
      <c r="V9" s="14">
        <v>0.34980987679866499</v>
      </c>
      <c r="W9" s="14">
        <v>0.310415796649052</v>
      </c>
      <c r="X9" s="14">
        <v>0.319804766220467</v>
      </c>
      <c r="Y9" s="14">
        <v>0.34355846799277501</v>
      </c>
      <c r="Z9" s="14">
        <v>0.34279108542211401</v>
      </c>
      <c r="AA9" s="14"/>
      <c r="AB9" s="14">
        <v>0.29486637985637498</v>
      </c>
      <c r="AC9" s="14">
        <v>0.572712575939895</v>
      </c>
      <c r="AD9" s="14">
        <v>0.161645613190809</v>
      </c>
      <c r="AE9" s="14">
        <v>0.39609257815563897</v>
      </c>
      <c r="AF9" s="14"/>
      <c r="AG9" s="14">
        <v>0.63333305521123295</v>
      </c>
      <c r="AH9" s="14">
        <v>0.123257600228388</v>
      </c>
      <c r="AI9" s="14"/>
      <c r="AJ9" s="14">
        <v>0.45506171619375702</v>
      </c>
      <c r="AK9" s="14">
        <v>5.2185627443358001E-2</v>
      </c>
      <c r="AL9" s="14"/>
      <c r="AM9" s="14">
        <v>0.51450934905524603</v>
      </c>
      <c r="AN9" s="14">
        <v>9.1352819009117903E-2</v>
      </c>
    </row>
    <row r="10" spans="2:40" x14ac:dyDescent="0.35">
      <c r="B10" s="15" t="s">
        <v>378</v>
      </c>
      <c r="C10" s="14">
        <v>0.315299872465644</v>
      </c>
      <c r="D10" s="14">
        <v>0.32544823951540403</v>
      </c>
      <c r="E10" s="14">
        <v>0.30433365456693601</v>
      </c>
      <c r="F10" s="14"/>
      <c r="G10" s="14" t="s">
        <v>76</v>
      </c>
      <c r="H10" s="14" t="s">
        <v>76</v>
      </c>
      <c r="I10" s="14">
        <v>0.315299872465644</v>
      </c>
      <c r="J10" s="14"/>
      <c r="K10" s="14" t="s">
        <v>76</v>
      </c>
      <c r="L10" s="14">
        <v>0.31539901772922702</v>
      </c>
      <c r="M10" s="14">
        <v>0.31511132441082701</v>
      </c>
      <c r="N10" s="14"/>
      <c r="O10" s="14">
        <v>0.321963962292385</v>
      </c>
      <c r="P10" s="14">
        <v>0.29799470747851498</v>
      </c>
      <c r="Q10" s="14"/>
      <c r="R10" s="14">
        <v>0.26978086629791398</v>
      </c>
      <c r="S10" s="14">
        <v>0.27479806856968098</v>
      </c>
      <c r="T10" s="14">
        <v>0.31471198247702398</v>
      </c>
      <c r="U10" s="14">
        <v>0.35060346201839299</v>
      </c>
      <c r="V10" s="14">
        <v>0.28556583585881601</v>
      </c>
      <c r="W10" s="14">
        <v>0.294226460857754</v>
      </c>
      <c r="X10" s="14">
        <v>0.38988055299929703</v>
      </c>
      <c r="Y10" s="14">
        <v>0.40045656375740102</v>
      </c>
      <c r="Z10" s="14">
        <v>0.34038489385436299</v>
      </c>
      <c r="AA10" s="14"/>
      <c r="AB10" s="14">
        <v>0.29280072129211199</v>
      </c>
      <c r="AC10" s="14">
        <v>0.27143006207361497</v>
      </c>
      <c r="AD10" s="14">
        <v>0.32308161404714297</v>
      </c>
      <c r="AE10" s="14">
        <v>0.30622059652030997</v>
      </c>
      <c r="AF10" s="14"/>
      <c r="AG10" s="14">
        <v>0.30658874506030898</v>
      </c>
      <c r="AH10" s="14">
        <v>0.38009014742375002</v>
      </c>
      <c r="AI10" s="14"/>
      <c r="AJ10" s="14">
        <v>0.33227748050325201</v>
      </c>
      <c r="AK10" s="14">
        <v>0.29946414227261398</v>
      </c>
      <c r="AL10" s="14"/>
      <c r="AM10" s="14">
        <v>0.33714333613095798</v>
      </c>
      <c r="AN10" s="14">
        <v>0.282899384177425</v>
      </c>
    </row>
    <row r="11" spans="2:40" x14ac:dyDescent="0.35">
      <c r="B11" s="15" t="s">
        <v>379</v>
      </c>
      <c r="C11" s="14">
        <v>0.175760633944998</v>
      </c>
      <c r="D11" s="14">
        <v>0.165300962328261</v>
      </c>
      <c r="E11" s="14">
        <v>0.18424222142641</v>
      </c>
      <c r="F11" s="14"/>
      <c r="G11" s="14" t="s">
        <v>76</v>
      </c>
      <c r="H11" s="14" t="s">
        <v>76</v>
      </c>
      <c r="I11" s="14">
        <v>0.175760633944998</v>
      </c>
      <c r="J11" s="14"/>
      <c r="K11" s="14" t="s">
        <v>76</v>
      </c>
      <c r="L11" s="14">
        <v>0.16614725928079199</v>
      </c>
      <c r="M11" s="14">
        <v>0.19404272859764099</v>
      </c>
      <c r="N11" s="14"/>
      <c r="O11" s="14">
        <v>0.19070778512153899</v>
      </c>
      <c r="P11" s="14">
        <v>8.2999682860853893E-2</v>
      </c>
      <c r="Q11" s="14"/>
      <c r="R11" s="14">
        <v>0.13784690464246099</v>
      </c>
      <c r="S11" s="14">
        <v>0.22605950833023</v>
      </c>
      <c r="T11" s="14">
        <v>0.23265465000583799</v>
      </c>
      <c r="U11" s="14">
        <v>0.148930247910978</v>
      </c>
      <c r="V11" s="14">
        <v>0.19397419552051101</v>
      </c>
      <c r="W11" s="14">
        <v>0.200403528592284</v>
      </c>
      <c r="X11" s="14">
        <v>0.14563374947822999</v>
      </c>
      <c r="Y11" s="14">
        <v>0.107701141646942</v>
      </c>
      <c r="Z11" s="14">
        <v>0.159828841133308</v>
      </c>
      <c r="AA11" s="14"/>
      <c r="AB11" s="14">
        <v>0.24183789632545499</v>
      </c>
      <c r="AC11" s="14">
        <v>9.9202211322960296E-2</v>
      </c>
      <c r="AD11" s="14">
        <v>0.24243899921319501</v>
      </c>
      <c r="AE11" s="14">
        <v>0.119664491972786</v>
      </c>
      <c r="AF11" s="14"/>
      <c r="AG11" s="14">
        <v>3.2633490368451201E-2</v>
      </c>
      <c r="AH11" s="14">
        <v>0.18163554653904501</v>
      </c>
      <c r="AI11" s="14"/>
      <c r="AJ11" s="14">
        <v>8.4709699506532801E-2</v>
      </c>
      <c r="AK11" s="14">
        <v>0.31630152966570102</v>
      </c>
      <c r="AL11" s="14"/>
      <c r="AM11" s="14">
        <v>7.5867721482096306E-2</v>
      </c>
      <c r="AN11" s="14">
        <v>0.296912637106654</v>
      </c>
    </row>
    <row r="12" spans="2:40" x14ac:dyDescent="0.35">
      <c r="B12" s="15" t="s">
        <v>380</v>
      </c>
      <c r="C12" s="14">
        <v>0.105602132292268</v>
      </c>
      <c r="D12" s="14">
        <v>8.7518555568618803E-2</v>
      </c>
      <c r="E12" s="14">
        <v>0.12302516769534901</v>
      </c>
      <c r="F12" s="14"/>
      <c r="G12" s="14" t="s">
        <v>76</v>
      </c>
      <c r="H12" s="14" t="s">
        <v>76</v>
      </c>
      <c r="I12" s="14">
        <v>0.105602132292268</v>
      </c>
      <c r="J12" s="14"/>
      <c r="K12" s="14" t="s">
        <v>76</v>
      </c>
      <c r="L12" s="14">
        <v>6.7895955944114794E-2</v>
      </c>
      <c r="M12" s="14">
        <v>0.17730930163342601</v>
      </c>
      <c r="N12" s="14"/>
      <c r="O12" s="14">
        <v>0.104660665256002</v>
      </c>
      <c r="P12" s="14">
        <v>8.4733793711837702E-2</v>
      </c>
      <c r="Q12" s="14"/>
      <c r="R12" s="14">
        <v>8.7243003001171104E-2</v>
      </c>
      <c r="S12" s="14">
        <v>0.15314351174266899</v>
      </c>
      <c r="T12" s="14">
        <v>0.10842244587191401</v>
      </c>
      <c r="U12" s="14">
        <v>9.6850297831487006E-2</v>
      </c>
      <c r="V12" s="14">
        <v>0.101166136978419</v>
      </c>
      <c r="W12" s="14">
        <v>0.124375223764459</v>
      </c>
      <c r="X12" s="14">
        <v>9.5136093834777197E-2</v>
      </c>
      <c r="Y12" s="14">
        <v>0.12209966548946</v>
      </c>
      <c r="Z12" s="14">
        <v>6.3583637038251803E-2</v>
      </c>
      <c r="AA12" s="14"/>
      <c r="AB12" s="14">
        <v>0.111527125546832</v>
      </c>
      <c r="AC12" s="14">
        <v>2.1756351238097799E-2</v>
      </c>
      <c r="AD12" s="14">
        <v>0.206715869148547</v>
      </c>
      <c r="AE12" s="14">
        <v>0.152039083067501</v>
      </c>
      <c r="AF12" s="14"/>
      <c r="AG12" s="14">
        <v>2.0469612361093299E-2</v>
      </c>
      <c r="AH12" s="14">
        <v>0.28617308355579402</v>
      </c>
      <c r="AI12" s="14"/>
      <c r="AJ12" s="14">
        <v>0.11333295861456801</v>
      </c>
      <c r="AK12" s="14">
        <v>0.24153998501868701</v>
      </c>
      <c r="AL12" s="14"/>
      <c r="AM12" s="14">
        <v>4.5714139019118402E-2</v>
      </c>
      <c r="AN12" s="14">
        <v>0.22877548807482601</v>
      </c>
    </row>
    <row r="13" spans="2:40" x14ac:dyDescent="0.35">
      <c r="B13" s="15" t="s">
        <v>70</v>
      </c>
      <c r="C13" s="21">
        <v>6.5362783054176601E-2</v>
      </c>
      <c r="D13" s="21">
        <v>5.7726529504955298E-2</v>
      </c>
      <c r="E13" s="21">
        <v>7.1427029803748002E-2</v>
      </c>
      <c r="F13" s="21"/>
      <c r="G13" s="21" t="s">
        <v>76</v>
      </c>
      <c r="H13" s="21" t="s">
        <v>76</v>
      </c>
      <c r="I13" s="21">
        <v>6.5362783054176601E-2</v>
      </c>
      <c r="J13" s="21"/>
      <c r="K13" s="21" t="s">
        <v>76</v>
      </c>
      <c r="L13" s="21">
        <v>6.8097558721800205E-2</v>
      </c>
      <c r="M13" s="21">
        <v>6.0161963429887999E-2</v>
      </c>
      <c r="N13" s="21"/>
      <c r="O13" s="21">
        <v>6.3176868231205205E-2</v>
      </c>
      <c r="P13" s="21">
        <v>4.2044889219572203E-2</v>
      </c>
      <c r="Q13" s="21"/>
      <c r="R13" s="21">
        <v>4.69383790323731E-2</v>
      </c>
      <c r="S13" s="21">
        <v>5.7056323155326001E-2</v>
      </c>
      <c r="T13" s="21">
        <v>6.7002767543791503E-2</v>
      </c>
      <c r="U13" s="21">
        <v>9.4662920203451004E-2</v>
      </c>
      <c r="V13" s="21">
        <v>6.9483954843589102E-2</v>
      </c>
      <c r="W13" s="21">
        <v>7.0578990136450206E-2</v>
      </c>
      <c r="X13" s="21">
        <v>4.9544837467228202E-2</v>
      </c>
      <c r="Y13" s="21">
        <v>2.61841611134228E-2</v>
      </c>
      <c r="Z13" s="21">
        <v>9.3411542551963503E-2</v>
      </c>
      <c r="AA13" s="21"/>
      <c r="AB13" s="21">
        <v>5.8967876979225002E-2</v>
      </c>
      <c r="AC13" s="21">
        <v>3.4898799425431497E-2</v>
      </c>
      <c r="AD13" s="21">
        <v>6.6117904400305794E-2</v>
      </c>
      <c r="AE13" s="21">
        <v>2.5983250283764001E-2</v>
      </c>
      <c r="AF13" s="21"/>
      <c r="AG13" s="21">
        <v>6.9750969989137096E-3</v>
      </c>
      <c r="AH13" s="21">
        <v>2.8843622253024E-2</v>
      </c>
      <c r="AI13" s="21"/>
      <c r="AJ13" s="21">
        <v>1.46181451818905E-2</v>
      </c>
      <c r="AK13" s="21">
        <v>9.0508715599640702E-2</v>
      </c>
      <c r="AL13" s="21"/>
      <c r="AM13" s="21">
        <v>2.6765454312581E-2</v>
      </c>
      <c r="AN13" s="21">
        <v>0.100059671631977</v>
      </c>
    </row>
    <row r="14" spans="2:40" x14ac:dyDescent="0.35">
      <c r="B14" s="25" t="s">
        <v>381</v>
      </c>
      <c r="C14" s="30">
        <v>0.65327445070855805</v>
      </c>
      <c r="D14" s="30">
        <v>0.689453952598165</v>
      </c>
      <c r="E14" s="30">
        <v>0.62130558107449196</v>
      </c>
      <c r="F14" s="30"/>
      <c r="G14" s="30" t="s">
        <v>76</v>
      </c>
      <c r="H14" s="30" t="s">
        <v>76</v>
      </c>
      <c r="I14" s="30">
        <v>0.65327445070855805</v>
      </c>
      <c r="J14" s="30"/>
      <c r="K14" s="30" t="s">
        <v>76</v>
      </c>
      <c r="L14" s="30">
        <v>0.69785922605329298</v>
      </c>
      <c r="M14" s="30">
        <v>0.568486006339044</v>
      </c>
      <c r="N14" s="30"/>
      <c r="O14" s="30">
        <v>0.64145468139125394</v>
      </c>
      <c r="P14" s="30">
        <v>0.79022163420773595</v>
      </c>
      <c r="Q14" s="30"/>
      <c r="R14" s="30">
        <v>0.72797171332399502</v>
      </c>
      <c r="S14" s="30">
        <v>0.56374065677177498</v>
      </c>
      <c r="T14" s="30">
        <v>0.59192013657845699</v>
      </c>
      <c r="U14" s="30">
        <v>0.65955653405408399</v>
      </c>
      <c r="V14" s="30">
        <v>0.63537571265748105</v>
      </c>
      <c r="W14" s="30">
        <v>0.604642257506807</v>
      </c>
      <c r="X14" s="30">
        <v>0.70968531921976497</v>
      </c>
      <c r="Y14" s="30">
        <v>0.74401503175017503</v>
      </c>
      <c r="Z14" s="30">
        <v>0.683175979276477</v>
      </c>
      <c r="AA14" s="30"/>
      <c r="AB14" s="30">
        <v>0.58766710114848797</v>
      </c>
      <c r="AC14" s="30">
        <v>0.84414263801350997</v>
      </c>
      <c r="AD14" s="30">
        <v>0.48472722723795197</v>
      </c>
      <c r="AE14" s="30">
        <v>0.70231317467595</v>
      </c>
      <c r="AF14" s="30"/>
      <c r="AG14" s="30">
        <v>0.93992180027154204</v>
      </c>
      <c r="AH14" s="30">
        <v>0.50334774765213697</v>
      </c>
      <c r="AI14" s="30"/>
      <c r="AJ14" s="30">
        <v>0.78733919669700902</v>
      </c>
      <c r="AK14" s="30">
        <v>0.351649769715972</v>
      </c>
      <c r="AL14" s="30"/>
      <c r="AM14" s="30">
        <v>0.85165268518620396</v>
      </c>
      <c r="AN14" s="30">
        <v>0.37425220318654301</v>
      </c>
    </row>
    <row r="15" spans="2:40" x14ac:dyDescent="0.35">
      <c r="B15" s="29" t="s">
        <v>74</v>
      </c>
    </row>
    <row r="16" spans="2:40" x14ac:dyDescent="0.35">
      <c r="B16" t="s">
        <v>72</v>
      </c>
    </row>
    <row r="17" spans="2:2" x14ac:dyDescent="0.35">
      <c r="B17" t="s">
        <v>73</v>
      </c>
    </row>
    <row r="19" spans="2:2" x14ac:dyDescent="0.35">
      <c r="B19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dimension ref="B2:AN19"/>
  <sheetViews>
    <sheetView showGridLines="0" topLeftCell="A5" workbookViewId="0">
      <pane xSplit="2" topLeftCell="C1" activePane="topRight" state="frozen"/>
      <selection activeCell="B19" sqref="B19"/>
      <selection pane="topRight" activeCell="B19" sqref="B19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385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1216</v>
      </c>
      <c r="D7" s="10">
        <v>613</v>
      </c>
      <c r="E7" s="10">
        <v>598</v>
      </c>
      <c r="F7" s="10"/>
      <c r="G7" s="10" t="s">
        <v>75</v>
      </c>
      <c r="H7" s="10" t="s">
        <v>75</v>
      </c>
      <c r="I7" s="10">
        <v>1216</v>
      </c>
      <c r="J7" s="10"/>
      <c r="K7" s="10" t="s">
        <v>75</v>
      </c>
      <c r="L7" s="10">
        <v>924</v>
      </c>
      <c r="M7" s="10">
        <v>292</v>
      </c>
      <c r="N7" s="10"/>
      <c r="O7" s="10">
        <v>1020</v>
      </c>
      <c r="P7" s="10">
        <v>166</v>
      </c>
      <c r="Q7" s="10"/>
      <c r="R7" s="10">
        <v>177</v>
      </c>
      <c r="S7" s="10">
        <v>216</v>
      </c>
      <c r="T7" s="10">
        <v>97</v>
      </c>
      <c r="U7" s="10">
        <v>116</v>
      </c>
      <c r="V7" s="10">
        <v>104</v>
      </c>
      <c r="W7" s="10">
        <v>152</v>
      </c>
      <c r="X7" s="10">
        <v>76</v>
      </c>
      <c r="Y7" s="10">
        <v>70</v>
      </c>
      <c r="Z7" s="10">
        <v>208</v>
      </c>
      <c r="AA7" s="10"/>
      <c r="AB7" s="10">
        <v>152</v>
      </c>
      <c r="AC7" s="10">
        <v>147</v>
      </c>
      <c r="AD7" s="10">
        <v>152</v>
      </c>
      <c r="AE7" s="10">
        <v>106</v>
      </c>
      <c r="AF7" s="10"/>
      <c r="AG7" s="10">
        <v>95</v>
      </c>
      <c r="AH7" s="10">
        <v>46</v>
      </c>
      <c r="AI7" s="10"/>
      <c r="AJ7" s="10">
        <v>141</v>
      </c>
      <c r="AK7" s="10">
        <v>131</v>
      </c>
      <c r="AL7" s="10"/>
      <c r="AM7" s="10">
        <v>626</v>
      </c>
      <c r="AN7" s="10">
        <v>310</v>
      </c>
    </row>
    <row r="8" spans="2:40" ht="30" customHeight="1" x14ac:dyDescent="0.35">
      <c r="B8" s="11" t="s">
        <v>20</v>
      </c>
      <c r="C8" s="11">
        <v>1136</v>
      </c>
      <c r="D8" s="11">
        <v>540</v>
      </c>
      <c r="E8" s="11">
        <v>591</v>
      </c>
      <c r="F8" s="11"/>
      <c r="G8" s="11" t="s">
        <v>75</v>
      </c>
      <c r="H8" s="11" t="s">
        <v>75</v>
      </c>
      <c r="I8" s="11">
        <v>1136</v>
      </c>
      <c r="J8" s="11"/>
      <c r="K8" s="11" t="s">
        <v>75</v>
      </c>
      <c r="L8" s="11">
        <v>745</v>
      </c>
      <c r="M8" s="11">
        <v>391</v>
      </c>
      <c r="N8" s="11"/>
      <c r="O8" s="11">
        <v>946</v>
      </c>
      <c r="P8" s="11">
        <v>161</v>
      </c>
      <c r="Q8" s="11"/>
      <c r="R8" s="11">
        <v>183</v>
      </c>
      <c r="S8" s="11">
        <v>192</v>
      </c>
      <c r="T8" s="11">
        <v>104</v>
      </c>
      <c r="U8" s="11">
        <v>121</v>
      </c>
      <c r="V8" s="11">
        <v>99</v>
      </c>
      <c r="W8" s="11">
        <v>112</v>
      </c>
      <c r="X8" s="11">
        <v>107</v>
      </c>
      <c r="Y8" s="11">
        <v>62</v>
      </c>
      <c r="Z8" s="11">
        <v>157</v>
      </c>
      <c r="AA8" s="11"/>
      <c r="AB8" s="11">
        <v>117</v>
      </c>
      <c r="AC8" s="11">
        <v>117</v>
      </c>
      <c r="AD8" s="11">
        <v>211</v>
      </c>
      <c r="AE8" s="11">
        <v>141</v>
      </c>
      <c r="AF8" s="11"/>
      <c r="AG8" s="11">
        <v>117</v>
      </c>
      <c r="AH8" s="11">
        <v>63</v>
      </c>
      <c r="AI8" s="11"/>
      <c r="AJ8" s="11">
        <v>180</v>
      </c>
      <c r="AK8" s="11">
        <v>185</v>
      </c>
      <c r="AL8" s="11"/>
      <c r="AM8" s="11">
        <v>567</v>
      </c>
      <c r="AN8" s="11">
        <v>311</v>
      </c>
    </row>
    <row r="9" spans="2:40" x14ac:dyDescent="0.35">
      <c r="B9" s="15" t="s">
        <v>377</v>
      </c>
      <c r="C9" s="14">
        <v>0.22017749859824601</v>
      </c>
      <c r="D9" s="14">
        <v>0.27045558576885198</v>
      </c>
      <c r="E9" s="14">
        <v>0.17332471847198599</v>
      </c>
      <c r="F9" s="14"/>
      <c r="G9" s="14" t="s">
        <v>76</v>
      </c>
      <c r="H9" s="14" t="s">
        <v>76</v>
      </c>
      <c r="I9" s="14">
        <v>0.22017749859824601</v>
      </c>
      <c r="J9" s="14"/>
      <c r="K9" s="14" t="s">
        <v>76</v>
      </c>
      <c r="L9" s="14">
        <v>0.25149150771926299</v>
      </c>
      <c r="M9" s="14">
        <v>0.160626539782946</v>
      </c>
      <c r="N9" s="14"/>
      <c r="O9" s="14">
        <v>0.20291374685286201</v>
      </c>
      <c r="P9" s="14">
        <v>0.340609817829504</v>
      </c>
      <c r="Q9" s="14"/>
      <c r="R9" s="14">
        <v>0.33790061385776599</v>
      </c>
      <c r="S9" s="14">
        <v>0.20104614764043299</v>
      </c>
      <c r="T9" s="14">
        <v>0.176196446729602</v>
      </c>
      <c r="U9" s="14">
        <v>0.20625506593392001</v>
      </c>
      <c r="V9" s="14">
        <v>0.2115382438108</v>
      </c>
      <c r="W9" s="14">
        <v>0.14581169128251001</v>
      </c>
      <c r="X9" s="14">
        <v>0.17834857257634301</v>
      </c>
      <c r="Y9" s="14">
        <v>0.27627797436910301</v>
      </c>
      <c r="Z9" s="14">
        <v>0.21102171458303001</v>
      </c>
      <c r="AA9" s="14"/>
      <c r="AB9" s="14">
        <v>0.23327694100062199</v>
      </c>
      <c r="AC9" s="14">
        <v>0.311369279805985</v>
      </c>
      <c r="AD9" s="14">
        <v>0.118496432705978</v>
      </c>
      <c r="AE9" s="14">
        <v>0.21229350357912499</v>
      </c>
      <c r="AF9" s="14"/>
      <c r="AG9" s="14">
        <v>0.29374444258308002</v>
      </c>
      <c r="AH9" s="14">
        <v>0.135464759734852</v>
      </c>
      <c r="AI9" s="14"/>
      <c r="AJ9" s="14">
        <v>0.23842570351228101</v>
      </c>
      <c r="AK9" s="14">
        <v>8.2974828725975197E-2</v>
      </c>
      <c r="AL9" s="14"/>
      <c r="AM9" s="14">
        <v>0.329685150803529</v>
      </c>
      <c r="AN9" s="14">
        <v>8.95703023612541E-2</v>
      </c>
    </row>
    <row r="10" spans="2:40" x14ac:dyDescent="0.35">
      <c r="B10" s="15" t="s">
        <v>378</v>
      </c>
      <c r="C10" s="14">
        <v>0.34762699013533599</v>
      </c>
      <c r="D10" s="14">
        <v>0.38115672960095698</v>
      </c>
      <c r="E10" s="14">
        <v>0.31691288835475101</v>
      </c>
      <c r="F10" s="14"/>
      <c r="G10" s="14" t="s">
        <v>76</v>
      </c>
      <c r="H10" s="14" t="s">
        <v>76</v>
      </c>
      <c r="I10" s="14">
        <v>0.34762699013533599</v>
      </c>
      <c r="J10" s="14"/>
      <c r="K10" s="14" t="s">
        <v>76</v>
      </c>
      <c r="L10" s="14">
        <v>0.354051483529018</v>
      </c>
      <c r="M10" s="14">
        <v>0.33540930379508599</v>
      </c>
      <c r="N10" s="14"/>
      <c r="O10" s="14">
        <v>0.35239774095955501</v>
      </c>
      <c r="P10" s="14">
        <v>0.33396370586246199</v>
      </c>
      <c r="Q10" s="14"/>
      <c r="R10" s="14">
        <v>0.35872808592234201</v>
      </c>
      <c r="S10" s="14">
        <v>0.286073348534085</v>
      </c>
      <c r="T10" s="14">
        <v>0.36494190731971499</v>
      </c>
      <c r="U10" s="14">
        <v>0.32331050694422497</v>
      </c>
      <c r="V10" s="14">
        <v>0.33711355379822</v>
      </c>
      <c r="W10" s="14">
        <v>0.42189452539317901</v>
      </c>
      <c r="X10" s="14">
        <v>0.36859592519405399</v>
      </c>
      <c r="Y10" s="14">
        <v>0.331719162100235</v>
      </c>
      <c r="Z10" s="14">
        <v>0.362774363235988</v>
      </c>
      <c r="AA10" s="14"/>
      <c r="AB10" s="14">
        <v>0.33909088083973399</v>
      </c>
      <c r="AC10" s="14">
        <v>0.36578220028713998</v>
      </c>
      <c r="AD10" s="14">
        <v>0.33949127268601198</v>
      </c>
      <c r="AE10" s="14">
        <v>0.33774075371647</v>
      </c>
      <c r="AF10" s="14"/>
      <c r="AG10" s="14">
        <v>0.38292281052912103</v>
      </c>
      <c r="AH10" s="14">
        <v>0.34092642353125702</v>
      </c>
      <c r="AI10" s="14"/>
      <c r="AJ10" s="14">
        <v>0.36824507594913197</v>
      </c>
      <c r="AK10" s="14">
        <v>0.31168268961159101</v>
      </c>
      <c r="AL10" s="14"/>
      <c r="AM10" s="14">
        <v>0.39891775777357003</v>
      </c>
      <c r="AN10" s="14">
        <v>0.26533949514984501</v>
      </c>
    </row>
    <row r="11" spans="2:40" x14ac:dyDescent="0.35">
      <c r="B11" s="15" t="s">
        <v>379</v>
      </c>
      <c r="C11" s="14">
        <v>0.243306276430034</v>
      </c>
      <c r="D11" s="14">
        <v>0.20110773963554901</v>
      </c>
      <c r="E11" s="14">
        <v>0.28393746299853101</v>
      </c>
      <c r="F11" s="14"/>
      <c r="G11" s="14" t="s">
        <v>76</v>
      </c>
      <c r="H11" s="14" t="s">
        <v>76</v>
      </c>
      <c r="I11" s="14">
        <v>0.243306276430034</v>
      </c>
      <c r="J11" s="14"/>
      <c r="K11" s="14" t="s">
        <v>76</v>
      </c>
      <c r="L11" s="14">
        <v>0.222919572047241</v>
      </c>
      <c r="M11" s="14">
        <v>0.28207639329330803</v>
      </c>
      <c r="N11" s="14"/>
      <c r="O11" s="14">
        <v>0.24766712290210699</v>
      </c>
      <c r="P11" s="14">
        <v>0.24551636725551099</v>
      </c>
      <c r="Q11" s="14"/>
      <c r="R11" s="14">
        <v>0.16665795941790301</v>
      </c>
      <c r="S11" s="14">
        <v>0.31689091799685998</v>
      </c>
      <c r="T11" s="14">
        <v>0.23525462998414201</v>
      </c>
      <c r="U11" s="14">
        <v>0.26861958147704201</v>
      </c>
      <c r="V11" s="14">
        <v>0.22556743072736199</v>
      </c>
      <c r="W11" s="14">
        <v>0.23506894270266299</v>
      </c>
      <c r="X11" s="14">
        <v>0.28744749342832798</v>
      </c>
      <c r="Y11" s="14">
        <v>0.23358234212846901</v>
      </c>
      <c r="Z11" s="14">
        <v>0.219295169241918</v>
      </c>
      <c r="AA11" s="14"/>
      <c r="AB11" s="14">
        <v>0.22695469905330501</v>
      </c>
      <c r="AC11" s="14">
        <v>0.20758386207567001</v>
      </c>
      <c r="AD11" s="14">
        <v>0.32862996208311301</v>
      </c>
      <c r="AE11" s="14">
        <v>0.23422202417032001</v>
      </c>
      <c r="AF11" s="14"/>
      <c r="AG11" s="14">
        <v>0.21663588021653599</v>
      </c>
      <c r="AH11" s="14">
        <v>0.248429559047943</v>
      </c>
      <c r="AI11" s="14"/>
      <c r="AJ11" s="14">
        <v>0.227747768942406</v>
      </c>
      <c r="AK11" s="14">
        <v>0.335081211483163</v>
      </c>
      <c r="AL11" s="14"/>
      <c r="AM11" s="14">
        <v>0.17365661716370601</v>
      </c>
      <c r="AN11" s="14">
        <v>0.299953917703707</v>
      </c>
    </row>
    <row r="12" spans="2:40" x14ac:dyDescent="0.35">
      <c r="B12" s="15" t="s">
        <v>380</v>
      </c>
      <c r="C12" s="14">
        <v>0.12992851203264999</v>
      </c>
      <c r="D12" s="14">
        <v>9.8631586339393798E-2</v>
      </c>
      <c r="E12" s="14">
        <v>0.158404929824567</v>
      </c>
      <c r="F12" s="14"/>
      <c r="G12" s="14" t="s">
        <v>76</v>
      </c>
      <c r="H12" s="14" t="s">
        <v>76</v>
      </c>
      <c r="I12" s="14">
        <v>0.12992851203264999</v>
      </c>
      <c r="J12" s="14"/>
      <c r="K12" s="14" t="s">
        <v>76</v>
      </c>
      <c r="L12" s="14">
        <v>0.100974095499111</v>
      </c>
      <c r="M12" s="14">
        <v>0.18499215015852</v>
      </c>
      <c r="N12" s="14"/>
      <c r="O12" s="14">
        <v>0.132578611200103</v>
      </c>
      <c r="P12" s="14">
        <v>7.0475249599467105E-2</v>
      </c>
      <c r="Q12" s="14"/>
      <c r="R12" s="14">
        <v>0.104971296875155</v>
      </c>
      <c r="S12" s="14">
        <v>0.16430267096007301</v>
      </c>
      <c r="T12" s="14">
        <v>0.137956436613307</v>
      </c>
      <c r="U12" s="14">
        <v>0.139219856614924</v>
      </c>
      <c r="V12" s="14">
        <v>0.15694128285773901</v>
      </c>
      <c r="W12" s="14">
        <v>0.13782983750539601</v>
      </c>
      <c r="X12" s="14">
        <v>0.118286108649653</v>
      </c>
      <c r="Y12" s="14">
        <v>0.118975936101385</v>
      </c>
      <c r="Z12" s="14">
        <v>9.4105559607644898E-2</v>
      </c>
      <c r="AA12" s="14"/>
      <c r="AB12" s="14">
        <v>0.170057980381009</v>
      </c>
      <c r="AC12" s="14">
        <v>7.9693732567816603E-2</v>
      </c>
      <c r="AD12" s="14">
        <v>0.187450023937793</v>
      </c>
      <c r="AE12" s="14">
        <v>0.187656003328737</v>
      </c>
      <c r="AF12" s="14"/>
      <c r="AG12" s="14">
        <v>9.9721769672348706E-2</v>
      </c>
      <c r="AH12" s="14">
        <v>0.27517925768594798</v>
      </c>
      <c r="AI12" s="14"/>
      <c r="AJ12" s="14">
        <v>0.161044150553975</v>
      </c>
      <c r="AK12" s="14">
        <v>0.211356716751053</v>
      </c>
      <c r="AL12" s="14"/>
      <c r="AM12" s="14">
        <v>5.7194752964336799E-2</v>
      </c>
      <c r="AN12" s="14">
        <v>0.271530407290972</v>
      </c>
    </row>
    <row r="13" spans="2:40" x14ac:dyDescent="0.35">
      <c r="B13" s="15" t="s">
        <v>70</v>
      </c>
      <c r="C13" s="21">
        <v>5.8960722803733497E-2</v>
      </c>
      <c r="D13" s="21">
        <v>4.8648358655247102E-2</v>
      </c>
      <c r="E13" s="21">
        <v>6.7420000350164502E-2</v>
      </c>
      <c r="F13" s="21"/>
      <c r="G13" s="21" t="s">
        <v>76</v>
      </c>
      <c r="H13" s="21" t="s">
        <v>76</v>
      </c>
      <c r="I13" s="21">
        <v>5.8960722803733497E-2</v>
      </c>
      <c r="J13" s="21"/>
      <c r="K13" s="21" t="s">
        <v>76</v>
      </c>
      <c r="L13" s="21">
        <v>7.0563341205367294E-2</v>
      </c>
      <c r="M13" s="21">
        <v>3.6895612970141399E-2</v>
      </c>
      <c r="N13" s="21"/>
      <c r="O13" s="21">
        <v>6.4442778085372299E-2</v>
      </c>
      <c r="P13" s="21">
        <v>9.4348594530555708E-3</v>
      </c>
      <c r="Q13" s="21"/>
      <c r="R13" s="21">
        <v>3.1742043926834801E-2</v>
      </c>
      <c r="S13" s="21">
        <v>3.1686914868548799E-2</v>
      </c>
      <c r="T13" s="21">
        <v>8.5650579353233794E-2</v>
      </c>
      <c r="U13" s="21">
        <v>6.2594989029887693E-2</v>
      </c>
      <c r="V13" s="21">
        <v>6.8839488805878701E-2</v>
      </c>
      <c r="W13" s="21">
        <v>5.9395003116252301E-2</v>
      </c>
      <c r="X13" s="21">
        <v>4.7321900151622499E-2</v>
      </c>
      <c r="Y13" s="21">
        <v>3.9444585300806398E-2</v>
      </c>
      <c r="Z13" s="21">
        <v>0.112803193331419</v>
      </c>
      <c r="AA13" s="21"/>
      <c r="AB13" s="21">
        <v>3.0619498725330398E-2</v>
      </c>
      <c r="AC13" s="21">
        <v>3.5570925263388002E-2</v>
      </c>
      <c r="AD13" s="21">
        <v>2.5932308587104901E-2</v>
      </c>
      <c r="AE13" s="21">
        <v>2.8087715205348699E-2</v>
      </c>
      <c r="AF13" s="21"/>
      <c r="AG13" s="21">
        <v>6.9750969989137096E-3</v>
      </c>
      <c r="AH13" s="21">
        <v>0</v>
      </c>
      <c r="AI13" s="21"/>
      <c r="AJ13" s="21">
        <v>4.5373010422058201E-3</v>
      </c>
      <c r="AK13" s="21">
        <v>5.8904553428217099E-2</v>
      </c>
      <c r="AL13" s="21"/>
      <c r="AM13" s="21">
        <v>4.0545721294857701E-2</v>
      </c>
      <c r="AN13" s="21">
        <v>7.3605877494222399E-2</v>
      </c>
    </row>
    <row r="14" spans="2:40" x14ac:dyDescent="0.35">
      <c r="B14" s="25" t="s">
        <v>381</v>
      </c>
      <c r="C14" s="30">
        <v>0.56780448873358202</v>
      </c>
      <c r="D14" s="30">
        <v>0.65161231536981001</v>
      </c>
      <c r="E14" s="30">
        <v>0.490237606826737</v>
      </c>
      <c r="F14" s="30"/>
      <c r="G14" s="30" t="s">
        <v>76</v>
      </c>
      <c r="H14" s="30" t="s">
        <v>76</v>
      </c>
      <c r="I14" s="30">
        <v>0.56780448873358202</v>
      </c>
      <c r="J14" s="30"/>
      <c r="K14" s="30" t="s">
        <v>76</v>
      </c>
      <c r="L14" s="30">
        <v>0.60554299124828104</v>
      </c>
      <c r="M14" s="30">
        <v>0.49603584357803099</v>
      </c>
      <c r="N14" s="30"/>
      <c r="O14" s="30">
        <v>0.55531148781241702</v>
      </c>
      <c r="P14" s="30">
        <v>0.67457352369196699</v>
      </c>
      <c r="Q14" s="30"/>
      <c r="R14" s="30">
        <v>0.696628699780108</v>
      </c>
      <c r="S14" s="30">
        <v>0.487119496174518</v>
      </c>
      <c r="T14" s="30">
        <v>0.54113835404931698</v>
      </c>
      <c r="U14" s="30">
        <v>0.52956557287814598</v>
      </c>
      <c r="V14" s="30">
        <v>0.54865179760902005</v>
      </c>
      <c r="W14" s="30">
        <v>0.56770621667568899</v>
      </c>
      <c r="X14" s="30">
        <v>0.546944497770397</v>
      </c>
      <c r="Y14" s="30">
        <v>0.60799713646933895</v>
      </c>
      <c r="Z14" s="30">
        <v>0.57379607781901798</v>
      </c>
      <c r="AA14" s="30"/>
      <c r="AB14" s="30">
        <v>0.57236782184035595</v>
      </c>
      <c r="AC14" s="30">
        <v>0.67715148009312498</v>
      </c>
      <c r="AD14" s="30">
        <v>0.45798770539198902</v>
      </c>
      <c r="AE14" s="30">
        <v>0.55003425729559496</v>
      </c>
      <c r="AF14" s="30"/>
      <c r="AG14" s="30">
        <v>0.67666725311220099</v>
      </c>
      <c r="AH14" s="30">
        <v>0.47639118326610902</v>
      </c>
      <c r="AI14" s="30"/>
      <c r="AJ14" s="30">
        <v>0.60667077946141301</v>
      </c>
      <c r="AK14" s="30">
        <v>0.39465751833756701</v>
      </c>
      <c r="AL14" s="30"/>
      <c r="AM14" s="30">
        <v>0.72860290857709997</v>
      </c>
      <c r="AN14" s="30">
        <v>0.35490979751109902</v>
      </c>
    </row>
    <row r="15" spans="2:40" x14ac:dyDescent="0.35">
      <c r="B15" s="29" t="s">
        <v>74</v>
      </c>
    </row>
    <row r="16" spans="2:40" x14ac:dyDescent="0.35">
      <c r="B16" t="s">
        <v>72</v>
      </c>
    </row>
    <row r="17" spans="2:2" x14ac:dyDescent="0.35">
      <c r="B17" t="s">
        <v>73</v>
      </c>
    </row>
    <row r="19" spans="2:2" x14ac:dyDescent="0.35">
      <c r="B19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dimension ref="B2:AN19"/>
  <sheetViews>
    <sheetView showGridLines="0" topLeftCell="A6" workbookViewId="0">
      <pane xSplit="2" topLeftCell="C1" activePane="topRight" state="frozen"/>
      <selection activeCell="B19" sqref="B19"/>
      <selection pane="topRight" activeCell="B19" sqref="B19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386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1216</v>
      </c>
      <c r="D7" s="10">
        <v>613</v>
      </c>
      <c r="E7" s="10">
        <v>598</v>
      </c>
      <c r="F7" s="10"/>
      <c r="G7" s="10" t="s">
        <v>75</v>
      </c>
      <c r="H7" s="10" t="s">
        <v>75</v>
      </c>
      <c r="I7" s="10">
        <v>1216</v>
      </c>
      <c r="J7" s="10"/>
      <c r="K7" s="10" t="s">
        <v>75</v>
      </c>
      <c r="L7" s="10">
        <v>924</v>
      </c>
      <c r="M7" s="10">
        <v>292</v>
      </c>
      <c r="N7" s="10"/>
      <c r="O7" s="10">
        <v>1020</v>
      </c>
      <c r="P7" s="10">
        <v>166</v>
      </c>
      <c r="Q7" s="10"/>
      <c r="R7" s="10">
        <v>177</v>
      </c>
      <c r="S7" s="10">
        <v>216</v>
      </c>
      <c r="T7" s="10">
        <v>97</v>
      </c>
      <c r="U7" s="10">
        <v>116</v>
      </c>
      <c r="V7" s="10">
        <v>104</v>
      </c>
      <c r="W7" s="10">
        <v>152</v>
      </c>
      <c r="X7" s="10">
        <v>76</v>
      </c>
      <c r="Y7" s="10">
        <v>70</v>
      </c>
      <c r="Z7" s="10">
        <v>208</v>
      </c>
      <c r="AA7" s="10"/>
      <c r="AB7" s="10">
        <v>152</v>
      </c>
      <c r="AC7" s="10">
        <v>147</v>
      </c>
      <c r="AD7" s="10">
        <v>152</v>
      </c>
      <c r="AE7" s="10">
        <v>106</v>
      </c>
      <c r="AF7" s="10"/>
      <c r="AG7" s="10">
        <v>95</v>
      </c>
      <c r="AH7" s="10">
        <v>46</v>
      </c>
      <c r="AI7" s="10"/>
      <c r="AJ7" s="10">
        <v>141</v>
      </c>
      <c r="AK7" s="10">
        <v>131</v>
      </c>
      <c r="AL7" s="10"/>
      <c r="AM7" s="10">
        <v>626</v>
      </c>
      <c r="AN7" s="10">
        <v>310</v>
      </c>
    </row>
    <row r="8" spans="2:40" ht="30" customHeight="1" x14ac:dyDescent="0.35">
      <c r="B8" s="11" t="s">
        <v>20</v>
      </c>
      <c r="C8" s="11">
        <v>1136</v>
      </c>
      <c r="D8" s="11">
        <v>540</v>
      </c>
      <c r="E8" s="11">
        <v>591</v>
      </c>
      <c r="F8" s="11"/>
      <c r="G8" s="11" t="s">
        <v>75</v>
      </c>
      <c r="H8" s="11" t="s">
        <v>75</v>
      </c>
      <c r="I8" s="11">
        <v>1136</v>
      </c>
      <c r="J8" s="11"/>
      <c r="K8" s="11" t="s">
        <v>75</v>
      </c>
      <c r="L8" s="11">
        <v>745</v>
      </c>
      <c r="M8" s="11">
        <v>391</v>
      </c>
      <c r="N8" s="11"/>
      <c r="O8" s="11">
        <v>946</v>
      </c>
      <c r="P8" s="11">
        <v>161</v>
      </c>
      <c r="Q8" s="11"/>
      <c r="R8" s="11">
        <v>183</v>
      </c>
      <c r="S8" s="11">
        <v>192</v>
      </c>
      <c r="T8" s="11">
        <v>104</v>
      </c>
      <c r="U8" s="11">
        <v>121</v>
      </c>
      <c r="V8" s="11">
        <v>99</v>
      </c>
      <c r="W8" s="11">
        <v>112</v>
      </c>
      <c r="X8" s="11">
        <v>107</v>
      </c>
      <c r="Y8" s="11">
        <v>62</v>
      </c>
      <c r="Z8" s="11">
        <v>157</v>
      </c>
      <c r="AA8" s="11"/>
      <c r="AB8" s="11">
        <v>117</v>
      </c>
      <c r="AC8" s="11">
        <v>117</v>
      </c>
      <c r="AD8" s="11">
        <v>211</v>
      </c>
      <c r="AE8" s="11">
        <v>141</v>
      </c>
      <c r="AF8" s="11"/>
      <c r="AG8" s="11">
        <v>117</v>
      </c>
      <c r="AH8" s="11">
        <v>63</v>
      </c>
      <c r="AI8" s="11"/>
      <c r="AJ8" s="11">
        <v>180</v>
      </c>
      <c r="AK8" s="11">
        <v>185</v>
      </c>
      <c r="AL8" s="11"/>
      <c r="AM8" s="11">
        <v>567</v>
      </c>
      <c r="AN8" s="11">
        <v>311</v>
      </c>
    </row>
    <row r="9" spans="2:40" x14ac:dyDescent="0.35">
      <c r="B9" s="15" t="s">
        <v>377</v>
      </c>
      <c r="C9" s="14">
        <v>0.48175695979669098</v>
      </c>
      <c r="D9" s="14">
        <v>0.45882293530575002</v>
      </c>
      <c r="E9" s="14">
        <v>0.50390782417235302</v>
      </c>
      <c r="F9" s="14"/>
      <c r="G9" s="14" t="s">
        <v>76</v>
      </c>
      <c r="H9" s="14" t="s">
        <v>76</v>
      </c>
      <c r="I9" s="14">
        <v>0.48175695979669098</v>
      </c>
      <c r="J9" s="14"/>
      <c r="K9" s="14" t="s">
        <v>76</v>
      </c>
      <c r="L9" s="14">
        <v>0.48078506548730698</v>
      </c>
      <c r="M9" s="14">
        <v>0.48360524558364598</v>
      </c>
      <c r="N9" s="14"/>
      <c r="O9" s="14">
        <v>0.46585682213181601</v>
      </c>
      <c r="P9" s="14">
        <v>0.57990850117237402</v>
      </c>
      <c r="Q9" s="14"/>
      <c r="R9" s="14">
        <v>0.58275402911538199</v>
      </c>
      <c r="S9" s="14">
        <v>0.43837920942212399</v>
      </c>
      <c r="T9" s="14">
        <v>0.43983675790973897</v>
      </c>
      <c r="U9" s="14">
        <v>0.49178099218770099</v>
      </c>
      <c r="V9" s="14">
        <v>0.44646109970480502</v>
      </c>
      <c r="W9" s="14">
        <v>0.46418320802478202</v>
      </c>
      <c r="X9" s="14">
        <v>0.488825242976964</v>
      </c>
      <c r="Y9" s="14">
        <v>0.47697556242105599</v>
      </c>
      <c r="Z9" s="14">
        <v>0.46900101213058598</v>
      </c>
      <c r="AA9" s="14"/>
      <c r="AB9" s="14">
        <v>0.48357396355190402</v>
      </c>
      <c r="AC9" s="14">
        <v>0.58597465390523495</v>
      </c>
      <c r="AD9" s="14">
        <v>0.49662319194837101</v>
      </c>
      <c r="AE9" s="14">
        <v>0.46732650351180599</v>
      </c>
      <c r="AF9" s="14"/>
      <c r="AG9" s="14">
        <v>0.50364415524598205</v>
      </c>
      <c r="AH9" s="14">
        <v>0.43264100970356201</v>
      </c>
      <c r="AI9" s="14"/>
      <c r="AJ9" s="14">
        <v>0.47882856040281202</v>
      </c>
      <c r="AK9" s="14">
        <v>0.49640626872876298</v>
      </c>
      <c r="AL9" s="14"/>
      <c r="AM9" s="14">
        <v>0.54319455034354103</v>
      </c>
      <c r="AN9" s="14">
        <v>0.37881915610505501</v>
      </c>
    </row>
    <row r="10" spans="2:40" x14ac:dyDescent="0.35">
      <c r="B10" s="15" t="s">
        <v>378</v>
      </c>
      <c r="C10" s="14">
        <v>0.440401788582021</v>
      </c>
      <c r="D10" s="14">
        <v>0.44259754383064398</v>
      </c>
      <c r="E10" s="14">
        <v>0.437813701693958</v>
      </c>
      <c r="F10" s="14"/>
      <c r="G10" s="14" t="s">
        <v>76</v>
      </c>
      <c r="H10" s="14" t="s">
        <v>76</v>
      </c>
      <c r="I10" s="14">
        <v>0.440401788582021</v>
      </c>
      <c r="J10" s="14"/>
      <c r="K10" s="14" t="s">
        <v>76</v>
      </c>
      <c r="L10" s="14">
        <v>0.436030614768806</v>
      </c>
      <c r="M10" s="14">
        <v>0.44871460444406203</v>
      </c>
      <c r="N10" s="14"/>
      <c r="O10" s="14">
        <v>0.45456999323763603</v>
      </c>
      <c r="P10" s="14">
        <v>0.35656520654097001</v>
      </c>
      <c r="Q10" s="14"/>
      <c r="R10" s="14">
        <v>0.35451478037795597</v>
      </c>
      <c r="S10" s="14">
        <v>0.49201471528816698</v>
      </c>
      <c r="T10" s="14">
        <v>0.50039707299456104</v>
      </c>
      <c r="U10" s="14">
        <v>0.45687256108750202</v>
      </c>
      <c r="V10" s="14">
        <v>0.46549447865288801</v>
      </c>
      <c r="W10" s="14">
        <v>0.45407666146156</v>
      </c>
      <c r="X10" s="14">
        <v>0.38853099196887197</v>
      </c>
      <c r="Y10" s="14">
        <v>0.44919452573362001</v>
      </c>
      <c r="Z10" s="14">
        <v>0.43125739074212799</v>
      </c>
      <c r="AA10" s="14"/>
      <c r="AB10" s="14">
        <v>0.40555532025060198</v>
      </c>
      <c r="AC10" s="14">
        <v>0.37729739621050201</v>
      </c>
      <c r="AD10" s="14">
        <v>0.46452664649803699</v>
      </c>
      <c r="AE10" s="14">
        <v>0.44689729759547497</v>
      </c>
      <c r="AF10" s="14"/>
      <c r="AG10" s="14">
        <v>0.42790933693988897</v>
      </c>
      <c r="AH10" s="14">
        <v>0.39041545359001101</v>
      </c>
      <c r="AI10" s="14"/>
      <c r="AJ10" s="14">
        <v>0.414805227097998</v>
      </c>
      <c r="AK10" s="14">
        <v>0.46803179601128297</v>
      </c>
      <c r="AL10" s="14"/>
      <c r="AM10" s="14">
        <v>0.40096637278344399</v>
      </c>
      <c r="AN10" s="14">
        <v>0.51740673283982697</v>
      </c>
    </row>
    <row r="11" spans="2:40" x14ac:dyDescent="0.35">
      <c r="B11" s="15" t="s">
        <v>379</v>
      </c>
      <c r="C11" s="14">
        <v>6.0554566632621397E-2</v>
      </c>
      <c r="D11" s="14">
        <v>7.6191307919582604E-2</v>
      </c>
      <c r="E11" s="14">
        <v>4.5515194062974697E-2</v>
      </c>
      <c r="F11" s="14"/>
      <c r="G11" s="14" t="s">
        <v>76</v>
      </c>
      <c r="H11" s="14" t="s">
        <v>76</v>
      </c>
      <c r="I11" s="14">
        <v>6.0554566632621397E-2</v>
      </c>
      <c r="J11" s="14"/>
      <c r="K11" s="14" t="s">
        <v>76</v>
      </c>
      <c r="L11" s="14">
        <v>6.1029846376235403E-2</v>
      </c>
      <c r="M11" s="14">
        <v>5.9650710332129299E-2</v>
      </c>
      <c r="N11" s="14"/>
      <c r="O11" s="14">
        <v>6.3825337198026605E-2</v>
      </c>
      <c r="P11" s="14">
        <v>4.3203852745126399E-2</v>
      </c>
      <c r="Q11" s="14"/>
      <c r="R11" s="14">
        <v>5.1920136732640197E-2</v>
      </c>
      <c r="S11" s="14">
        <v>4.9622602898236501E-2</v>
      </c>
      <c r="T11" s="14">
        <v>4.3053483125104999E-2</v>
      </c>
      <c r="U11" s="14">
        <v>4.4175660103615802E-2</v>
      </c>
      <c r="V11" s="14">
        <v>7.0945086621271594E-2</v>
      </c>
      <c r="W11" s="14">
        <v>6.5389942917247895E-2</v>
      </c>
      <c r="X11" s="14">
        <v>8.9619031862312196E-2</v>
      </c>
      <c r="Y11" s="14">
        <v>6.2181080728421101E-2</v>
      </c>
      <c r="Z11" s="14">
        <v>7.7738425050540502E-2</v>
      </c>
      <c r="AA11" s="14"/>
      <c r="AB11" s="14">
        <v>9.0400329025264098E-2</v>
      </c>
      <c r="AC11" s="14">
        <v>3.6727949884263499E-2</v>
      </c>
      <c r="AD11" s="14">
        <v>3.4758304151161802E-2</v>
      </c>
      <c r="AE11" s="14">
        <v>8.5776198892718605E-2</v>
      </c>
      <c r="AF11" s="14"/>
      <c r="AG11" s="14">
        <v>6.1471410815215802E-2</v>
      </c>
      <c r="AH11" s="14">
        <v>0.163198643808011</v>
      </c>
      <c r="AI11" s="14"/>
      <c r="AJ11" s="14">
        <v>9.7025072264732601E-2</v>
      </c>
      <c r="AK11" s="14">
        <v>2.7654686907968299E-2</v>
      </c>
      <c r="AL11" s="14"/>
      <c r="AM11" s="14">
        <v>4.6718078542567702E-2</v>
      </c>
      <c r="AN11" s="14">
        <v>7.3462363478739398E-2</v>
      </c>
    </row>
    <row r="12" spans="2:40" x14ac:dyDescent="0.35">
      <c r="B12" s="15" t="s">
        <v>380</v>
      </c>
      <c r="C12" s="14">
        <v>1.06680293628519E-2</v>
      </c>
      <c r="D12" s="14">
        <v>1.52624561442724E-2</v>
      </c>
      <c r="E12" s="14">
        <v>6.5534789941394901E-3</v>
      </c>
      <c r="F12" s="14"/>
      <c r="G12" s="14" t="s">
        <v>76</v>
      </c>
      <c r="H12" s="14" t="s">
        <v>76</v>
      </c>
      <c r="I12" s="14">
        <v>1.06680293628519E-2</v>
      </c>
      <c r="J12" s="14"/>
      <c r="K12" s="14" t="s">
        <v>76</v>
      </c>
      <c r="L12" s="14">
        <v>1.51161898790853E-2</v>
      </c>
      <c r="M12" s="14">
        <v>2.2088051644314401E-3</v>
      </c>
      <c r="N12" s="14"/>
      <c r="O12" s="14">
        <v>1.09537657462762E-2</v>
      </c>
      <c r="P12" s="14">
        <v>1.08875800884738E-2</v>
      </c>
      <c r="Q12" s="14"/>
      <c r="R12" s="14">
        <v>1.08110537740216E-2</v>
      </c>
      <c r="S12" s="14">
        <v>1.1953550818893899E-2</v>
      </c>
      <c r="T12" s="14">
        <v>0</v>
      </c>
      <c r="U12" s="14">
        <v>7.1707866211812099E-3</v>
      </c>
      <c r="V12" s="14">
        <v>8.8223536623276699E-3</v>
      </c>
      <c r="W12" s="14">
        <v>1.07932277404036E-2</v>
      </c>
      <c r="X12" s="14">
        <v>3.3024733191851501E-2</v>
      </c>
      <c r="Y12" s="14">
        <v>1.16488311169031E-2</v>
      </c>
      <c r="Z12" s="14">
        <v>4.1265453830796198E-3</v>
      </c>
      <c r="AA12" s="14"/>
      <c r="AB12" s="14">
        <v>2.0470387172230198E-2</v>
      </c>
      <c r="AC12" s="14">
        <v>0</v>
      </c>
      <c r="AD12" s="14">
        <v>4.0918574024303199E-3</v>
      </c>
      <c r="AE12" s="14">
        <v>0</v>
      </c>
      <c r="AF12" s="14"/>
      <c r="AG12" s="14">
        <v>0</v>
      </c>
      <c r="AH12" s="14">
        <v>1.37448928984156E-2</v>
      </c>
      <c r="AI12" s="14"/>
      <c r="AJ12" s="14">
        <v>4.8038391922519304E-3</v>
      </c>
      <c r="AK12" s="14">
        <v>0</v>
      </c>
      <c r="AL12" s="14"/>
      <c r="AM12" s="14">
        <v>6.06306225526032E-3</v>
      </c>
      <c r="AN12" s="14">
        <v>1.6122664025600201E-2</v>
      </c>
    </row>
    <row r="13" spans="2:40" x14ac:dyDescent="0.35">
      <c r="B13" s="15" t="s">
        <v>70</v>
      </c>
      <c r="C13" s="21">
        <v>6.6186556258146798E-3</v>
      </c>
      <c r="D13" s="21">
        <v>7.1257567997516499E-3</v>
      </c>
      <c r="E13" s="21">
        <v>6.2098010765747197E-3</v>
      </c>
      <c r="F13" s="21"/>
      <c r="G13" s="21" t="s">
        <v>76</v>
      </c>
      <c r="H13" s="21" t="s">
        <v>76</v>
      </c>
      <c r="I13" s="21">
        <v>6.6186556258146798E-3</v>
      </c>
      <c r="J13" s="21"/>
      <c r="K13" s="21" t="s">
        <v>76</v>
      </c>
      <c r="L13" s="21">
        <v>7.0382834885665399E-3</v>
      </c>
      <c r="M13" s="21">
        <v>5.82063447573086E-3</v>
      </c>
      <c r="N13" s="21"/>
      <c r="O13" s="21">
        <v>4.7940816862449397E-3</v>
      </c>
      <c r="P13" s="21">
        <v>9.4348594530555708E-3</v>
      </c>
      <c r="Q13" s="21"/>
      <c r="R13" s="21">
        <v>0</v>
      </c>
      <c r="S13" s="21">
        <v>8.0299215725780308E-3</v>
      </c>
      <c r="T13" s="21">
        <v>1.67126859705947E-2</v>
      </c>
      <c r="U13" s="21">
        <v>0</v>
      </c>
      <c r="V13" s="21">
        <v>8.2769813587082307E-3</v>
      </c>
      <c r="W13" s="21">
        <v>5.5569598560061802E-3</v>
      </c>
      <c r="X13" s="21">
        <v>0</v>
      </c>
      <c r="Y13" s="21">
        <v>0</v>
      </c>
      <c r="Z13" s="21">
        <v>1.7876626693665899E-2</v>
      </c>
      <c r="AA13" s="21"/>
      <c r="AB13" s="21">
        <v>0</v>
      </c>
      <c r="AC13" s="21">
        <v>0</v>
      </c>
      <c r="AD13" s="21">
        <v>0</v>
      </c>
      <c r="AE13" s="21">
        <v>0</v>
      </c>
      <c r="AF13" s="21"/>
      <c r="AG13" s="21">
        <v>6.9750969989137096E-3</v>
      </c>
      <c r="AH13" s="21">
        <v>0</v>
      </c>
      <c r="AI13" s="21"/>
      <c r="AJ13" s="21">
        <v>4.5373010422058201E-3</v>
      </c>
      <c r="AK13" s="21">
        <v>7.9072483519856997E-3</v>
      </c>
      <c r="AL13" s="21"/>
      <c r="AM13" s="21">
        <v>3.0579360751867E-3</v>
      </c>
      <c r="AN13" s="21">
        <v>1.41890835507792E-2</v>
      </c>
    </row>
    <row r="14" spans="2:40" x14ac:dyDescent="0.35">
      <c r="B14" s="25" t="s">
        <v>381</v>
      </c>
      <c r="C14" s="30">
        <v>0.92215874837871203</v>
      </c>
      <c r="D14" s="30">
        <v>0.901420479136393</v>
      </c>
      <c r="E14" s="30">
        <v>0.94172152586631097</v>
      </c>
      <c r="F14" s="30"/>
      <c r="G14" s="30" t="s">
        <v>76</v>
      </c>
      <c r="H14" s="30" t="s">
        <v>76</v>
      </c>
      <c r="I14" s="30">
        <v>0.92215874837871203</v>
      </c>
      <c r="J14" s="30"/>
      <c r="K14" s="30" t="s">
        <v>76</v>
      </c>
      <c r="L14" s="30">
        <v>0.91681568025611304</v>
      </c>
      <c r="M14" s="30">
        <v>0.93231985002770801</v>
      </c>
      <c r="N14" s="30"/>
      <c r="O14" s="30">
        <v>0.92042681536945203</v>
      </c>
      <c r="P14" s="30">
        <v>0.93647370771334404</v>
      </c>
      <c r="Q14" s="30"/>
      <c r="R14" s="30">
        <v>0.93726880949333802</v>
      </c>
      <c r="S14" s="30">
        <v>0.93039392471029103</v>
      </c>
      <c r="T14" s="30">
        <v>0.94023383090430002</v>
      </c>
      <c r="U14" s="30">
        <v>0.94865355327520295</v>
      </c>
      <c r="V14" s="30">
        <v>0.91195557835769203</v>
      </c>
      <c r="W14" s="30">
        <v>0.91825986948634197</v>
      </c>
      <c r="X14" s="30">
        <v>0.87735623494583603</v>
      </c>
      <c r="Y14" s="30">
        <v>0.92617008815467605</v>
      </c>
      <c r="Z14" s="30">
        <v>0.90025840287271397</v>
      </c>
      <c r="AA14" s="30"/>
      <c r="AB14" s="30">
        <v>0.889129283802506</v>
      </c>
      <c r="AC14" s="30">
        <v>0.96327205011573602</v>
      </c>
      <c r="AD14" s="30">
        <v>0.961149838446408</v>
      </c>
      <c r="AE14" s="30">
        <v>0.91422380110728096</v>
      </c>
      <c r="AF14" s="30"/>
      <c r="AG14" s="30">
        <v>0.93155349218587102</v>
      </c>
      <c r="AH14" s="30">
        <v>0.82305646329357296</v>
      </c>
      <c r="AI14" s="30"/>
      <c r="AJ14" s="30">
        <v>0.89363378750081002</v>
      </c>
      <c r="AK14" s="30">
        <v>0.96443806474004601</v>
      </c>
      <c r="AL14" s="30"/>
      <c r="AM14" s="30">
        <v>0.94416092312698496</v>
      </c>
      <c r="AN14" s="30">
        <v>0.89622588894488098</v>
      </c>
    </row>
    <row r="15" spans="2:40" x14ac:dyDescent="0.35">
      <c r="B15" s="29" t="s">
        <v>74</v>
      </c>
    </row>
    <row r="16" spans="2:40" x14ac:dyDescent="0.35">
      <c r="B16" t="s">
        <v>72</v>
      </c>
    </row>
    <row r="17" spans="2:2" x14ac:dyDescent="0.35">
      <c r="B17" t="s">
        <v>73</v>
      </c>
    </row>
    <row r="19" spans="2:2" x14ac:dyDescent="0.35">
      <c r="B19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dimension ref="B2:AN19"/>
  <sheetViews>
    <sheetView showGridLines="0" topLeftCell="A6" workbookViewId="0">
      <pane xSplit="2" topLeftCell="C1" activePane="topRight" state="frozen"/>
      <selection activeCell="B19" sqref="B19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9" width="10.7265625" customWidth="1"/>
    <col min="10" max="10" width="2.1796875" customWidth="1"/>
    <col min="11" max="13" width="10.7265625" customWidth="1"/>
    <col min="14" max="14" width="2.1796875" customWidth="1"/>
    <col min="15" max="16" width="10.7265625" customWidth="1"/>
    <col min="17" max="17" width="2.1796875" customWidth="1"/>
    <col min="18" max="26" width="10.7265625" customWidth="1"/>
    <col min="27" max="27" width="2.1796875" customWidth="1"/>
    <col min="28" max="31" width="10.7265625" customWidth="1"/>
    <col min="32" max="32" width="2.1796875" customWidth="1"/>
    <col min="33" max="34" width="10.7265625" customWidth="1"/>
    <col min="35" max="35" width="2.1796875" customWidth="1"/>
    <col min="36" max="37" width="10.7265625" customWidth="1"/>
    <col min="38" max="38" width="2.1796875" customWidth="1"/>
    <col min="39" max="40" width="10.7265625" customWidth="1"/>
    <col min="41" max="41" width="2.1796875" customWidth="1"/>
  </cols>
  <sheetData>
    <row r="2" spans="2:40" ht="40" customHeight="1" x14ac:dyDescent="0.35">
      <c r="D2" s="41" t="s">
        <v>387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5" spans="2:40" ht="30" customHeight="1" x14ac:dyDescent="0.35">
      <c r="B5" s="19"/>
      <c r="C5" s="19"/>
      <c r="D5" s="42" t="s">
        <v>48</v>
      </c>
      <c r="E5" s="42"/>
      <c r="F5" s="19"/>
      <c r="G5" s="42" t="s">
        <v>49</v>
      </c>
      <c r="H5" s="42"/>
      <c r="I5" s="42"/>
      <c r="J5" s="19"/>
      <c r="K5" s="42" t="s">
        <v>50</v>
      </c>
      <c r="L5" s="42"/>
      <c r="M5" s="42"/>
      <c r="N5" s="19"/>
      <c r="O5" s="42" t="s">
        <v>51</v>
      </c>
      <c r="P5" s="42"/>
      <c r="Q5" s="19"/>
      <c r="R5" s="42" t="s">
        <v>52</v>
      </c>
      <c r="S5" s="42"/>
      <c r="T5" s="42"/>
      <c r="U5" s="42"/>
      <c r="V5" s="42"/>
      <c r="W5" s="42"/>
      <c r="X5" s="42"/>
      <c r="Y5" s="42"/>
      <c r="Z5" s="42"/>
      <c r="AA5" s="19"/>
      <c r="AB5" s="42" t="s">
        <v>53</v>
      </c>
      <c r="AC5" s="42"/>
      <c r="AD5" s="42"/>
      <c r="AE5" s="42"/>
      <c r="AF5" s="19"/>
      <c r="AG5" s="42" t="s">
        <v>54</v>
      </c>
      <c r="AH5" s="42"/>
      <c r="AI5" s="19"/>
      <c r="AJ5" s="42" t="s">
        <v>398</v>
      </c>
      <c r="AK5" s="42"/>
      <c r="AL5" s="19"/>
      <c r="AM5" s="42" t="s">
        <v>55</v>
      </c>
      <c r="AN5" s="42"/>
    </row>
    <row r="6" spans="2:40" ht="58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K6" s="12" t="s">
        <v>24</v>
      </c>
      <c r="L6" s="12" t="s">
        <v>25</v>
      </c>
      <c r="M6" s="12" t="s">
        <v>26</v>
      </c>
      <c r="O6" s="12" t="s">
        <v>27</v>
      </c>
      <c r="P6" s="12" t="s">
        <v>28</v>
      </c>
      <c r="R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B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J6" s="12" t="s">
        <v>44</v>
      </c>
      <c r="AK6" s="12" t="s">
        <v>45</v>
      </c>
      <c r="AM6" s="12" t="s">
        <v>46</v>
      </c>
      <c r="AN6" s="12" t="s">
        <v>47</v>
      </c>
    </row>
    <row r="7" spans="2:40" ht="30" customHeight="1" x14ac:dyDescent="0.35">
      <c r="B7" s="10" t="s">
        <v>19</v>
      </c>
      <c r="C7" s="10">
        <v>1216</v>
      </c>
      <c r="D7" s="10">
        <v>613</v>
      </c>
      <c r="E7" s="10">
        <v>598</v>
      </c>
      <c r="F7" s="10"/>
      <c r="G7" s="10" t="s">
        <v>75</v>
      </c>
      <c r="H7" s="10" t="s">
        <v>75</v>
      </c>
      <c r="I7" s="10">
        <v>1216</v>
      </c>
      <c r="J7" s="10"/>
      <c r="K7" s="10" t="s">
        <v>75</v>
      </c>
      <c r="L7" s="10">
        <v>924</v>
      </c>
      <c r="M7" s="10">
        <v>292</v>
      </c>
      <c r="N7" s="10"/>
      <c r="O7" s="10">
        <v>1020</v>
      </c>
      <c r="P7" s="10">
        <v>166</v>
      </c>
      <c r="Q7" s="10"/>
      <c r="R7" s="10">
        <v>177</v>
      </c>
      <c r="S7" s="10">
        <v>216</v>
      </c>
      <c r="T7" s="10">
        <v>97</v>
      </c>
      <c r="U7" s="10">
        <v>116</v>
      </c>
      <c r="V7" s="10">
        <v>104</v>
      </c>
      <c r="W7" s="10">
        <v>152</v>
      </c>
      <c r="X7" s="10">
        <v>76</v>
      </c>
      <c r="Y7" s="10">
        <v>70</v>
      </c>
      <c r="Z7" s="10">
        <v>208</v>
      </c>
      <c r="AA7" s="10"/>
      <c r="AB7" s="10">
        <v>152</v>
      </c>
      <c r="AC7" s="10">
        <v>147</v>
      </c>
      <c r="AD7" s="10">
        <v>152</v>
      </c>
      <c r="AE7" s="10">
        <v>106</v>
      </c>
      <c r="AF7" s="10"/>
      <c r="AG7" s="10">
        <v>95</v>
      </c>
      <c r="AH7" s="10">
        <v>46</v>
      </c>
      <c r="AI7" s="10"/>
      <c r="AJ7" s="10">
        <v>141</v>
      </c>
      <c r="AK7" s="10">
        <v>131</v>
      </c>
      <c r="AL7" s="10"/>
      <c r="AM7" s="10">
        <v>626</v>
      </c>
      <c r="AN7" s="10">
        <v>310</v>
      </c>
    </row>
    <row r="8" spans="2:40" ht="30" customHeight="1" x14ac:dyDescent="0.35">
      <c r="B8" s="11" t="s">
        <v>20</v>
      </c>
      <c r="C8" s="11">
        <v>1136</v>
      </c>
      <c r="D8" s="11">
        <v>540</v>
      </c>
      <c r="E8" s="11">
        <v>591</v>
      </c>
      <c r="F8" s="11"/>
      <c r="G8" s="11" t="s">
        <v>75</v>
      </c>
      <c r="H8" s="11" t="s">
        <v>75</v>
      </c>
      <c r="I8" s="11">
        <v>1136</v>
      </c>
      <c r="J8" s="11"/>
      <c r="K8" s="11" t="s">
        <v>75</v>
      </c>
      <c r="L8" s="11">
        <v>745</v>
      </c>
      <c r="M8" s="11">
        <v>391</v>
      </c>
      <c r="N8" s="11"/>
      <c r="O8" s="11">
        <v>946</v>
      </c>
      <c r="P8" s="11">
        <v>161</v>
      </c>
      <c r="Q8" s="11"/>
      <c r="R8" s="11">
        <v>183</v>
      </c>
      <c r="S8" s="11">
        <v>192</v>
      </c>
      <c r="T8" s="11">
        <v>104</v>
      </c>
      <c r="U8" s="11">
        <v>121</v>
      </c>
      <c r="V8" s="11">
        <v>99</v>
      </c>
      <c r="W8" s="11">
        <v>112</v>
      </c>
      <c r="X8" s="11">
        <v>107</v>
      </c>
      <c r="Y8" s="11">
        <v>62</v>
      </c>
      <c r="Z8" s="11">
        <v>157</v>
      </c>
      <c r="AA8" s="11"/>
      <c r="AB8" s="11">
        <v>117</v>
      </c>
      <c r="AC8" s="11">
        <v>117</v>
      </c>
      <c r="AD8" s="11">
        <v>211</v>
      </c>
      <c r="AE8" s="11">
        <v>141</v>
      </c>
      <c r="AF8" s="11"/>
      <c r="AG8" s="11">
        <v>117</v>
      </c>
      <c r="AH8" s="11">
        <v>63</v>
      </c>
      <c r="AI8" s="11"/>
      <c r="AJ8" s="11">
        <v>180</v>
      </c>
      <c r="AK8" s="11">
        <v>185</v>
      </c>
      <c r="AL8" s="11"/>
      <c r="AM8" s="11">
        <v>567</v>
      </c>
      <c r="AN8" s="11">
        <v>311</v>
      </c>
    </row>
    <row r="9" spans="2:40" x14ac:dyDescent="0.35">
      <c r="B9" s="15" t="s">
        <v>377</v>
      </c>
      <c r="C9" s="14">
        <v>0.39103462270112499</v>
      </c>
      <c r="D9" s="14">
        <v>0.43366205044136702</v>
      </c>
      <c r="E9" s="14">
        <v>0.35391585032020301</v>
      </c>
      <c r="F9" s="14"/>
      <c r="G9" s="14" t="s">
        <v>76</v>
      </c>
      <c r="H9" s="14" t="s">
        <v>76</v>
      </c>
      <c r="I9" s="14">
        <v>0.39103462270112499</v>
      </c>
      <c r="J9" s="14"/>
      <c r="K9" s="14" t="s">
        <v>76</v>
      </c>
      <c r="L9" s="14">
        <v>0.40545455870583802</v>
      </c>
      <c r="M9" s="14">
        <v>0.36361172032483302</v>
      </c>
      <c r="N9" s="14"/>
      <c r="O9" s="14">
        <v>0.373158038413342</v>
      </c>
      <c r="P9" s="14">
        <v>0.53208765409507597</v>
      </c>
      <c r="Q9" s="14"/>
      <c r="R9" s="14">
        <v>0.44715886951415201</v>
      </c>
      <c r="S9" s="14">
        <v>0.35101607235911497</v>
      </c>
      <c r="T9" s="14">
        <v>0.36365110636495002</v>
      </c>
      <c r="U9" s="14">
        <v>0.39238071726676599</v>
      </c>
      <c r="V9" s="14">
        <v>0.450698880105873</v>
      </c>
      <c r="W9" s="14">
        <v>0.32174783472309498</v>
      </c>
      <c r="X9" s="14">
        <v>0.40423483335110599</v>
      </c>
      <c r="Y9" s="14">
        <v>0.344486210281164</v>
      </c>
      <c r="Z9" s="14">
        <v>0.41323593777491302</v>
      </c>
      <c r="AA9" s="14"/>
      <c r="AB9" s="14">
        <v>0.29289279622584902</v>
      </c>
      <c r="AC9" s="14">
        <v>0.64113161019645604</v>
      </c>
      <c r="AD9" s="14">
        <v>0.29249773322785999</v>
      </c>
      <c r="AE9" s="14">
        <v>0.49682590106093899</v>
      </c>
      <c r="AF9" s="14"/>
      <c r="AG9" s="14">
        <v>0.679802232382403</v>
      </c>
      <c r="AH9" s="14">
        <v>0.23422699511936901</v>
      </c>
      <c r="AI9" s="14"/>
      <c r="AJ9" s="14">
        <v>0.52407371534842395</v>
      </c>
      <c r="AK9" s="14">
        <v>0.22569669598021</v>
      </c>
      <c r="AL9" s="14"/>
      <c r="AM9" s="14">
        <v>0.589956619595293</v>
      </c>
      <c r="AN9" s="14">
        <v>0.107461945673339</v>
      </c>
    </row>
    <row r="10" spans="2:40" x14ac:dyDescent="0.35">
      <c r="B10" s="15" t="s">
        <v>378</v>
      </c>
      <c r="C10" s="14">
        <v>0.46256595875454198</v>
      </c>
      <c r="D10" s="14">
        <v>0.44074079944674499</v>
      </c>
      <c r="E10" s="14">
        <v>0.48360403580737799</v>
      </c>
      <c r="F10" s="14"/>
      <c r="G10" s="14" t="s">
        <v>76</v>
      </c>
      <c r="H10" s="14" t="s">
        <v>76</v>
      </c>
      <c r="I10" s="14">
        <v>0.46256595875454198</v>
      </c>
      <c r="J10" s="14"/>
      <c r="K10" s="14" t="s">
        <v>76</v>
      </c>
      <c r="L10" s="14">
        <v>0.46197245479945198</v>
      </c>
      <c r="M10" s="14">
        <v>0.46369464621994</v>
      </c>
      <c r="N10" s="14"/>
      <c r="O10" s="14">
        <v>0.48099174110496401</v>
      </c>
      <c r="P10" s="14">
        <v>0.356241272848623</v>
      </c>
      <c r="Q10" s="14"/>
      <c r="R10" s="14">
        <v>0.42714273070912301</v>
      </c>
      <c r="S10" s="14">
        <v>0.46456673516118702</v>
      </c>
      <c r="T10" s="14">
        <v>0.461370027505352</v>
      </c>
      <c r="U10" s="14">
        <v>0.495234814354926</v>
      </c>
      <c r="V10" s="14">
        <v>0.390919572595535</v>
      </c>
      <c r="W10" s="14">
        <v>0.55044625063667596</v>
      </c>
      <c r="X10" s="14">
        <v>0.401158265490485</v>
      </c>
      <c r="Y10" s="14">
        <v>0.52659807353860899</v>
      </c>
      <c r="Z10" s="14">
        <v>0.475645084153486</v>
      </c>
      <c r="AA10" s="14"/>
      <c r="AB10" s="14">
        <v>0.52232148500901898</v>
      </c>
      <c r="AC10" s="14">
        <v>0.32853634277879401</v>
      </c>
      <c r="AD10" s="14">
        <v>0.48152629729906898</v>
      </c>
      <c r="AE10" s="14">
        <v>0.46320473471106899</v>
      </c>
      <c r="AF10" s="14"/>
      <c r="AG10" s="14">
        <v>0.283069787782881</v>
      </c>
      <c r="AH10" s="14">
        <v>0.51751378363947298</v>
      </c>
      <c r="AI10" s="14"/>
      <c r="AJ10" s="14">
        <v>0.36500794939735798</v>
      </c>
      <c r="AK10" s="14">
        <v>0.55037621549898597</v>
      </c>
      <c r="AL10" s="14"/>
      <c r="AM10" s="14">
        <v>0.35365372973335701</v>
      </c>
      <c r="AN10" s="14">
        <v>0.55081458561854502</v>
      </c>
    </row>
    <row r="11" spans="2:40" x14ac:dyDescent="0.35">
      <c r="B11" s="15" t="s">
        <v>379</v>
      </c>
      <c r="C11" s="14">
        <v>0.110919640994081</v>
      </c>
      <c r="D11" s="14">
        <v>9.2195513885142605E-2</v>
      </c>
      <c r="E11" s="14">
        <v>0.12480383565193599</v>
      </c>
      <c r="F11" s="14"/>
      <c r="G11" s="14" t="s">
        <v>76</v>
      </c>
      <c r="H11" s="14" t="s">
        <v>76</v>
      </c>
      <c r="I11" s="14">
        <v>0.110919640994081</v>
      </c>
      <c r="J11" s="14"/>
      <c r="K11" s="14" t="s">
        <v>76</v>
      </c>
      <c r="L11" s="14">
        <v>0.100455401919934</v>
      </c>
      <c r="M11" s="14">
        <v>0.13081985459272</v>
      </c>
      <c r="N11" s="14"/>
      <c r="O11" s="14">
        <v>0.111651015339578</v>
      </c>
      <c r="P11" s="14">
        <v>9.3002371002540801E-2</v>
      </c>
      <c r="Q11" s="14"/>
      <c r="R11" s="14">
        <v>9.4219014947891006E-2</v>
      </c>
      <c r="S11" s="14">
        <v>0.15296560253085001</v>
      </c>
      <c r="T11" s="14">
        <v>0.14961758959750801</v>
      </c>
      <c r="U11" s="14">
        <v>9.7694561097694907E-2</v>
      </c>
      <c r="V11" s="14">
        <v>8.5524292710751196E-2</v>
      </c>
      <c r="W11" s="14">
        <v>8.3659730046540801E-2</v>
      </c>
      <c r="X11" s="14">
        <v>0.137207890160151</v>
      </c>
      <c r="Y11" s="14">
        <v>0.115017839219726</v>
      </c>
      <c r="Z11" s="14">
        <v>7.9445498054199704E-2</v>
      </c>
      <c r="AA11" s="14"/>
      <c r="AB11" s="14">
        <v>0.130687837491995</v>
      </c>
      <c r="AC11" s="14">
        <v>2.50160886812636E-2</v>
      </c>
      <c r="AD11" s="14">
        <v>0.17659268491395499</v>
      </c>
      <c r="AE11" s="14">
        <v>3.14821583193177E-2</v>
      </c>
      <c r="AF11" s="14"/>
      <c r="AG11" s="14">
        <v>2.4593280496561801E-2</v>
      </c>
      <c r="AH11" s="14">
        <v>0.18835428326713599</v>
      </c>
      <c r="AI11" s="14"/>
      <c r="AJ11" s="14">
        <v>8.1827740530982795E-2</v>
      </c>
      <c r="AK11" s="14">
        <v>0.17755398917415899</v>
      </c>
      <c r="AL11" s="14"/>
      <c r="AM11" s="14">
        <v>3.9327213557997898E-2</v>
      </c>
      <c r="AN11" s="14">
        <v>0.256020796562478</v>
      </c>
    </row>
    <row r="12" spans="2:40" x14ac:dyDescent="0.35">
      <c r="B12" s="15" t="s">
        <v>380</v>
      </c>
      <c r="C12" s="14">
        <v>2.1701599367640101E-2</v>
      </c>
      <c r="D12" s="14">
        <v>1.93191499925594E-2</v>
      </c>
      <c r="E12" s="14">
        <v>2.4061843127577399E-2</v>
      </c>
      <c r="F12" s="14"/>
      <c r="G12" s="14" t="s">
        <v>76</v>
      </c>
      <c r="H12" s="14" t="s">
        <v>76</v>
      </c>
      <c r="I12" s="14">
        <v>2.1701599367640101E-2</v>
      </c>
      <c r="J12" s="14"/>
      <c r="K12" s="14" t="s">
        <v>76</v>
      </c>
      <c r="L12" s="14">
        <v>1.7055209009824001E-2</v>
      </c>
      <c r="M12" s="14">
        <v>3.05378042677786E-2</v>
      </c>
      <c r="N12" s="14"/>
      <c r="O12" s="14">
        <v>2.4011941481740701E-2</v>
      </c>
      <c r="P12" s="14">
        <v>0</v>
      </c>
      <c r="Q12" s="14"/>
      <c r="R12" s="14">
        <v>1.6343721867548601E-2</v>
      </c>
      <c r="S12" s="14">
        <v>1.9266291834233201E-2</v>
      </c>
      <c r="T12" s="14">
        <v>0</v>
      </c>
      <c r="U12" s="14">
        <v>1.4689907280613E-2</v>
      </c>
      <c r="V12" s="14">
        <v>6.4580273229132804E-2</v>
      </c>
      <c r="W12" s="14">
        <v>2.70733417684925E-2</v>
      </c>
      <c r="X12" s="14">
        <v>5.7399010998257498E-2</v>
      </c>
      <c r="Y12" s="14">
        <v>0</v>
      </c>
      <c r="Z12" s="14">
        <v>4.15206191017239E-3</v>
      </c>
      <c r="AA12" s="14"/>
      <c r="AB12" s="14">
        <v>4.6805537702864601E-2</v>
      </c>
      <c r="AC12" s="14">
        <v>5.31595834348704E-3</v>
      </c>
      <c r="AD12" s="14">
        <v>3.9166002538839499E-2</v>
      </c>
      <c r="AE12" s="14">
        <v>8.4872059086739896E-3</v>
      </c>
      <c r="AF12" s="14"/>
      <c r="AG12" s="14">
        <v>5.5596023392409898E-3</v>
      </c>
      <c r="AH12" s="14">
        <v>5.9904937974021702E-2</v>
      </c>
      <c r="AI12" s="14"/>
      <c r="AJ12" s="14">
        <v>2.45532936810294E-2</v>
      </c>
      <c r="AK12" s="14">
        <v>2.6787574375893301E-2</v>
      </c>
      <c r="AL12" s="14"/>
      <c r="AM12" s="14">
        <v>7.1489806240234597E-3</v>
      </c>
      <c r="AN12" s="14">
        <v>6.0245891660182703E-2</v>
      </c>
    </row>
    <row r="13" spans="2:40" x14ac:dyDescent="0.35">
      <c r="B13" s="15" t="s">
        <v>70</v>
      </c>
      <c r="C13" s="21">
        <v>1.3778178182612099E-2</v>
      </c>
      <c r="D13" s="21">
        <v>1.4082486234186E-2</v>
      </c>
      <c r="E13" s="21">
        <v>1.3614435092906E-2</v>
      </c>
      <c r="F13" s="21"/>
      <c r="G13" s="21" t="s">
        <v>76</v>
      </c>
      <c r="H13" s="21" t="s">
        <v>76</v>
      </c>
      <c r="I13" s="21">
        <v>1.3778178182612099E-2</v>
      </c>
      <c r="J13" s="21"/>
      <c r="K13" s="21" t="s">
        <v>76</v>
      </c>
      <c r="L13" s="21">
        <v>1.5062375564951099E-2</v>
      </c>
      <c r="M13" s="21">
        <v>1.1335974594727899E-2</v>
      </c>
      <c r="N13" s="21"/>
      <c r="O13" s="21">
        <v>1.01872636603739E-2</v>
      </c>
      <c r="P13" s="21">
        <v>1.8668702053760599E-2</v>
      </c>
      <c r="Q13" s="21"/>
      <c r="R13" s="21">
        <v>1.5135662961284701E-2</v>
      </c>
      <c r="S13" s="21">
        <v>1.2185298114614501E-2</v>
      </c>
      <c r="T13" s="21">
        <v>2.5361276532190301E-2</v>
      </c>
      <c r="U13" s="21">
        <v>0</v>
      </c>
      <c r="V13" s="21">
        <v>8.2769813587082307E-3</v>
      </c>
      <c r="W13" s="21">
        <v>1.7072842825195899E-2</v>
      </c>
      <c r="X13" s="21">
        <v>0</v>
      </c>
      <c r="Y13" s="21">
        <v>1.38978769605007E-2</v>
      </c>
      <c r="Z13" s="21">
        <v>2.7521418107228399E-2</v>
      </c>
      <c r="AA13" s="21"/>
      <c r="AB13" s="21">
        <v>7.2923435702724202E-3</v>
      </c>
      <c r="AC13" s="21">
        <v>0</v>
      </c>
      <c r="AD13" s="21">
        <v>1.02172820202764E-2</v>
      </c>
      <c r="AE13" s="21">
        <v>0</v>
      </c>
      <c r="AF13" s="21"/>
      <c r="AG13" s="21">
        <v>6.9750969989137096E-3</v>
      </c>
      <c r="AH13" s="21">
        <v>0</v>
      </c>
      <c r="AI13" s="21"/>
      <c r="AJ13" s="21">
        <v>4.5373010422058201E-3</v>
      </c>
      <c r="AK13" s="21">
        <v>1.9585524970751899E-2</v>
      </c>
      <c r="AL13" s="21"/>
      <c r="AM13" s="21">
        <v>9.9134564893279403E-3</v>
      </c>
      <c r="AN13" s="21">
        <v>2.5456780485455199E-2</v>
      </c>
    </row>
    <row r="14" spans="2:40" x14ac:dyDescent="0.35">
      <c r="B14" s="25" t="s">
        <v>381</v>
      </c>
      <c r="C14" s="30">
        <v>0.85360058145566697</v>
      </c>
      <c r="D14" s="30">
        <v>0.87440284988811201</v>
      </c>
      <c r="E14" s="30">
        <v>0.83751988612757999</v>
      </c>
      <c r="F14" s="30"/>
      <c r="G14" s="30" t="s">
        <v>76</v>
      </c>
      <c r="H14" s="30" t="s">
        <v>76</v>
      </c>
      <c r="I14" s="30">
        <v>0.85360058145566697</v>
      </c>
      <c r="J14" s="30"/>
      <c r="K14" s="30" t="s">
        <v>76</v>
      </c>
      <c r="L14" s="30">
        <v>0.86742701350528995</v>
      </c>
      <c r="M14" s="30">
        <v>0.82730636654477396</v>
      </c>
      <c r="N14" s="30"/>
      <c r="O14" s="30">
        <v>0.85414977951830695</v>
      </c>
      <c r="P14" s="30">
        <v>0.88832892694369903</v>
      </c>
      <c r="Q14" s="30"/>
      <c r="R14" s="30">
        <v>0.87430160022327597</v>
      </c>
      <c r="S14" s="30">
        <v>0.81558280752030199</v>
      </c>
      <c r="T14" s="30">
        <v>0.82502113387030196</v>
      </c>
      <c r="U14" s="30">
        <v>0.88761553162169204</v>
      </c>
      <c r="V14" s="30">
        <v>0.841618452701408</v>
      </c>
      <c r="W14" s="30">
        <v>0.87219408535977105</v>
      </c>
      <c r="X14" s="30">
        <v>0.80539309884159105</v>
      </c>
      <c r="Y14" s="30">
        <v>0.87108428381977299</v>
      </c>
      <c r="Z14" s="30">
        <v>0.88888102192839902</v>
      </c>
      <c r="AA14" s="30"/>
      <c r="AB14" s="30">
        <v>0.81521428123486805</v>
      </c>
      <c r="AC14" s="30">
        <v>0.96966795297524899</v>
      </c>
      <c r="AD14" s="30">
        <v>0.77402403052692903</v>
      </c>
      <c r="AE14" s="30">
        <v>0.96003063577200798</v>
      </c>
      <c r="AF14" s="30"/>
      <c r="AG14" s="30">
        <v>0.96287202016528395</v>
      </c>
      <c r="AH14" s="30">
        <v>0.75174077875884204</v>
      </c>
      <c r="AI14" s="30"/>
      <c r="AJ14" s="30">
        <v>0.88908166474578199</v>
      </c>
      <c r="AK14" s="30">
        <v>0.77607291147919599</v>
      </c>
      <c r="AL14" s="30"/>
      <c r="AM14" s="30">
        <v>0.94361034932865095</v>
      </c>
      <c r="AN14" s="30">
        <v>0.65827653129188402</v>
      </c>
    </row>
    <row r="15" spans="2:40" x14ac:dyDescent="0.35">
      <c r="B15" s="29" t="s">
        <v>74</v>
      </c>
    </row>
    <row r="16" spans="2:40" x14ac:dyDescent="0.35">
      <c r="B16" t="s">
        <v>72</v>
      </c>
    </row>
    <row r="17" spans="2:2" x14ac:dyDescent="0.35">
      <c r="B17" t="s">
        <v>73</v>
      </c>
    </row>
    <row r="19" spans="2:2" x14ac:dyDescent="0.35">
      <c r="B19" s="8" t="str">
        <f>HYPERLINK("#'Contents'!A1", "Return to Contents")</f>
        <v>Return to Contents</v>
      </c>
    </row>
  </sheetData>
  <mergeCells count="10">
    <mergeCell ref="AB5:AE5"/>
    <mergeCell ref="AG5:AH5"/>
    <mergeCell ref="AJ5:AK5"/>
    <mergeCell ref="AM5:AN5"/>
    <mergeCell ref="D2:AG2"/>
    <mergeCell ref="D5:E5"/>
    <mergeCell ref="G5:I5"/>
    <mergeCell ref="K5:M5"/>
    <mergeCell ref="O5:P5"/>
    <mergeCell ref="R5:Z5"/>
  </mergeCells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173</vt:i4>
      </vt:variant>
    </vt:vector>
  </HeadingPairs>
  <TitlesOfParts>
    <vt:vector size="173" baseType="lpstr">
      <vt:lpstr>Cover Sheet</vt:lpstr>
      <vt:lpstr>Contents</vt:lpstr>
      <vt:lpstr>Full Results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  <vt:lpstr>Table 20</vt:lpstr>
      <vt:lpstr>Table 21</vt:lpstr>
      <vt:lpstr>Table 22</vt:lpstr>
      <vt:lpstr>Table 23</vt:lpstr>
      <vt:lpstr>Table 24</vt:lpstr>
      <vt:lpstr>Table 25</vt:lpstr>
      <vt:lpstr>Table 26</vt:lpstr>
      <vt:lpstr>Table 27</vt:lpstr>
      <vt:lpstr>Table 28</vt:lpstr>
      <vt:lpstr>Table 29</vt:lpstr>
      <vt:lpstr>Table 30</vt:lpstr>
      <vt:lpstr>Table 31</vt:lpstr>
      <vt:lpstr>Table 32</vt:lpstr>
      <vt:lpstr>Table 33</vt:lpstr>
      <vt:lpstr>Table 34</vt:lpstr>
      <vt:lpstr>Table 35</vt:lpstr>
      <vt:lpstr>Table 36</vt:lpstr>
      <vt:lpstr>Table 37</vt:lpstr>
      <vt:lpstr>Table 38</vt:lpstr>
      <vt:lpstr>Table 39</vt:lpstr>
      <vt:lpstr>Table 40</vt:lpstr>
      <vt:lpstr>Table 41</vt:lpstr>
      <vt:lpstr>Table 42</vt:lpstr>
      <vt:lpstr>Table 43</vt:lpstr>
      <vt:lpstr>Table 44</vt:lpstr>
      <vt:lpstr>Table 45</vt:lpstr>
      <vt:lpstr>Table 46</vt:lpstr>
      <vt:lpstr>Table 47</vt:lpstr>
      <vt:lpstr>Table 48</vt:lpstr>
      <vt:lpstr>Table 49</vt:lpstr>
      <vt:lpstr>Table 50</vt:lpstr>
      <vt:lpstr>Table 51</vt:lpstr>
      <vt:lpstr>Table 52</vt:lpstr>
      <vt:lpstr>Table 53</vt:lpstr>
      <vt:lpstr>Table 54</vt:lpstr>
      <vt:lpstr>Table 55</vt:lpstr>
      <vt:lpstr>Table 56</vt:lpstr>
      <vt:lpstr>Table 57</vt:lpstr>
      <vt:lpstr>Table 58</vt:lpstr>
      <vt:lpstr>Table 59</vt:lpstr>
      <vt:lpstr>Table 60</vt:lpstr>
      <vt:lpstr>Table 61</vt:lpstr>
      <vt:lpstr>Table 62</vt:lpstr>
      <vt:lpstr>Table 63</vt:lpstr>
      <vt:lpstr>Table 64</vt:lpstr>
      <vt:lpstr>Table 65</vt:lpstr>
      <vt:lpstr>Table 66</vt:lpstr>
      <vt:lpstr>Table 67</vt:lpstr>
      <vt:lpstr>Table 68</vt:lpstr>
      <vt:lpstr>Table 69</vt:lpstr>
      <vt:lpstr>Table 70</vt:lpstr>
      <vt:lpstr>Table 71</vt:lpstr>
      <vt:lpstr>Table 72</vt:lpstr>
      <vt:lpstr>Table 73</vt:lpstr>
      <vt:lpstr>Table 74</vt:lpstr>
      <vt:lpstr>Table 75</vt:lpstr>
      <vt:lpstr>Table 76</vt:lpstr>
      <vt:lpstr>Table 77</vt:lpstr>
      <vt:lpstr>Table 78</vt:lpstr>
      <vt:lpstr>Table 79</vt:lpstr>
      <vt:lpstr>Table 80</vt:lpstr>
      <vt:lpstr>Table 81</vt:lpstr>
      <vt:lpstr>Table 82</vt:lpstr>
      <vt:lpstr>Table 83</vt:lpstr>
      <vt:lpstr>Table 84</vt:lpstr>
      <vt:lpstr>Table 85</vt:lpstr>
      <vt:lpstr>Table 86</vt:lpstr>
      <vt:lpstr>Table 87</vt:lpstr>
      <vt:lpstr>Table 88</vt:lpstr>
      <vt:lpstr>Table 89</vt:lpstr>
      <vt:lpstr>Table 90</vt:lpstr>
      <vt:lpstr>Table 91</vt:lpstr>
      <vt:lpstr>Table 92</vt:lpstr>
      <vt:lpstr>Table 93</vt:lpstr>
      <vt:lpstr>Table 94</vt:lpstr>
      <vt:lpstr>Table 95</vt:lpstr>
      <vt:lpstr>Table 96</vt:lpstr>
      <vt:lpstr>Table 97</vt:lpstr>
      <vt:lpstr>Table 98</vt:lpstr>
      <vt:lpstr>Table 99</vt:lpstr>
      <vt:lpstr>Table 100</vt:lpstr>
      <vt:lpstr>Table 101</vt:lpstr>
      <vt:lpstr>Table 102</vt:lpstr>
      <vt:lpstr>Table 103</vt:lpstr>
      <vt:lpstr>Table 104</vt:lpstr>
      <vt:lpstr>Table 105</vt:lpstr>
      <vt:lpstr>Table 106</vt:lpstr>
      <vt:lpstr>Table 107</vt:lpstr>
      <vt:lpstr>Table 108</vt:lpstr>
      <vt:lpstr>Table 109</vt:lpstr>
      <vt:lpstr>Table 110</vt:lpstr>
      <vt:lpstr>Table 111</vt:lpstr>
      <vt:lpstr>Table 112</vt:lpstr>
      <vt:lpstr>Table 113</vt:lpstr>
      <vt:lpstr>Table 114</vt:lpstr>
      <vt:lpstr>Table 115</vt:lpstr>
      <vt:lpstr>Table 116</vt:lpstr>
      <vt:lpstr>Table 117</vt:lpstr>
      <vt:lpstr>Table 118</vt:lpstr>
      <vt:lpstr>Table 119</vt:lpstr>
      <vt:lpstr>Table 120</vt:lpstr>
      <vt:lpstr>Table 121</vt:lpstr>
      <vt:lpstr>Table 122</vt:lpstr>
      <vt:lpstr>Table 123</vt:lpstr>
      <vt:lpstr>Table 124</vt:lpstr>
      <vt:lpstr>Table 125</vt:lpstr>
      <vt:lpstr>Table 126</vt:lpstr>
      <vt:lpstr>Table 127</vt:lpstr>
      <vt:lpstr>Table 128</vt:lpstr>
      <vt:lpstr>Table 129</vt:lpstr>
      <vt:lpstr>Table 130</vt:lpstr>
      <vt:lpstr>Table 131</vt:lpstr>
      <vt:lpstr>Table 132</vt:lpstr>
      <vt:lpstr>Table 133</vt:lpstr>
      <vt:lpstr>Table 134</vt:lpstr>
      <vt:lpstr>Table 135</vt:lpstr>
      <vt:lpstr>Table 136</vt:lpstr>
      <vt:lpstr>Table 137</vt:lpstr>
      <vt:lpstr>Table 138</vt:lpstr>
      <vt:lpstr>Table 139</vt:lpstr>
      <vt:lpstr>Table 140</vt:lpstr>
      <vt:lpstr>Table 141</vt:lpstr>
      <vt:lpstr>Table 142</vt:lpstr>
      <vt:lpstr>Table 143</vt:lpstr>
      <vt:lpstr>Table 144</vt:lpstr>
      <vt:lpstr>Table 145</vt:lpstr>
      <vt:lpstr>Table 146</vt:lpstr>
      <vt:lpstr>Table 147</vt:lpstr>
      <vt:lpstr>Table 148</vt:lpstr>
      <vt:lpstr>Table 149</vt:lpstr>
      <vt:lpstr>Table 150</vt:lpstr>
      <vt:lpstr>Table 151</vt:lpstr>
      <vt:lpstr>Table 152</vt:lpstr>
      <vt:lpstr>Table 153</vt:lpstr>
      <vt:lpstr>Table 154</vt:lpstr>
      <vt:lpstr>Table 155</vt:lpstr>
      <vt:lpstr>Table 156</vt:lpstr>
      <vt:lpstr>Table 157</vt:lpstr>
      <vt:lpstr>Table 158</vt:lpstr>
      <vt:lpstr>Table 159</vt:lpstr>
      <vt:lpstr>Table 160</vt:lpstr>
      <vt:lpstr>Table 161</vt:lpstr>
      <vt:lpstr>Table 162</vt:lpstr>
      <vt:lpstr>Table 163</vt:lpstr>
      <vt:lpstr>Table 164</vt:lpstr>
      <vt:lpstr>Table 165</vt:lpstr>
      <vt:lpstr>Table 166</vt:lpstr>
      <vt:lpstr>Table 167</vt:lpstr>
      <vt:lpstr>Table 168</vt:lpstr>
      <vt:lpstr>Table 169</vt:lpstr>
      <vt:lpstr>Table 170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SunitaPfitzner</dc:creator>
  <cp:lastModifiedBy>Sunita Pfitzner</cp:lastModifiedBy>
  <dcterms:created xsi:type="dcterms:W3CDTF">2024-12-24T15:17:18Z</dcterms:created>
  <dcterms:modified xsi:type="dcterms:W3CDTF">2025-02-07T09:16:31Z</dcterms:modified>
</cp:coreProperties>
</file>