
<file path=[Content_Types].xml><?xml version="1.0" encoding="utf-8"?>
<Types xmlns="http://schemas.openxmlformats.org/package/2006/content-types">
  <Default Extension="emf" ContentType="image/x-emf"/>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JulesWalkden\Public First Dropbox\Policy and Research Team\Polling\Client Tables\Sky Women In Sport\Booster sample\"/>
    </mc:Choice>
  </mc:AlternateContent>
  <xr:revisionPtr revIDLastSave="0" documentId="13_ncr:1_{EE3E7D07-9FDC-4AE8-A8DC-41E86F41408B}"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state="hidden"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 name="Table 180" sheetId="183" r:id="rId183"/>
    <sheet name="Table 181" sheetId="184" r:id="rId184"/>
    <sheet name="Table 182" sheetId="185" r:id="rId185"/>
    <sheet name="Table 183" sheetId="186" r:id="rId186"/>
    <sheet name="Table 184" sheetId="187" r:id="rId187"/>
    <sheet name="Table 185" sheetId="188" r:id="rId188"/>
    <sheet name="Table 186" sheetId="189" r:id="rId189"/>
    <sheet name="Table 187" sheetId="190" r:id="rId190"/>
    <sheet name="Table 188" sheetId="191" r:id="rId191"/>
    <sheet name="Table 189" sheetId="192" r:id="rId192"/>
    <sheet name="Table 190" sheetId="193" r:id="rId193"/>
    <sheet name="Table 191" sheetId="194" r:id="rId194"/>
    <sheet name="Table 192" sheetId="195" r:id="rId195"/>
    <sheet name="Table 193" sheetId="196" r:id="rId196"/>
    <sheet name="Table 194" sheetId="197" r:id="rId197"/>
    <sheet name="Table 195" sheetId="198" r:id="rId198"/>
    <sheet name="Table 196" sheetId="199" r:id="rId199"/>
    <sheet name="Table 197" sheetId="200" r:id="rId200"/>
    <sheet name="Table 198" sheetId="201" r:id="rId201"/>
    <sheet name="Table 199" sheetId="202" r:id="rId202"/>
    <sheet name="Table 200" sheetId="203" r:id="rId203"/>
    <sheet name="Table 201" sheetId="204" r:id="rId204"/>
    <sheet name="Table 202" sheetId="205" r:id="rId205"/>
    <sheet name="Table 203" sheetId="206" r:id="rId206"/>
    <sheet name="Table 204" sheetId="207" r:id="rId207"/>
    <sheet name="Table 205" sheetId="208" r:id="rId208"/>
    <sheet name="Table 206" sheetId="209" r:id="rId209"/>
    <sheet name="Table 207" sheetId="210" r:id="rId210"/>
    <sheet name="Table 208" sheetId="211" r:id="rId211"/>
    <sheet name="Table 209" sheetId="212" r:id="rId212"/>
    <sheet name="Table 210" sheetId="213" r:id="rId213"/>
    <sheet name="Table 211" sheetId="214" r:id="rId214"/>
    <sheet name="Table 212" sheetId="215" r:id="rId215"/>
    <sheet name="Table 213" sheetId="216" r:id="rId216"/>
    <sheet name="Table 214" sheetId="217" r:id="rId217"/>
    <sheet name="Table 215" sheetId="218" r:id="rId2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1" i="218" l="1"/>
  <c r="B28" i="217"/>
  <c r="B18" i="216"/>
  <c r="B18" i="215"/>
  <c r="B18" i="214"/>
  <c r="B18" i="213"/>
  <c r="B18" i="212"/>
  <c r="B18" i="211"/>
  <c r="B18" i="210"/>
  <c r="B18" i="209"/>
  <c r="B18" i="208"/>
  <c r="B18" i="207"/>
  <c r="B18" i="206"/>
  <c r="B18" i="205"/>
  <c r="B18" i="204"/>
  <c r="B21" i="203"/>
  <c r="B21" i="202"/>
  <c r="B21" i="201"/>
  <c r="B21" i="200"/>
  <c r="B21" i="199"/>
  <c r="B21" i="198"/>
  <c r="B21" i="197"/>
  <c r="B21" i="196"/>
  <c r="B21" i="195"/>
  <c r="B21" i="194"/>
  <c r="B21" i="193"/>
  <c r="B21" i="192"/>
  <c r="B21" i="191"/>
  <c r="B21" i="190"/>
  <c r="B21" i="189"/>
  <c r="B21" i="188"/>
  <c r="B21" i="187"/>
  <c r="B21" i="186"/>
  <c r="B21" i="185"/>
  <c r="B21" i="184"/>
  <c r="B19" i="183"/>
  <c r="B19" i="182"/>
  <c r="B19" i="181"/>
  <c r="B19" i="180"/>
  <c r="B19" i="179"/>
  <c r="B19" i="178"/>
  <c r="B19" i="177"/>
  <c r="B19" i="176"/>
  <c r="B19" i="175"/>
  <c r="B19" i="174"/>
  <c r="B19" i="173"/>
  <c r="B19" i="172"/>
  <c r="B19" i="171"/>
  <c r="B19" i="170"/>
  <c r="B19" i="169"/>
  <c r="B19" i="168"/>
  <c r="B19" i="167"/>
  <c r="B19" i="166"/>
  <c r="B19" i="165"/>
  <c r="B19" i="164"/>
  <c r="B21" i="163"/>
  <c r="B21" i="162"/>
  <c r="B21" i="161"/>
  <c r="B21" i="160"/>
  <c r="B21" i="159"/>
  <c r="B20" i="158"/>
  <c r="B20" i="157"/>
  <c r="B20" i="156"/>
  <c r="B20" i="155"/>
  <c r="B20" i="154"/>
  <c r="B18" i="153"/>
  <c r="B18" i="152"/>
  <c r="B18" i="151"/>
  <c r="B18" i="150"/>
  <c r="B18" i="149"/>
  <c r="B18" i="148"/>
  <c r="B18" i="147"/>
  <c r="B18" i="146"/>
  <c r="B18" i="145"/>
  <c r="B18" i="144"/>
  <c r="B18" i="143"/>
  <c r="B18" i="142"/>
  <c r="B18" i="141"/>
  <c r="B18" i="140"/>
  <c r="B18" i="139"/>
  <c r="B18" i="138"/>
  <c r="B18" i="137"/>
  <c r="B19" i="136"/>
  <c r="B19" i="135"/>
  <c r="B19" i="134"/>
  <c r="B19" i="133"/>
  <c r="B19" i="132"/>
  <c r="B19" i="131"/>
  <c r="B19" i="130"/>
  <c r="B19" i="129"/>
  <c r="B19" i="128"/>
  <c r="B19" i="127"/>
  <c r="B19" i="126"/>
  <c r="B19" i="125"/>
  <c r="B19" i="124"/>
  <c r="B19" i="123"/>
  <c r="B19" i="122"/>
  <c r="B19" i="121"/>
  <c r="B18" i="120"/>
  <c r="B18" i="119"/>
  <c r="B18" i="118"/>
  <c r="B18" i="117"/>
  <c r="B18" i="116"/>
  <c r="B18" i="115"/>
  <c r="B18" i="114"/>
  <c r="B19" i="113"/>
  <c r="B19" i="112"/>
  <c r="B19" i="111"/>
  <c r="B19" i="110"/>
  <c r="B19" i="109"/>
  <c r="B19" i="108"/>
  <c r="B19" i="107"/>
  <c r="B19" i="106"/>
  <c r="B19" i="105"/>
  <c r="B19" i="104"/>
  <c r="B19" i="103"/>
  <c r="B19" i="102"/>
  <c r="B19" i="101"/>
  <c r="B19" i="100"/>
  <c r="B19" i="99"/>
  <c r="B19" i="98"/>
  <c r="B19" i="97"/>
  <c r="B18" i="96"/>
  <c r="B19" i="95"/>
  <c r="B32" i="94"/>
  <c r="B20" i="93"/>
  <c r="B24" i="92"/>
  <c r="B24" i="91"/>
  <c r="B22" i="90"/>
  <c r="B19" i="89"/>
  <c r="B17" i="88"/>
  <c r="B16" i="87"/>
  <c r="B22" i="86"/>
  <c r="B22" i="85"/>
  <c r="B22" i="84"/>
  <c r="B22" i="83"/>
  <c r="B22" i="82"/>
  <c r="B22" i="81"/>
  <c r="B22" i="80"/>
  <c r="B22" i="79"/>
  <c r="B22" i="78"/>
  <c r="B22" i="77"/>
  <c r="B22" i="76"/>
  <c r="B22" i="75"/>
  <c r="B22" i="74"/>
  <c r="B22" i="73"/>
  <c r="B22" i="72"/>
  <c r="B22" i="71"/>
  <c r="B22" i="70"/>
  <c r="B22" i="69"/>
  <c r="B22" i="68"/>
  <c r="B22" i="67"/>
  <c r="B22" i="66"/>
  <c r="B22" i="65"/>
  <c r="B22" i="64"/>
  <c r="B22" i="63"/>
  <c r="B22" i="62"/>
  <c r="B22" i="61"/>
  <c r="B22" i="60"/>
  <c r="B22" i="59"/>
  <c r="B22" i="58"/>
  <c r="B22" i="57"/>
  <c r="B22" i="56"/>
  <c r="B22" i="55"/>
  <c r="B22" i="54"/>
  <c r="B22" i="53"/>
  <c r="B22" i="52"/>
  <c r="B22" i="51"/>
  <c r="B31" i="50"/>
  <c r="B27" i="49"/>
  <c r="B24" i="48"/>
  <c r="B21" i="47"/>
  <c r="B19" i="46"/>
  <c r="B19" i="45"/>
  <c r="B21" i="44"/>
  <c r="B21" i="43"/>
  <c r="B21" i="42"/>
  <c r="B21" i="41"/>
  <c r="B21" i="40"/>
  <c r="B21" i="39"/>
  <c r="B21" i="38"/>
  <c r="B21" i="37"/>
  <c r="B21" i="36"/>
  <c r="B18" i="35"/>
  <c r="B18" i="34"/>
  <c r="B18" i="33"/>
  <c r="B18" i="32"/>
  <c r="B18" i="31"/>
  <c r="B18" i="30"/>
  <c r="B18" i="29"/>
  <c r="B18" i="28"/>
  <c r="B18" i="27"/>
  <c r="B18" i="26"/>
  <c r="B18" i="25"/>
  <c r="B18" i="24"/>
  <c r="B18" i="23"/>
  <c r="B18" i="22"/>
  <c r="B18" i="21"/>
  <c r="B18" i="20"/>
  <c r="B18" i="19"/>
  <c r="B18" i="18"/>
  <c r="B18" i="17"/>
  <c r="B18" i="16"/>
  <c r="B18" i="15"/>
  <c r="B19" i="14"/>
  <c r="B22" i="13"/>
  <c r="B22" i="12"/>
  <c r="B22" i="11"/>
  <c r="B22" i="10"/>
  <c r="B22" i="9"/>
  <c r="B22" i="8"/>
  <c r="B22" i="7"/>
  <c r="B22" i="6"/>
  <c r="B14" i="5"/>
  <c r="B27" i="4"/>
  <c r="E223" i="2"/>
  <c r="D223" i="2"/>
  <c r="E222" i="2"/>
  <c r="D222" i="2"/>
  <c r="E221" i="2"/>
  <c r="D221" i="2"/>
  <c r="E220" i="2"/>
  <c r="D220" i="2"/>
  <c r="E219" i="2"/>
  <c r="D219" i="2"/>
  <c r="E218" i="2"/>
  <c r="D218" i="2"/>
  <c r="E217" i="2"/>
  <c r="D217" i="2"/>
  <c r="E216" i="2"/>
  <c r="D216" i="2"/>
  <c r="E215" i="2"/>
  <c r="D215" i="2"/>
  <c r="E214" i="2"/>
  <c r="D214" i="2"/>
  <c r="E213" i="2"/>
  <c r="D213" i="2"/>
  <c r="E212" i="2"/>
  <c r="D212" i="2"/>
  <c r="E211" i="2"/>
  <c r="D211" i="2"/>
  <c r="E210" i="2"/>
  <c r="D210" i="2"/>
  <c r="D209" i="2"/>
  <c r="E208" i="2"/>
  <c r="D208" i="2"/>
  <c r="E207" i="2"/>
  <c r="D207" i="2"/>
  <c r="E206" i="2"/>
  <c r="D206" i="2"/>
  <c r="E205" i="2"/>
  <c r="D205" i="2"/>
  <c r="E204" i="2"/>
  <c r="D204" i="2"/>
  <c r="E203" i="2"/>
  <c r="D203" i="2"/>
  <c r="D202" i="2"/>
  <c r="E201" i="2"/>
  <c r="D201" i="2"/>
  <c r="E200" i="2"/>
  <c r="D200" i="2"/>
  <c r="E199" i="2"/>
  <c r="D199" i="2"/>
  <c r="E198" i="2"/>
  <c r="D198" i="2"/>
  <c r="E197" i="2"/>
  <c r="D197" i="2"/>
  <c r="E196" i="2"/>
  <c r="D196" i="2"/>
  <c r="E195" i="2"/>
  <c r="D195" i="2"/>
  <c r="D194" i="2"/>
  <c r="E193" i="2"/>
  <c r="D193" i="2"/>
  <c r="E192" i="2"/>
  <c r="D192" i="2"/>
  <c r="E191" i="2"/>
  <c r="D191" i="2"/>
  <c r="E190" i="2"/>
  <c r="D190" i="2"/>
  <c r="D189" i="2"/>
  <c r="E188" i="2"/>
  <c r="D188" i="2"/>
  <c r="E187" i="2"/>
  <c r="D187" i="2"/>
  <c r="E186" i="2"/>
  <c r="D186" i="2"/>
  <c r="E185" i="2"/>
  <c r="D185" i="2"/>
  <c r="E184" i="2"/>
  <c r="D184" i="2"/>
  <c r="E183" i="2"/>
  <c r="D183" i="2"/>
  <c r="E182" i="2"/>
  <c r="D182" i="2"/>
  <c r="E181" i="2"/>
  <c r="D181" i="2"/>
  <c r="D180" i="2"/>
  <c r="E179" i="2"/>
  <c r="D179" i="2"/>
  <c r="E178" i="2"/>
  <c r="D178" i="2"/>
  <c r="E177" i="2"/>
  <c r="D177" i="2"/>
  <c r="E176" i="2"/>
  <c r="D176" i="2"/>
  <c r="E175" i="2"/>
  <c r="D175" i="2"/>
  <c r="E174" i="2"/>
  <c r="D174" i="2"/>
  <c r="E173" i="2"/>
  <c r="D173" i="2"/>
  <c r="E172" i="2"/>
  <c r="D172" i="2"/>
  <c r="E171" i="2"/>
  <c r="D171" i="2"/>
  <c r="E170" i="2"/>
  <c r="D170" i="2"/>
  <c r="D169" i="2"/>
  <c r="E168" i="2"/>
  <c r="D168" i="2"/>
  <c r="E167" i="2"/>
  <c r="D167" i="2"/>
  <c r="E166" i="2"/>
  <c r="D166" i="2"/>
  <c r="E165" i="2"/>
  <c r="D165" i="2"/>
  <c r="D164" i="2"/>
  <c r="E163" i="2"/>
  <c r="D163" i="2"/>
  <c r="E162" i="2"/>
  <c r="D162" i="2"/>
  <c r="E161" i="2"/>
  <c r="D161" i="2"/>
  <c r="E160" i="2"/>
  <c r="D160" i="2"/>
  <c r="E159" i="2"/>
  <c r="D159" i="2"/>
  <c r="E158" i="2"/>
  <c r="D158" i="2"/>
  <c r="E157" i="2"/>
  <c r="D157" i="2"/>
  <c r="E156" i="2"/>
  <c r="D156" i="2"/>
  <c r="E155" i="2"/>
  <c r="D155" i="2"/>
  <c r="E154" i="2"/>
  <c r="D154" i="2"/>
  <c r="E153" i="2"/>
  <c r="D153" i="2"/>
  <c r="E152" i="2"/>
  <c r="D152" i="2"/>
  <c r="D151" i="2"/>
  <c r="E150" i="2"/>
  <c r="D150" i="2"/>
  <c r="E149" i="2"/>
  <c r="D149" i="2"/>
  <c r="E148" i="2"/>
  <c r="D148" i="2"/>
  <c r="E147" i="2"/>
  <c r="D147" i="2"/>
  <c r="E146" i="2"/>
  <c r="D146" i="2"/>
  <c r="E145" i="2"/>
  <c r="D145" i="2"/>
  <c r="E144" i="2"/>
  <c r="D144" i="2"/>
  <c r="E143" i="2"/>
  <c r="D143" i="2"/>
  <c r="D142" i="2"/>
  <c r="E141" i="2"/>
  <c r="D141" i="2"/>
  <c r="E140" i="2"/>
  <c r="D140" i="2"/>
  <c r="E139" i="2"/>
  <c r="D139" i="2"/>
  <c r="E138" i="2"/>
  <c r="D138" i="2"/>
  <c r="E137" i="2"/>
  <c r="D137" i="2"/>
  <c r="E136" i="2"/>
  <c r="D136" i="2"/>
  <c r="E135" i="2"/>
  <c r="D135" i="2"/>
  <c r="D134" i="2"/>
  <c r="E133" i="2"/>
  <c r="D133" i="2"/>
  <c r="E132" i="2"/>
  <c r="D132" i="2"/>
  <c r="E131" i="2"/>
  <c r="D131" i="2"/>
  <c r="E130" i="2"/>
  <c r="D130" i="2"/>
  <c r="E129" i="2"/>
  <c r="D129" i="2"/>
  <c r="E128" i="2"/>
  <c r="D128" i="2"/>
  <c r="E127" i="2"/>
  <c r="D127" i="2"/>
  <c r="D126" i="2"/>
  <c r="E125" i="2"/>
  <c r="D125" i="2"/>
  <c r="E124" i="2"/>
  <c r="D124" i="2"/>
  <c r="E123" i="2"/>
  <c r="D123" i="2"/>
  <c r="E122" i="2"/>
  <c r="D122" i="2"/>
  <c r="E121" i="2"/>
  <c r="D121" i="2"/>
  <c r="E120" i="2"/>
  <c r="D120" i="2"/>
  <c r="D119" i="2"/>
  <c r="E118" i="2"/>
  <c r="D118" i="2"/>
  <c r="E117" i="2"/>
  <c r="D117" i="2"/>
  <c r="E116" i="2"/>
  <c r="D116" i="2"/>
  <c r="E115" i="2"/>
  <c r="D115" i="2"/>
  <c r="E114" i="2"/>
  <c r="D114" i="2"/>
  <c r="E113" i="2"/>
  <c r="D113" i="2"/>
  <c r="D112" i="2"/>
  <c r="E111" i="2"/>
  <c r="D111" i="2"/>
  <c r="E110" i="2"/>
  <c r="D110" i="2"/>
  <c r="E109" i="2"/>
  <c r="D109" i="2"/>
  <c r="E108" i="2"/>
  <c r="D108" i="2"/>
  <c r="E107" i="2"/>
  <c r="D107" i="2"/>
  <c r="E106" i="2"/>
  <c r="D106"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D41" i="2"/>
  <c r="E40" i="2"/>
  <c r="D40" i="2"/>
  <c r="E39" i="2"/>
  <c r="D39" i="2"/>
  <c r="E38" i="2"/>
  <c r="D38" i="2"/>
  <c r="E37" i="2"/>
  <c r="D37" i="2"/>
  <c r="E36" i="2"/>
  <c r="D36" i="2"/>
  <c r="E35" i="2"/>
  <c r="D35" i="2"/>
  <c r="E34" i="2"/>
  <c r="D34" i="2"/>
  <c r="D33" i="2"/>
  <c r="E32" i="2"/>
  <c r="D32" i="2"/>
  <c r="E31" i="2"/>
  <c r="D31" i="2"/>
  <c r="E30" i="2"/>
  <c r="D30" i="2"/>
  <c r="E29" i="2"/>
  <c r="D29" i="2"/>
  <c r="E28" i="2"/>
  <c r="D28" i="2"/>
  <c r="E27" i="2"/>
  <c r="D27" i="2"/>
  <c r="D26" i="2"/>
  <c r="E25" i="2"/>
  <c r="D25" i="2"/>
  <c r="E24" i="2"/>
  <c r="D24" i="2"/>
  <c r="E23" i="2"/>
  <c r="D23" i="2"/>
  <c r="E22" i="2"/>
  <c r="D22" i="2"/>
  <c r="E21" i="2"/>
  <c r="D21" i="2"/>
  <c r="D20" i="2"/>
  <c r="E19" i="2"/>
  <c r="D19" i="2"/>
  <c r="E18" i="2"/>
  <c r="D18" i="2"/>
  <c r="E17" i="2"/>
  <c r="D17" i="2"/>
  <c r="E16" i="2"/>
  <c r="D16" i="2"/>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<sst xmlns="http://schemas.openxmlformats.org/spreadsheetml/2006/main" count="8299" uniqueCount="594">
  <si>
    <t>Public First Poll for Sky Women in Sport</t>
  </si>
  <si>
    <t>Fieldwork:</t>
  </si>
  <si>
    <t>17th Mar - 2nd Apr 2025</t>
  </si>
  <si>
    <t xml:space="preserve">Interview Method: </t>
  </si>
  <si>
    <t>Online Survey</t>
  </si>
  <si>
    <t>Population represented:</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</si>
  <si>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</si>
  <si>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</si>
  <si>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</si>
  <si>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</si>
  <si>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</si>
  <si>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</si>
  <si>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</si>
  <si>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</si>
  <si>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</si>
  <si>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</si>
  <si>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</si>
  <si>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</si>
  <si>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</si>
  <si>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</si>
  <si>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AB</t>
  </si>
  <si>
    <t>C1</t>
  </si>
  <si>
    <t>C2</t>
  </si>
  <si>
    <t>DE</t>
  </si>
  <si>
    <t>11 to 12</t>
  </si>
  <si>
    <t>13 to 14</t>
  </si>
  <si>
    <t>15 to 16</t>
  </si>
  <si>
    <t>17 to 18</t>
  </si>
  <si>
    <t>Gender</t>
  </si>
  <si>
    <t>Social Grade</t>
  </si>
  <si>
    <t>Age</t>
  </si>
  <si>
    <t>Listening to music</t>
  </si>
  <si>
    <t>Video games</t>
  </si>
  <si>
    <t>Sports</t>
  </si>
  <si>
    <t>Film and cinema</t>
  </si>
  <si>
    <t>Reading</t>
  </si>
  <si>
    <t>Fashion</t>
  </si>
  <si>
    <t>Travelling</t>
  </si>
  <si>
    <t>Health and fitness</t>
  </si>
  <si>
    <t>Art</t>
  </si>
  <si>
    <t>Sciences</t>
  </si>
  <si>
    <t>Playing an instrument</t>
  </si>
  <si>
    <t>History</t>
  </si>
  <si>
    <t>Politics</t>
  </si>
  <si>
    <t>None of the above</t>
  </si>
  <si>
    <t>Which of the following would you consider to be hobbies or interests you have? Select any which apply</t>
  </si>
  <si>
    <t>BASE: All Respondents</t>
  </si>
  <si>
    <t>Fieldwork:  17th Mar - 2nd Apr 2025</t>
  </si>
  <si>
    <t>Data weighted by interlocking age &amp; gender, region and social grade to Nationally Representative Proportions</t>
  </si>
  <si>
    <t>Yes, I have read the definition of exercise and sport</t>
  </si>
  <si>
    <t xml:space="preserve"> In this survey, we will talk about both exercise and sport. Exercise means any planned activity that helps you stay fit, like jogging, dancing, or yoga. Sport is a type of activity that has rules and sometimes involves competition. It can be played in a team, like football, or on your own against someone else, like tennis. Sport can be just for fun or part of a competition. Please confirm you have read this.</t>
  </si>
  <si>
    <t xml:space="preserve"> Browsing social media</t>
  </si>
  <si>
    <t xml:space="preserve"> Playing video games</t>
  </si>
  <si>
    <t xml:space="preserve"> Playing sports</t>
  </si>
  <si>
    <t xml:space="preserve"> Watching TV and films</t>
  </si>
  <si>
    <t xml:space="preserve"> Watching sports</t>
  </si>
  <si>
    <t xml:space="preserve"> Reading books</t>
  </si>
  <si>
    <t xml:space="preserve"> Exercising</t>
  </si>
  <si>
    <t>25 or more hours a week</t>
  </si>
  <si>
    <t>20-25 hours a week</t>
  </si>
  <si>
    <t>15-20 hours a week</t>
  </si>
  <si>
    <t>10-15 hours a week</t>
  </si>
  <si>
    <t>5-10 hours a week</t>
  </si>
  <si>
    <t>1-5 hours a week</t>
  </si>
  <si>
    <t>Less than an hour a week, but some time</t>
  </si>
  <si>
    <t>I never do this</t>
  </si>
  <si>
    <t>Don’t Know</t>
  </si>
  <si>
    <t>Grid Summary: In an average week, how long would you say that you spend doing the following?</t>
  </si>
  <si>
    <t>In an average week, how long would you say that you spend doing the following?: Browsing social media</t>
  </si>
  <si>
    <t>In an average week, how long would you say that you spend doing the following?: Playing video games</t>
  </si>
  <si>
    <t>In an average week, how long would you say that you spend doing the following?: Playing sports</t>
  </si>
  <si>
    <t>In an average week, how long would you say that you spend doing the following?: Watching TV and films</t>
  </si>
  <si>
    <t>In an average week, how long would you say that you spend doing the following?: Watching sports</t>
  </si>
  <si>
    <t>In an average week, how long would you say that you spend doing the following?: Reading books</t>
  </si>
  <si>
    <t>In an average week, how long would you say that you spend doing the following?: Exercising</t>
  </si>
  <si>
    <t>Excellent</t>
  </si>
  <si>
    <t>Very good</t>
  </si>
  <si>
    <t>Good</t>
  </si>
  <si>
    <t>Fair</t>
  </si>
  <si>
    <t>Poor</t>
  </si>
  <si>
    <t>Prefer not to say</t>
  </si>
  <si>
    <t xml:space="preserve"> In general, would you say your health is:</t>
  </si>
  <si>
    <t xml:space="preserve"> I felt depressed</t>
  </si>
  <si>
    <t xml:space="preserve"> I felt hopeful about the future </t>
  </si>
  <si>
    <t xml:space="preserve"> I was happy</t>
  </si>
  <si>
    <t xml:space="preserve"> I felt lonely</t>
  </si>
  <si>
    <t xml:space="preserve"> I felt sad</t>
  </si>
  <si>
    <t>Rarely or none of the time (less than 1 day)</t>
  </si>
  <si>
    <t>Some or a little time (1-2 days)</t>
  </si>
  <si>
    <t>Occasionally or a moderate amount of time (3-4 days)</t>
  </si>
  <si>
    <t>Most or all of the time (5-7 days)</t>
  </si>
  <si>
    <t>Grid Summary: In the past week, how often have you felt the following?</t>
  </si>
  <si>
    <t>In the past week, how often have you felt the following?: I felt depressed</t>
  </si>
  <si>
    <t xml:space="preserve">In the past week, how often have you felt the following?: I felt hopeful about the future </t>
  </si>
  <si>
    <t>In the past week, how often have you felt the following?: I was happy</t>
  </si>
  <si>
    <t>In the past week, how often have you felt the following?: I felt lonely</t>
  </si>
  <si>
    <t>In the past week, how often have you felt the following?: I felt sad</t>
  </si>
  <si>
    <t xml:space="preserve"> I believe I have the ability to be a leader.</t>
  </si>
  <si>
    <t xml:space="preserve"> I know how to be a leader</t>
  </si>
  <si>
    <t xml:space="preserve"> I see myself as a leader.</t>
  </si>
  <si>
    <t xml:space="preserve"> I know how I can help make my world a better place.</t>
  </si>
  <si>
    <t xml:space="preserve"> I can handle a lot of pressure</t>
  </si>
  <si>
    <t xml:space="preserve"> I enjoy trying new things</t>
  </si>
  <si>
    <t>This definitely describes me</t>
  </si>
  <si>
    <t>The somewhat describes me</t>
  </si>
  <si>
    <t>This does not really describe me</t>
  </si>
  <si>
    <t>This does not at all describe me</t>
  </si>
  <si>
    <t>Don’t know</t>
  </si>
  <si>
    <t>Grid Summary: To what extent do you think these attributes describe you?</t>
  </si>
  <si>
    <t>To what extent do you think these attributes describe you?: I believe I have the ability to be a leader.</t>
  </si>
  <si>
    <t>To what extent do you think these attributes describe you?: I know how to be a leader</t>
  </si>
  <si>
    <t>To what extent do you think these attributes describe you?: I see myself as a leader.</t>
  </si>
  <si>
    <t>To what extent do you think these attributes describe you?: I know how I can help make my world a better place.</t>
  </si>
  <si>
    <t>To what extent do you think these attributes describe you?: I can handle a lot of pressure</t>
  </si>
  <si>
    <t>To what extent do you think these attributes describe you?: I enjoy trying new things</t>
  </si>
  <si>
    <t xml:space="preserve"> I’m a good team player</t>
  </si>
  <si>
    <t xml:space="preserve"> I’m a supportive friend</t>
  </si>
  <si>
    <t xml:space="preserve"> I feel good about who I am</t>
  </si>
  <si>
    <t xml:space="preserve"> I have a lot to be proud of</t>
  </si>
  <si>
    <t xml:space="preserve"> Nothing I do ever seems to turn out right</t>
  </si>
  <si>
    <t xml:space="preserve"> I am adventurous</t>
  </si>
  <si>
    <t xml:space="preserve"> I often doubt myself</t>
  </si>
  <si>
    <t>To what extent do you think these attributes describe you?: I’m a good team player</t>
  </si>
  <si>
    <t>To what extent do you think these attributes describe you?: I’m a supportive friend</t>
  </si>
  <si>
    <t>To what extent do you think these attributes describe you?: I feel good about who I am</t>
  </si>
  <si>
    <t>To what extent do you think these attributes describe you?: I have a lot to be proud of</t>
  </si>
  <si>
    <t>To what extent do you think these attributes describe you?: Nothing I do ever seems to turn out right</t>
  </si>
  <si>
    <t>To what extent do you think these attributes describe you?: I am adventurous</t>
  </si>
  <si>
    <t>To what extent do you think these attributes describe you?: I often doubt myself</t>
  </si>
  <si>
    <t xml:space="preserve"> I tend to bounce back quickly after hard times </t>
  </si>
  <si>
    <t xml:space="preserve"> I can communicate my thoughts clearly with others</t>
  </si>
  <si>
    <t xml:space="preserve"> It does not take me long to recover from a stressful event</t>
  </si>
  <si>
    <t xml:space="preserve"> I usually come through difficult times with little trouble</t>
  </si>
  <si>
    <t xml:space="preserve"> I have a hard time making it through stressful events </t>
  </si>
  <si>
    <t xml:space="preserve"> It is hard for me to snap back when something bad happens</t>
  </si>
  <si>
    <t xml:space="preserve"> I tend to take a long time to get over set-backs in my life</t>
  </si>
  <si>
    <t xml:space="preserve"> I would rather not try than try and fail</t>
  </si>
  <si>
    <t>Strongly agree</t>
  </si>
  <si>
    <t>Agree</t>
  </si>
  <si>
    <t>Neither agree nor disagree</t>
  </si>
  <si>
    <t>Disagree</t>
  </si>
  <si>
    <t>Strongly disagree</t>
  </si>
  <si>
    <t>Don't know</t>
  </si>
  <si>
    <t>Total Agree:</t>
  </si>
  <si>
    <t>Total Disagree:</t>
  </si>
  <si>
    <t>Grid Summary: To what extent do you agree or disagree with the following statements?</t>
  </si>
  <si>
    <t xml:space="preserve">To what extent do you agree or disagree with the following statements?: I tend to bounce back quickly after hard times </t>
  </si>
  <si>
    <t xml:space="preserve">To what extent do you agree or disagree with the following statements?: I have a hard time making it through stressful events </t>
  </si>
  <si>
    <t>To what extent do you agree or disagree with the following statements?: It does not take me long to recover from a stressful event</t>
  </si>
  <si>
    <t>To what extent do you agree or disagree with the following statements?: It is hard for me to snap back when something bad happens</t>
  </si>
  <si>
    <t>To what extent do you agree or disagree with the following statements?: I usually come through difficult times with little trouble</t>
  </si>
  <si>
    <t>To what extent do you agree or disagree with the following statements?: I tend to take a long time to get over set-backs in my life</t>
  </si>
  <si>
    <t>To what extent do you agree or disagree with the following statements?: I can communicate my thoughts clearly with others</t>
  </si>
  <si>
    <t>To what extent do you agree or disagree with the following statements?: I would rather not try than try and fail</t>
  </si>
  <si>
    <t>Very dissatisfied</t>
  </si>
  <si>
    <t>Dissatisfied</t>
  </si>
  <si>
    <t>Neither satisfied nor dissatisfied</t>
  </si>
  <si>
    <t>Satisfied</t>
  </si>
  <si>
    <t>Very satisfied</t>
  </si>
  <si>
    <t xml:space="preserve"> Thinking about your relationships and free time, how satisfied or dissatisfied are you with your personal life?</t>
  </si>
  <si>
    <t>Very pessimistic</t>
  </si>
  <si>
    <t>Pessimistic</t>
  </si>
  <si>
    <t>Neither optimistic nor pessimistic</t>
  </si>
  <si>
    <t>Optimistic</t>
  </si>
  <si>
    <t>Very optimistic</t>
  </si>
  <si>
    <t xml:space="preserve"> Are you optimistic or pessimistic about your future?</t>
  </si>
  <si>
    <t>Strongly Agree</t>
  </si>
  <si>
    <t>Strong Disagree</t>
  </si>
  <si>
    <t xml:space="preserve"> To what extent do agree with the following statement: “I enjoy watching professional athletes playing sports (e.g. on the TV or at live events).”</t>
  </si>
  <si>
    <t>Live TV broadcast</t>
  </si>
  <si>
    <t>Social media</t>
  </si>
  <si>
    <t>Streaming Services</t>
  </si>
  <si>
    <t>Sports news websites or apps</t>
  </si>
  <si>
    <t>Catch Up TV services</t>
  </si>
  <si>
    <t>In-person at sports venues</t>
  </si>
  <si>
    <t>NA - I never watch sports-related content</t>
  </si>
  <si>
    <t>Radio</t>
  </si>
  <si>
    <t>Documentaries</t>
  </si>
  <si>
    <t>Podcasts</t>
  </si>
  <si>
    <t>Other (please specify)</t>
  </si>
  <si>
    <t>Which platforms do you use to watch or consume sports-related content? Please select all that apply.</t>
  </si>
  <si>
    <t>Live sport</t>
  </si>
  <si>
    <t>Highlight reels</t>
  </si>
  <si>
    <t>Final scores and key stats</t>
  </si>
  <si>
    <t>Documentaries about sports and athletes</t>
  </si>
  <si>
    <t>Interviews with athletes</t>
  </si>
  <si>
    <t>Behind the scenes footage</t>
  </si>
  <si>
    <t>Fitness and workout advice</t>
  </si>
  <si>
    <t>Athletes’ social media content</t>
  </si>
  <si>
    <t>Analysis by experts/pundits</t>
  </si>
  <si>
    <t>Video diaries by athletes</t>
  </si>
  <si>
    <t>Online fan forums</t>
  </si>
  <si>
    <t>Fantasy leagues</t>
  </si>
  <si>
    <t>Accounts of historic matches</t>
  </si>
  <si>
    <t>What type of sports-related content do you enjoy consuming? Please select all that apply. </t>
  </si>
  <si>
    <t>Football</t>
  </si>
  <si>
    <t>Athletics</t>
  </si>
  <si>
    <t>Tennis</t>
  </si>
  <si>
    <t>NA - I have not watched any of these sports</t>
  </si>
  <si>
    <t>Boxing</t>
  </si>
  <si>
    <t>Motorsport</t>
  </si>
  <si>
    <t>Swimming</t>
  </si>
  <si>
    <t>Rugby</t>
  </si>
  <si>
    <t>Basketball</t>
  </si>
  <si>
    <t>Cricket</t>
  </si>
  <si>
    <t>Gymnastics</t>
  </si>
  <si>
    <t>Golf</t>
  </si>
  <si>
    <t>Martial arts</t>
  </si>
  <si>
    <t>Netball</t>
  </si>
  <si>
    <t>Hockey</t>
  </si>
  <si>
    <t>Badminton</t>
  </si>
  <si>
    <t>Water sports</t>
  </si>
  <si>
    <t>Squash</t>
  </si>
  <si>
    <t>Have you watched coverage of any of the following sports in the past 6 months (e.g. on the TV or your phone)?</t>
  </si>
  <si>
    <t xml:space="preserve"> Athletics</t>
  </si>
  <si>
    <t xml:space="preserve"> Football</t>
  </si>
  <si>
    <t xml:space="preserve"> Netball</t>
  </si>
  <si>
    <t xml:space="preserve"> Gymnastics</t>
  </si>
  <si>
    <t xml:space="preserve"> Swimming</t>
  </si>
  <si>
    <t xml:space="preserve"> Basketball</t>
  </si>
  <si>
    <t xml:space="preserve"> Hockey</t>
  </si>
  <si>
    <t xml:space="preserve"> Rugby</t>
  </si>
  <si>
    <t xml:space="preserve"> Cricket</t>
  </si>
  <si>
    <t xml:space="preserve"> Tennis</t>
  </si>
  <si>
    <t xml:space="preserve"> Badminton</t>
  </si>
  <si>
    <t xml:space="preserve"> Golf</t>
  </si>
  <si>
    <t xml:space="preserve"> Martial arts</t>
  </si>
  <si>
    <t xml:space="preserve"> Squash</t>
  </si>
  <si>
    <t xml:space="preserve"> Water sports</t>
  </si>
  <si>
    <t xml:space="preserve"> Motorsport</t>
  </si>
  <si>
    <t xml:space="preserve"> Boxing</t>
  </si>
  <si>
    <t>Daily</t>
  </si>
  <si>
    <t>Multiple times a week</t>
  </si>
  <si>
    <t>Weekly</t>
  </si>
  <si>
    <t>Multiple times a month</t>
  </si>
  <si>
    <t>Monthly</t>
  </si>
  <si>
    <t>Multiple times a year</t>
  </si>
  <si>
    <t>Once a year</t>
  </si>
  <si>
    <t>Less than once a year but still occasionally</t>
  </si>
  <si>
    <t>N/A - I never watch the men's version of this sport</t>
  </si>
  <si>
    <t>Grid Summary: You said you have watched coverage of the following sports in the past 6 months, how often do you watch the men's version of those sports?</t>
  </si>
  <si>
    <t>BASE: Question randomly assigned to respondents</t>
  </si>
  <si>
    <t>You said you have watched coverage of the following sports in the past 6 months, how often do you watch the men's version of those sports?: Athletics</t>
  </si>
  <si>
    <t>You said you have watched coverage of the following sports in the past 6 months, how often do you watch the men's version of those sports?: Football</t>
  </si>
  <si>
    <t>You said you have watched coverage of the following sports in the past 6 months, how often do you watch the men's version of those sports?: Netball</t>
  </si>
  <si>
    <t>You said you have watched coverage of the following sports in the past 6 months, how often do you watch the men's version of those sports?: Gymnastics</t>
  </si>
  <si>
    <t>You said you have watched coverage of the following sports in the past 6 months, how often do you watch the men's version of those sports?: Swimming</t>
  </si>
  <si>
    <t>You said you have watched coverage of the following sports in the past 6 months, how often do you watch the men's version of those sports?: Basketball</t>
  </si>
  <si>
    <t>You said you have watched coverage of the following sports in the past 6 months, how often do you watch the men's version of those sports?: Hockey</t>
  </si>
  <si>
    <t>You said you have watched coverage of the following sports in the past 6 months, how often do you watch the men's version of those sports?: Rugby</t>
  </si>
  <si>
    <t>You said you have watched coverage of the following sports in the past 6 months, how often do you watch the men's version of those sports?: Cricket</t>
  </si>
  <si>
    <t>You said you have watched coverage of the following sports in the past 6 months, how often do you watch the men's version of those sports?: Tennis</t>
  </si>
  <si>
    <t>You said you have watched coverage of the following sports in the past 6 months, how often do you watch the men's version of those sports?: Badminton</t>
  </si>
  <si>
    <t>You said you have watched coverage of the following sports in the past 6 months, how often do you watch the men's version of those sports?: Golf</t>
  </si>
  <si>
    <t>You said you have watched coverage of the following sports in the past 6 months, how often do you watch the men's version of those sports?: Martial arts</t>
  </si>
  <si>
    <t>0</t>
  </si>
  <si>
    <t>*</t>
  </si>
  <si>
    <t>You said you have watched coverage of the following sports in the past 6 months, how often do you watch the men's version of those sports?: Squash</t>
  </si>
  <si>
    <t>You said you have watched coverage of the following sports in the past 6 months, how often do you watch the men's version of those sports?: Water sports</t>
  </si>
  <si>
    <t>You said you have watched coverage of the following sports in the past 6 months, how often do you watch the men's version of those sports?: Motorsport</t>
  </si>
  <si>
    <t>You said you have watched coverage of the following sports in the past 6 months, how often do you watch the men's version of those sports?: Boxing</t>
  </si>
  <si>
    <t>N/A - I never watch the women's version of this sport</t>
  </si>
  <si>
    <t>Grid Summary: And how often do you watch the women's version of those sports?</t>
  </si>
  <si>
    <t>And how often do you watch the women's version of those sports?: Athletics</t>
  </si>
  <si>
    <t>And how often do you watch the women's version of those sports?: Football</t>
  </si>
  <si>
    <t>And how often do you watch the women's version of those sports?: Netball</t>
  </si>
  <si>
    <t>And how often do you watch the women's version of those sports?: Gymnastics</t>
  </si>
  <si>
    <t>And how often do you watch the women's version of those sports?: Swimming</t>
  </si>
  <si>
    <t>And how often do you watch the women's version of those sports?: Basketball</t>
  </si>
  <si>
    <t>And how often do you watch the women's version of those sports?: Hockey</t>
  </si>
  <si>
    <t>And how often do you watch the women's version of those sports?: Rugby</t>
  </si>
  <si>
    <t>And how often do you watch the women's version of those sports?: Cricket</t>
  </si>
  <si>
    <t>And how often do you watch the women's version of those sports?: Tennis</t>
  </si>
  <si>
    <t>And how often do you watch the women's version of those sports?: Badminton</t>
  </si>
  <si>
    <t>And how often do you watch the women's version of those sports?: Golf</t>
  </si>
  <si>
    <t>And how often do you watch the women's version of those sports?: Martial arts</t>
  </si>
  <si>
    <t>And how often do you watch the women's version of those sports?: Squash</t>
  </si>
  <si>
    <t>And how often do you watch the women's version of those sports?: Water sports</t>
  </si>
  <si>
    <t>And how often do you watch the women's version of those sports?: Motorsport</t>
  </si>
  <si>
    <t>And how often do you watch the women's version of those sports?: Boxing</t>
  </si>
  <si>
    <t>Yes</t>
  </si>
  <si>
    <t>No</t>
  </si>
  <si>
    <t xml:space="preserve"> Do you currently consider yourself to be ‘sporty’?</t>
  </si>
  <si>
    <t>No - I consider myself to be MORE 'sporty' now</t>
  </si>
  <si>
    <t>No - I consider myself to be LESS 'sporty' now</t>
  </si>
  <si>
    <t xml:space="preserve"> And did you consider yourself as ‘sporty’ when you were 11? This is the age you would begin year 7 if you attended a school in the UK.If COVID affected your level of participation in sport when you were 11, please think back to the time just before the pandemic began.</t>
  </si>
  <si>
    <t>BASE: Older than 12</t>
  </si>
  <si>
    <t>I play casual sport in a group (e.g. pick-up football match)</t>
  </si>
  <si>
    <t>I exercise independently at least once (e.g. weights at the gym)</t>
  </si>
  <si>
    <t>I play competitive sport in a group (e.g. a football league)</t>
  </si>
  <si>
    <t>I exercise in a group (e.g. a yoga class)</t>
  </si>
  <si>
    <t>I play casual sport on my own (e.g. singles tennis)</t>
  </si>
  <si>
    <t>I play competitive sport on my own (e.g. athletics races)</t>
  </si>
  <si>
    <t>In a typical month, which of these statements are true for you now? Select all that apply.</t>
  </si>
  <si>
    <t>I played team sports outside of mandatory lessons</t>
  </si>
  <si>
    <t>I mostly played team sports, but also played some individual sports outside of mandatory lessons</t>
  </si>
  <si>
    <t>I played an equal amount of team and individual sports outside of mandatory lessons</t>
  </si>
  <si>
    <t>I mostly played individual sports outside of mandatory lessons</t>
  </si>
  <si>
    <t>I only played individual sports outside of mandatory lessons</t>
  </si>
  <si>
    <t>I didn’t play sports at all outside of mandatory lessons, but I wanted to</t>
  </si>
  <si>
    <t>I didn’t play sports at all outside of mandatory lessons, and I didn’t want to</t>
  </si>
  <si>
    <t xml:space="preserve"> Outside of any mandatory sports lessons you participated in at school, which of the following was true for you when you were 11?If COVID affected your level of participation in sport when you were 11, please think back to the time just before the pandemic began.</t>
  </si>
  <si>
    <t>2-5 hours a week</t>
  </si>
  <si>
    <t>1-2 hours a week</t>
  </si>
  <si>
    <t>30 minutes - 1 hour a week</t>
  </si>
  <si>
    <t>Less than 30 minutes a week, but some time</t>
  </si>
  <si>
    <t>I never played sport when I was 11</t>
  </si>
  <si>
    <t xml:space="preserve"> Beyond your mandatory lessons at school, how many hours of sport would you estimate that you played in an average week when you were 11? Your best estimate will do.If COVID affected your level of participation in sport when you were 11, please think back to the time just before the pandemic began.</t>
  </si>
  <si>
    <t xml:space="preserve"> Beyond your mandatory lessons at school, how many hours would you estimate that you spent exercising in an average week when you were 11? Your best estimate will do.If COVID affected your level of participation in sport when you were 11, please think back to the time just before the pandemic began.</t>
  </si>
  <si>
    <t>I only play team sports</t>
  </si>
  <si>
    <t>I mostly play team sports, but also play some individual sports</t>
  </si>
  <si>
    <t>I play an equal amount of team and individual sports</t>
  </si>
  <si>
    <t>I mostly play individual sports</t>
  </si>
  <si>
    <t>I only play individual sports</t>
  </si>
  <si>
    <t>I don’t play sport at all</t>
  </si>
  <si>
    <t xml:space="preserve"> Which of the following is true for you now?</t>
  </si>
  <si>
    <t>Climbing</t>
  </si>
  <si>
    <t>You said you play some sport now, which of the following sports do you primarily play? Select up to three</t>
  </si>
  <si>
    <t>BASE: Play sports now</t>
  </si>
  <si>
    <t>I play much less sport</t>
  </si>
  <si>
    <t>I play less sport</t>
  </si>
  <si>
    <t>I play about the same amount of sport</t>
  </si>
  <si>
    <t>I play more sport</t>
  </si>
  <si>
    <t>I play much more sport</t>
  </si>
  <si>
    <t>NA - I have never played sports at secondary school</t>
  </si>
  <si>
    <t xml:space="preserve"> Compared to your first year of secondary school, when you were aged 11 or 12, do you play more or less sport now?If COVID affected your level of participation in sport when you were 11 or 12, please think back to the time just before the pandemic began.</t>
  </si>
  <si>
    <t>I only play sport outside of school</t>
  </si>
  <si>
    <t>I mostly play sport outside of school, but play some at my school</t>
  </si>
  <si>
    <t>I play an equal amount of sport in and out of school</t>
  </si>
  <si>
    <t>I mostly play sport for my school, but play some sport outside of school</t>
  </si>
  <si>
    <t>I only play sport at school</t>
  </si>
  <si>
    <t xml:space="preserve"> Which of the following is true for you?</t>
  </si>
  <si>
    <t>1 - For people like me</t>
  </si>
  <si>
    <t>2</t>
  </si>
  <si>
    <t>3</t>
  </si>
  <si>
    <t>4</t>
  </si>
  <si>
    <t>5 - Not for people like me</t>
  </si>
  <si>
    <t xml:space="preserve"> Thinking about participating in sport, how would you rank it on the following scale?</t>
  </si>
  <si>
    <t>1 - Accessible</t>
  </si>
  <si>
    <t>5 - Inaccessible</t>
  </si>
  <si>
    <t>1 - Rewarding</t>
  </si>
  <si>
    <t>5 - Unrewarding</t>
  </si>
  <si>
    <t xml:space="preserve"> Mother</t>
  </si>
  <si>
    <t xml:space="preserve"> Father</t>
  </si>
  <si>
    <t xml:space="preserve"> Other adults in my family</t>
  </si>
  <si>
    <t xml:space="preserve"> Siblings</t>
  </si>
  <si>
    <t xml:space="preserve"> Teachers</t>
  </si>
  <si>
    <t xml:space="preserve"> Friends</t>
  </si>
  <si>
    <t>1 - Not at all</t>
  </si>
  <si>
    <t>5 - Very much</t>
  </si>
  <si>
    <t>Not applicable</t>
  </si>
  <si>
    <t>Grid Summary: To what extent did these different people in your life encourage your participation in your sport at any point in your childhood?</t>
  </si>
  <si>
    <t>To what extent did these different people in your life encourage your participation in your sport at any point in your childhood?: Mother</t>
  </si>
  <si>
    <t>To what extent did these different people in your life encourage your participation in your sport at any point in your childhood?: Father</t>
  </si>
  <si>
    <t>To what extent did these different people in your life encourage your participation in your sport at any point in your childhood?: Other adults in my family</t>
  </si>
  <si>
    <t>To what extent did these different people in your life encourage your participation in your sport at any point in your childhood?: Siblings</t>
  </si>
  <si>
    <t>To what extent did these different people in your life encourage your participation in your sport at any point in your childhood?: Teachers</t>
  </si>
  <si>
    <t>To what extent did these different people in your life encourage your participation in your sport at any point in your childhood?: Friends</t>
  </si>
  <si>
    <t>Grid Summary: To what extent did these different people in your life practice or participate in sport with you at any point in your childhood?</t>
  </si>
  <si>
    <t>To what extent did these different people in your life practice or participate in sport with you at any point in your childhood?: Mother</t>
  </si>
  <si>
    <t>To what extent did these different people in your life practice or participate in sport with you at any point in your childhood?: Father</t>
  </si>
  <si>
    <t>To what extent did these different people in your life practice or participate in sport with you at any point in your childhood?: Other adults in my family</t>
  </si>
  <si>
    <t>To what extent did these different people in your life practice or participate in sport with you at any point in your childhood?: Siblings</t>
  </si>
  <si>
    <t>To what extent did these different people in your life practice or participate in sport with you at any point in your childhood?: Teachers</t>
  </si>
  <si>
    <t>To what extent did these different people in your life practice or participate in sport with you at any point in your childhood?: Friends</t>
  </si>
  <si>
    <t xml:space="preserve"> Other adults in their family</t>
  </si>
  <si>
    <t>Grid Summary: To what extent do you think these different kinds of people are responsible for encouraging and supporting children to try out and participate in sport?</t>
  </si>
  <si>
    <t>To what extent do you think these different kinds of people are responsible for encouraging and supporting children to try out and participate in sport?: Mother</t>
  </si>
  <si>
    <t>To what extent do you think these different kinds of people are responsible for encouraging and supporting children to try out and participate in sport?: Father</t>
  </si>
  <si>
    <t>To what extent do you think these different kinds of people are responsible for encouraging and supporting children to try out and participate in sport?: Other adults in their family</t>
  </si>
  <si>
    <t>To what extent do you think these different kinds of people are responsible for encouraging and supporting children to try out and participate in sport?: Siblings</t>
  </si>
  <si>
    <t>To what extent do you think these different kinds of people are responsible for encouraging and supporting children to try out and participate in sport?: Teachers</t>
  </si>
  <si>
    <t>To what extent do you think these different kinds of people are responsible for encouraging and supporting children to try out and participate in sport?: Friends</t>
  </si>
  <si>
    <t xml:space="preserve"> Playing sports was an important part of my life</t>
  </si>
  <si>
    <t xml:space="preserve"> It was one of the best ways for me to grow as a person</t>
  </si>
  <si>
    <t xml:space="preserve"> It helped me develop qualities in myself that I valued</t>
  </si>
  <si>
    <t xml:space="preserve"> I enjoyed winning</t>
  </si>
  <si>
    <t xml:space="preserve"> Playing sports was a big part of my routine</t>
  </si>
  <si>
    <t xml:space="preserve"> I liked playing sports with my friends</t>
  </si>
  <si>
    <t xml:space="preserve"> I enjoyed learning new skills and improving my performance</t>
  </si>
  <si>
    <t>Very important</t>
  </si>
  <si>
    <t>Important</t>
  </si>
  <si>
    <t>Not very important</t>
  </si>
  <si>
    <t>Not important at all</t>
  </si>
  <si>
    <t>Total Important:</t>
  </si>
  <si>
    <t>Grid Summary: You said you used to play sport but no longer do. How important were the following factors for why you previously participated in sport?</t>
  </si>
  <si>
    <t>BASE: Question displayed when the  Question "Which of the following is true for you now?" is one of the following answers ("I donâ€™t play sport at all") AND #44 Question "Outside of any mandatory sports lessons you participated in at school, which of the following was true for you when you were 11?If COVID affected your level of participation in sport when you were 11, please think back to the time just before the pandemic began." is one of the following answers ("I played team sports outside of mandatory lessons","I mostly played team sports, but also played some individual sports outside of mandatory lessons","I played an equal amount of team and individual sports outside of mandatory lessons","I mostly played individual sports outside of mandatory lessons","I only played individual sports outside of mandatory lessons")</t>
  </si>
  <si>
    <t>You said you used to play sport but no longer do. How important were the following factors for why you previously participated in sport?: I enjoyed learning new skills and improving my performance</t>
  </si>
  <si>
    <t>You said you used to play sport but no longer do. How important were the following factors for why you previously participated in sport?: Playing sports was an important part of my life</t>
  </si>
  <si>
    <t>You said you used to play sport but no longer do. How important were the following factors for why you previously participated in sport?: Playing sports was a big part of my routine</t>
  </si>
  <si>
    <t>You said you used to play sport but no longer do. How important were the following factors for why you previously participated in sport?: It helped me develop qualities in myself that I valued</t>
  </si>
  <si>
    <t>You said you used to play sport but no longer do. How important were the following factors for why you previously participated in sport?: It was one of the best ways for me to grow as a person</t>
  </si>
  <si>
    <t>You said you used to play sport but no longer do. How important were the following factors for why you previously participated in sport?: I liked playing sports with my friends</t>
  </si>
  <si>
    <t>You said you used to play sport but no longer do. How important were the following factors for why you previously participated in sport?: I enjoyed winning</t>
  </si>
  <si>
    <t xml:space="preserve"> People around me appreciated me more when I played</t>
  </si>
  <si>
    <t xml:space="preserve"> I would have felt bad about myself if I didn’t take the time to do it</t>
  </si>
  <si>
    <t xml:space="preserve"> I enjoyed the reputation associated with doing sport</t>
  </si>
  <si>
    <t xml:space="preserve"> I felt pressure from others (e.g., family, coaches, teachers) to keep playing</t>
  </si>
  <si>
    <t xml:space="preserve"> It was a way to maintain my physical appearance</t>
  </si>
  <si>
    <t xml:space="preserve"> It helped me feel better mentally</t>
  </si>
  <si>
    <t xml:space="preserve"> It was a way to stay physically healthy</t>
  </si>
  <si>
    <t>You said you used to play sport but no longer do. How important were the following factors for why you previously participated in sport?: I enjoyed the reputation associated with doing sport</t>
  </si>
  <si>
    <t>You said you used to play sport but no longer do. How important were the following factors for why you previously participated in sport?: People around me appreciated me more when I played</t>
  </si>
  <si>
    <t>You said you used to play sport but no longer do. How important were the following factors for why you previously participated in sport?: I felt pressure from others (e.g., family, coaches, teachers) to keep playing</t>
  </si>
  <si>
    <t>You said you used to play sport but no longer do. How important were the following factors for why you previously participated in sport?: It was a way to stay physically healthy</t>
  </si>
  <si>
    <t>You said you used to play sport but no longer do. How important were the following factors for why you previously participated in sport?: It helped me feel better mentally</t>
  </si>
  <si>
    <t>You said you used to play sport but no longer do. How important were the following factors for why you previously participated in sport?: It was a way to maintain my physical appearance</t>
  </si>
  <si>
    <t>You said you used to play sport but no longer do. How important were the following factors for why you previously participated in sport?: I would have felt bad about myself if I didn’t take the time to do it</t>
  </si>
  <si>
    <t xml:space="preserve"> I like playing sports with my friends</t>
  </si>
  <si>
    <t xml:space="preserve"> I enjoy learning new skills</t>
  </si>
  <si>
    <t xml:space="preserve"> I enjoy improving my performance</t>
  </si>
  <si>
    <t xml:space="preserve"> It helps me to grow as a person</t>
  </si>
  <si>
    <t xml:space="preserve"> I enjoy winning</t>
  </si>
  <si>
    <t xml:space="preserve"> It helps me develop qualities in myself that I value</t>
  </si>
  <si>
    <t xml:space="preserve"> Playing sport is a part of who I am</t>
  </si>
  <si>
    <t xml:space="preserve"> Playing sports is a big part of my routine</t>
  </si>
  <si>
    <t>Grid Summary: How important are the following factors for why you currently participate in sport?</t>
  </si>
  <si>
    <t>How important are the following factors for why you currently participate in sport?: I enjoy learning new skills</t>
  </si>
  <si>
    <t>How important are the following factors for why you currently participate in sport?: I enjoy improving my performance</t>
  </si>
  <si>
    <t>How important are the following factors for why you currently participate in sport?: Playing sport is a part of who I am</t>
  </si>
  <si>
    <t>How important are the following factors for why you currently participate in sport?: Playing sports is a big part of my routine</t>
  </si>
  <si>
    <t>How important are the following factors for why you currently participate in sport?: It helps me develop qualities in myself that I value</t>
  </si>
  <si>
    <t>How important are the following factors for why you currently participate in sport?: It helps me to grow as a person</t>
  </si>
  <si>
    <t>How important are the following factors for why you currently participate in sport?: I like playing sports with my friends</t>
  </si>
  <si>
    <t>How important are the following factors for why you currently participate in sport?: I enjoy winning</t>
  </si>
  <si>
    <t xml:space="preserve"> It’s a way to look after my physical health</t>
  </si>
  <si>
    <t xml:space="preserve"> It’s a way to look after my physical appearance</t>
  </si>
  <si>
    <t xml:space="preserve"> It’s a way to look after my mental health</t>
  </si>
  <si>
    <t xml:space="preserve"> I enjoy the respect associated with doing sport </t>
  </si>
  <si>
    <t xml:space="preserve"> People around me appreciate me more when I play</t>
  </si>
  <si>
    <t xml:space="preserve"> I’d feel bad about myself if I didn’t make the time to do it</t>
  </si>
  <si>
    <t xml:space="preserve"> I feel pressure from others (e.g., family, coaches, teachers) to keep playing</t>
  </si>
  <si>
    <t xml:space="preserve">How important are the following factors for why you currently participate in sport?: I enjoy the respect associated with doing sport </t>
  </si>
  <si>
    <t>How important are the following factors for why you currently participate in sport?: People around me appreciate me more when I play</t>
  </si>
  <si>
    <t>How important are the following factors for why you currently participate in sport?: I feel pressure from others (e.g., family, coaches, teachers) to keep playing</t>
  </si>
  <si>
    <t>How important are the following factors for why you currently participate in sport?: It’s a way to look after my physical health</t>
  </si>
  <si>
    <t>How important are the following factors for why you currently participate in sport?: It’s a way to look after my mental health</t>
  </si>
  <si>
    <t>How important are the following factors for why you currently participate in sport?: It’s a way to look after my physical appearance</t>
  </si>
  <si>
    <t>How important are the following factors for why you currently participate in sport?: I’d feel bad about myself if I didn’t make the time to do it</t>
  </si>
  <si>
    <t>1 - Very difficult</t>
  </si>
  <si>
    <t>5</t>
  </si>
  <si>
    <t>6</t>
  </si>
  <si>
    <t>7 - Very easy</t>
  </si>
  <si>
    <t xml:space="preserve"> How easy do you find it to pick up new sports?</t>
  </si>
  <si>
    <t>1 - Not useful at all</t>
  </si>
  <si>
    <t>7 - Very useful</t>
  </si>
  <si>
    <t xml:space="preserve"> How useful are the things you've learnt from playing sports?</t>
  </si>
  <si>
    <t>1 - Not important at all</t>
  </si>
  <si>
    <t>7 - Very important</t>
  </si>
  <si>
    <t xml:space="preserve"> Compared to the other activities and interests you have, how important do you feel it is for you to be good at sports?</t>
  </si>
  <si>
    <t xml:space="preserve"> Compared to the other activities and interests you have, how important do you feel it is for you to get good grades?</t>
  </si>
  <si>
    <t>1 - Very unenjoyable</t>
  </si>
  <si>
    <t>7 - Very enjoyable</t>
  </si>
  <si>
    <t xml:space="preserve"> And, in general, how enjoyable do you find playing sports?</t>
  </si>
  <si>
    <t xml:space="preserve"> I find it hard to balance playing sport with taking part in my other hobbies and interests</t>
  </si>
  <si>
    <t xml:space="preserve"> I find it hard to balance playing sport with studying</t>
  </si>
  <si>
    <t xml:space="preserve"> I have been put off playing sport by my experiences at secondary school</t>
  </si>
  <si>
    <t xml:space="preserve"> I find it hard to balance playing sport with maintaining relationships with friends and family</t>
  </si>
  <si>
    <t>Grid Summary: To what extent do you agree with the following statements regarding your experiences with sports at school?</t>
  </si>
  <si>
    <t>To what extent do you agree with the following statements regarding your experiences with sports at school?: I find it hard to balance playing sport with studying</t>
  </si>
  <si>
    <t>To what extent do you agree with the following statements regarding your experiences with sports at school?: I find it hard to balance playing sport with maintaining relationships with friends and family</t>
  </si>
  <si>
    <t>To what extent do you agree with the following statements regarding your experiences with sports at school?: I find it hard to balance playing sport with taking part in my other hobbies and interests</t>
  </si>
  <si>
    <t>To what extent do you agree with the following statements regarding your experiences with sports at school?: I have been put off playing sport by my experiences at secondary school</t>
  </si>
  <si>
    <t xml:space="preserve"> I had an injury</t>
  </si>
  <si>
    <t xml:space="preserve"> The sports became too expensive to play</t>
  </si>
  <si>
    <t xml:space="preserve"> The sports took up too much of my time</t>
  </si>
  <si>
    <t xml:space="preserve"> The sports became too competitive</t>
  </si>
  <si>
    <t xml:space="preserve"> The sports became too tiring</t>
  </si>
  <si>
    <t xml:space="preserve"> I didn’t like the other people involved</t>
  </si>
  <si>
    <t xml:space="preserve"> It became less fun</t>
  </si>
  <si>
    <t xml:space="preserve"> I didn’t think I was good enough</t>
  </si>
  <si>
    <t xml:space="preserve"> My friends stopped playing</t>
  </si>
  <si>
    <t xml:space="preserve"> Schoolwork became too demanding</t>
  </si>
  <si>
    <t>Grid Summary: You said you play less sport now than you did in your first year of secondary school, how important are the following reasons for this?</t>
  </si>
  <si>
    <t>BASE: Played sports when 11 but don't play anymore</t>
  </si>
  <si>
    <t>You said you play less sport now than you did in your first year of secondary school, how important are the following reasons for this?: I didn’t think I was good enough</t>
  </si>
  <si>
    <t>You said you play less sport now than you did in your first year of secondary school, how important are the following reasons for this?: The sports became too competitive</t>
  </si>
  <si>
    <t>You said you play less sport now than you did in your first year of secondary school, how important are the following reasons for this?: The sports became too expensive to play</t>
  </si>
  <si>
    <t>You said you play less sport now than you did in your first year of secondary school, how important are the following reasons for this?: Schoolwork became too demanding</t>
  </si>
  <si>
    <t>You said you play less sport now than you did in your first year of secondary school, how important are the following reasons for this?: The sports took up too much of my time</t>
  </si>
  <si>
    <t>You said you play less sport now than you did in your first year of secondary school, how important are the following reasons for this?: I didn’t like the other people involved</t>
  </si>
  <si>
    <t>You said you play less sport now than you did in your first year of secondary school, how important are the following reasons for this?: My friends stopped playing</t>
  </si>
  <si>
    <t>You said you play less sport now than you did in your first year of secondary school, how important are the following reasons for this?: The sports became too tiring</t>
  </si>
  <si>
    <t>You said you play less sport now than you did in your first year of secondary school, how important are the following reasons for this?: It became less fun</t>
  </si>
  <si>
    <t>You said you play less sport now than you did in your first year of secondary school, how important are the following reasons for this?: I had an injury</t>
  </si>
  <si>
    <t xml:space="preserve"> I didn’t feel safe at practices</t>
  </si>
  <si>
    <t xml:space="preserve"> My family weren’t very supportive</t>
  </si>
  <si>
    <t xml:space="preserve"> The facilities weren’t very nice</t>
  </si>
  <si>
    <t xml:space="preserve"> I was scared of hurting myself</t>
  </si>
  <si>
    <t xml:space="preserve"> My teachers/coaches weren’t very supportive</t>
  </si>
  <si>
    <t xml:space="preserve"> My preferred sports were no longer available locally</t>
  </si>
  <si>
    <t xml:space="preserve"> I didn’t feel comfortable in the kit</t>
  </si>
  <si>
    <t xml:space="preserve"> I didn’t feel confident in my appearance</t>
  </si>
  <si>
    <t>You said you play less sport now than you did in your first year of secondary school, how important are the following reasons for this?: I was scared of hurting myself</t>
  </si>
  <si>
    <t>You said you play less sport now than you did in your first year of secondary school, how important are the following reasons for this?: The facilities weren’t very nice</t>
  </si>
  <si>
    <t>You said you play less sport now than you did in your first year of secondary school, how important are the following reasons for this?: I didn’t feel comfortable in the kit</t>
  </si>
  <si>
    <t>You said you play less sport now than you did in your first year of secondary school, how important are the following reasons for this?: I didn’t feel confident in my appearance</t>
  </si>
  <si>
    <t>You said you play less sport now than you did in your first year of secondary school, how important are the following reasons for this?: My preferred sports were no longer available locally</t>
  </si>
  <si>
    <t>You said you play less sport now than you did in your first year of secondary school, how important are the following reasons for this?: My family weren’t very supportive</t>
  </si>
  <si>
    <t>You said you play less sport now than you did in your first year of secondary school, how important are the following reasons for this?: My teachers/coaches weren’t very supportive</t>
  </si>
  <si>
    <t>You said you play less sport now than you did in your first year of secondary school, how important are the following reasons for this?: I didn’t feel safe at practices</t>
  </si>
  <si>
    <t xml:space="preserve"> In the area I live in, there are playgrounds</t>
  </si>
  <si>
    <t xml:space="preserve"> In the area I live in, there are sports clubs</t>
  </si>
  <si>
    <t xml:space="preserve"> In the area I live in, there are commercial sport providers (e.g., fitness clubs)</t>
  </si>
  <si>
    <t xml:space="preserve"> In the area I live in, there are sports facilities that are always accessible (e.g. football pitches, basketball courts, etc)</t>
  </si>
  <si>
    <t>Grid Summary: The next set of questions are about your local area. To what extent do the following statements describe where you live?</t>
  </si>
  <si>
    <t>The next set of questions are about your local area. To what extent do the following statements describe where you live?: In the area I live in, there are sports facilities that are always accessible (e.g. football pitches, basketball courts, etc)</t>
  </si>
  <si>
    <t>The next set of questions are about your local area. To what extent do the following statements describe where you live?: In the area I live in, there are playgrounds</t>
  </si>
  <si>
    <t>The next set of questions are about your local area. To what extent do the following statements describe where you live?: In the area I live in, there are sports clubs</t>
  </si>
  <si>
    <t>The next set of questions are about your local area. To what extent do the following statements describe where you live?: In the area I live in, there are commercial sport providers (e.g., fitness clubs)</t>
  </si>
  <si>
    <t xml:space="preserve"> When I was growing up, the adults in my life thought it was normal for girls to play sport</t>
  </si>
  <si>
    <t xml:space="preserve"> I remember being aware of professional female athletes as a child</t>
  </si>
  <si>
    <t xml:space="preserve"> Adult women in my family participated in sports while I was growing up</t>
  </si>
  <si>
    <t xml:space="preserve"> The adults in my family did not encourage the girls to participate in sport</t>
  </si>
  <si>
    <t xml:space="preserve"> People like me are not meant to play sport</t>
  </si>
  <si>
    <t xml:space="preserve"> I was taught that sport wasn’t for girls</t>
  </si>
  <si>
    <t xml:space="preserve"> My family’s customs or religion made it difficult for girls to participate in sport</t>
  </si>
  <si>
    <t>To what extent do you agree or disagree with the following statements?: When I was growing up, the adults in my life thought it was normal for girls to play sport</t>
  </si>
  <si>
    <t>To what extent do you agree or disagree with the following statements?: I remember being aware of professional female athletes as a child</t>
  </si>
  <si>
    <t>To what extent do you agree or disagree with the following statements?: Adult women in my family participated in sports while I was growing up</t>
  </si>
  <si>
    <t>To what extent do you agree or disagree with the following statements?: My family’s customs or religion made it difficult for girls to participate in sport</t>
  </si>
  <si>
    <t>To what extent do you agree or disagree with the following statements?: The adults in my family did not encourage the girls to participate in sport</t>
  </si>
  <si>
    <t>To what extent do you agree or disagree with the following statements?: I was taught that sport wasn’t for girls</t>
  </si>
  <si>
    <t>To what extent do you agree or disagree with the following statements?: People like me are not meant to play sport</t>
  </si>
  <si>
    <t xml:space="preserve"> Social media makes me feel more self conscious about my appearance</t>
  </si>
  <si>
    <t xml:space="preserve"> I enjoy following professional athletes on social media</t>
  </si>
  <si>
    <t xml:space="preserve"> Social media has introduced me to new athletes and sports</t>
  </si>
  <si>
    <t xml:space="preserve"> Social media has inspired me to do more exercise</t>
  </si>
  <si>
    <t xml:space="preserve"> I worry about people making fun of me on social media</t>
  </si>
  <si>
    <t xml:space="preserve"> Social media makes me feel like I’m not good enough</t>
  </si>
  <si>
    <t>To what extent do you agree or disagree with the following statements?: Social media has inspired me to do more exercise</t>
  </si>
  <si>
    <t>To what extent do you agree or disagree with the following statements?: Social media makes me feel more self conscious about my appearance</t>
  </si>
  <si>
    <t>To what extent do you agree or disagree with the following statements?: I enjoy following professional athletes on social media</t>
  </si>
  <si>
    <t>To what extent do you agree or disagree with the following statements?: Social media has introduced me to new athletes and sports</t>
  </si>
  <si>
    <t>To what extent do you agree or disagree with the following statements?: I worry about people making fun of me on social media</t>
  </si>
  <si>
    <t>To what extent do you agree or disagree with the following statements?: Social media makes me feel like I’m not good enough</t>
  </si>
  <si>
    <t xml:space="preserve"> If I was more confident in my abilities</t>
  </si>
  <si>
    <t xml:space="preserve"> If there was a greater variety of sports available for me to play</t>
  </si>
  <si>
    <t xml:space="preserve"> If there were single-sex sessions or spaces</t>
  </si>
  <si>
    <t xml:space="preserve"> If I was assured to not get injured</t>
  </si>
  <si>
    <t xml:space="preserve"> If my friends played more often</t>
  </si>
  <si>
    <t xml:space="preserve"> If the sport facilities were better quality</t>
  </si>
  <si>
    <t xml:space="preserve"> Having easier access to facilities</t>
  </si>
  <si>
    <t xml:space="preserve"> If I saw more female role models</t>
  </si>
  <si>
    <t xml:space="preserve"> If there were more options for me to play sport as a career</t>
  </si>
  <si>
    <t xml:space="preserve"> If the teachers and coaches were more supportive</t>
  </si>
  <si>
    <t xml:space="preserve"> If sports uniforms were more comfortable</t>
  </si>
  <si>
    <t xml:space="preserve"> If sports uniforms came in a wider range of sizes</t>
  </si>
  <si>
    <t>Much more likely</t>
  </si>
  <si>
    <t>More likely</t>
  </si>
  <si>
    <t>Neither more or less likely</t>
  </si>
  <si>
    <t>Less likely</t>
  </si>
  <si>
    <t>Grid Summary: Would the following factors make you more or less likely to consider playing sports more often?</t>
  </si>
  <si>
    <t>Would the following factors make you more or less likely to consider playing sports more often?: If I was more confident in my abilities</t>
  </si>
  <si>
    <t>Would the following factors make you more or less likely to consider playing sports more often?: If there was a greater variety of sports available for me to play</t>
  </si>
  <si>
    <t>Would the following factors make you more or less likely to consider playing sports more often?: If there were single-sex sessions or spaces</t>
  </si>
  <si>
    <t>Would the following factors make you more or less likely to consider playing sports more often?: If I was assured to not get injured</t>
  </si>
  <si>
    <t>Would the following factors make you more or less likely to consider playing sports more often?: If my friends played more often</t>
  </si>
  <si>
    <t>Would the following factors make you more or less likely to consider playing sports more often?: If the sport facilities were better quality</t>
  </si>
  <si>
    <t>Would the following factors make you more or less likely to consider playing sports more often?: Having easier access to facilities</t>
  </si>
  <si>
    <t>Would the following factors make you more or less likely to consider playing sports more often?: If I saw more female role models</t>
  </si>
  <si>
    <t>Would the following factors make you more or less likely to consider playing sports more often?: If there were more options for me to play sport as a career</t>
  </si>
  <si>
    <t>Would the following factors make you more or less likely to consider playing sports more often?: If the teachers and coaches were more supportive</t>
  </si>
  <si>
    <t>Would the following factors make you more or less likely to consider playing sports more often?: If sports uniforms were more comfortable</t>
  </si>
  <si>
    <t>Would the following factors make you more or less likely to consider playing sports more often?: If sports uniforms came in a wider range of sizes</t>
  </si>
  <si>
    <t>More coverage of the sports I enjoy watching</t>
  </si>
  <si>
    <t>Easier access (e.g., more streaming options, free-to-air coverage, fewer paywalls)</t>
  </si>
  <si>
    <t>None of these / I am not interested in watching more sports</t>
  </si>
  <si>
    <t>If more of my friends or family watched sports with me</t>
  </si>
  <si>
    <t>Better knowledge of when and where the sport will be on</t>
  </si>
  <si>
    <t>Shorter, more engaging match formats (e.g., highlights, condensed games)</t>
  </si>
  <si>
    <t>If I better understood the rules of the sport</t>
  </si>
  <si>
    <t>More time away from my other commitments</t>
  </si>
  <si>
    <t>Higher quality production (e.g., better camera angles, analysis, graphics)</t>
  </si>
  <si>
    <t>More relatable or engaging commentators and pundits</t>
  </si>
  <si>
    <t>More engaging social media content to build excitement before games</t>
  </si>
  <si>
    <t>More diverse representation in sports coverage (e.g., gender, ethnicity, perspectives)</t>
  </si>
  <si>
    <t>More opportunities to interact with or influence the broadcast (e.g., live polls, fan engagement features)</t>
  </si>
  <si>
    <t>More behind-the-scenes content and storytelling about the athletes</t>
  </si>
  <si>
    <t>What would make you more likely to watch coverage of sports more often?</t>
  </si>
  <si>
    <t>None of these / I am not interested in watching more women’s sports</t>
  </si>
  <si>
    <t>If more of my friends or family watched women’s sports</t>
  </si>
  <si>
    <t>More coverage of women’s sports across TV and digital platforms</t>
  </si>
  <si>
    <t>More competitive and evenly matched teams</t>
  </si>
  <si>
    <t>More investment in women’s sports to improve the level of play</t>
  </si>
  <si>
    <t>More opportunities to attend women’s sporting events in person</t>
  </si>
  <si>
    <t>More relatable or engaging female commentators and pundits</t>
  </si>
  <si>
    <t>Stronger marketing and branding to promote women’s sports</t>
  </si>
  <si>
    <t>More crossover events featuring both men’s and women’s teams</t>
  </si>
  <si>
    <t>More storytelling and behind-the-scenes content about female athletes</t>
  </si>
  <si>
    <t>What would make you more likely to watch coverage of women’s sports more often? Select all that apply</t>
  </si>
  <si>
    <t>Full Results</t>
  </si>
  <si>
    <t>UK 11-18 year-olds in full-time education</t>
  </si>
  <si>
    <t>BASE: No longer play 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</si>
</sst>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0" fontId="7" fillId="0" borderId="0" xfId="0" applyFont="1" applyAlignment="1">
      <alignment horizontal="center" wrapText="1"/>
    </xf>
    <xf numFmtId="0" fontId="11" fillId="0" borderId="0" xfId="0" applyFont="1"/>
    <xf numFmtId="0" fontId="8"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219" Type="http://schemas.openxmlformats.org/officeDocument/2006/relationships/theme" Target="theme/theme1.xml"/><Relationship Id="rId3" Type="http://schemas.openxmlformats.org/officeDocument/2006/relationships/worksheet" Target="worksheets/sheet3.xml"/><Relationship Id="rId214" Type="http://schemas.openxmlformats.org/officeDocument/2006/relationships/worksheet" Target="worksheets/sheet214.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sharedStrings" Target="sharedStrings.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calcChain" Target="calcChain.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9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193.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195.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196.xml"/></Relationships>
</file>

<file path=xl/worksheets/_rels/sheet197.xml.rels><?xml version="1.0" encoding="UTF-8" standalone="yes"?>
<Relationships xmlns="http://schemas.openxmlformats.org/package/2006/relationships"><Relationship Id="rId1" Type="http://schemas.openxmlformats.org/officeDocument/2006/relationships/drawing" Target="../drawings/drawing197.xml"/></Relationships>
</file>

<file path=xl/worksheets/_rels/sheet198.xml.rels><?xml version="1.0" encoding="UTF-8" standalone="yes"?>
<Relationships xmlns="http://schemas.openxmlformats.org/package/2006/relationships"><Relationship Id="rId1" Type="http://schemas.openxmlformats.org/officeDocument/2006/relationships/drawing" Target="../drawings/drawing198.xml"/></Relationships>
</file>

<file path=xl/worksheets/_rels/sheet199.xml.rels><?xml version="1.0" encoding="UTF-8" standalone="yes"?>
<Relationships xmlns="http://schemas.openxmlformats.org/package/2006/relationships"><Relationship Id="rId1" Type="http://schemas.openxmlformats.org/officeDocument/2006/relationships/drawing" Target="../drawings/drawing199.xml"/></Relationships>
</file>

<file path=xl/worksheets/_rels/sheet200.xml.rels><?xml version="1.0" encoding="UTF-8" standalone="yes"?>
<Relationships xmlns="http://schemas.openxmlformats.org/package/2006/relationships"><Relationship Id="rId1" Type="http://schemas.openxmlformats.org/officeDocument/2006/relationships/drawing" Target="../drawings/drawing200.xml"/></Relationships>
</file>

<file path=xl/worksheets/_rels/sheet201.xml.rels><?xml version="1.0" encoding="UTF-8" standalone="yes"?>
<Relationships xmlns="http://schemas.openxmlformats.org/package/2006/relationships"><Relationship Id="rId1" Type="http://schemas.openxmlformats.org/officeDocument/2006/relationships/drawing" Target="../drawings/drawing201.xml"/></Relationships>
</file>

<file path=xl/worksheets/_rels/sheet202.xml.rels><?xml version="1.0" encoding="UTF-8" standalone="yes"?>
<Relationships xmlns="http://schemas.openxmlformats.org/package/2006/relationships"><Relationship Id="rId1" Type="http://schemas.openxmlformats.org/officeDocument/2006/relationships/drawing" Target="../drawings/drawing202.xml"/></Relationships>
</file>

<file path=xl/worksheets/_rels/sheet203.xml.rels><?xml version="1.0" encoding="UTF-8" standalone="yes"?>
<Relationships xmlns="http://schemas.openxmlformats.org/package/2006/relationships"><Relationship Id="rId1" Type="http://schemas.openxmlformats.org/officeDocument/2006/relationships/drawing" Target="../drawings/drawing203.xml"/></Relationships>
</file>

<file path=xl/worksheets/_rels/sheet204.xml.rels><?xml version="1.0" encoding="UTF-8" standalone="yes"?>
<Relationships xmlns="http://schemas.openxmlformats.org/package/2006/relationships"><Relationship Id="rId1" Type="http://schemas.openxmlformats.org/officeDocument/2006/relationships/drawing" Target="../drawings/drawing204.xml"/></Relationships>
</file>

<file path=xl/worksheets/_rels/sheet205.xml.rels><?xml version="1.0" encoding="UTF-8" standalone="yes"?>
<Relationships xmlns="http://schemas.openxmlformats.org/package/2006/relationships"><Relationship Id="rId1" Type="http://schemas.openxmlformats.org/officeDocument/2006/relationships/drawing" Target="../drawings/drawing205.xml"/></Relationships>
</file>

<file path=xl/worksheets/_rels/sheet206.xml.rels><?xml version="1.0" encoding="UTF-8" standalone="yes"?>
<Relationships xmlns="http://schemas.openxmlformats.org/package/2006/relationships"><Relationship Id="rId1" Type="http://schemas.openxmlformats.org/officeDocument/2006/relationships/drawing" Target="../drawings/drawing206.xml"/></Relationships>
</file>

<file path=xl/worksheets/_rels/sheet207.xml.rels><?xml version="1.0" encoding="UTF-8" standalone="yes"?>
<Relationships xmlns="http://schemas.openxmlformats.org/package/2006/relationships"><Relationship Id="rId1" Type="http://schemas.openxmlformats.org/officeDocument/2006/relationships/drawing" Target="../drawings/drawing207.xml"/></Relationships>
</file>

<file path=xl/worksheets/_rels/sheet208.xml.rels><?xml version="1.0" encoding="UTF-8" standalone="yes"?>
<Relationships xmlns="http://schemas.openxmlformats.org/package/2006/relationships"><Relationship Id="rId1" Type="http://schemas.openxmlformats.org/officeDocument/2006/relationships/drawing" Target="../drawings/drawing208.xml"/></Relationships>
</file>

<file path=xl/worksheets/_rels/sheet209.xml.rels><?xml version="1.0" encoding="UTF-8" standalone="yes"?>
<Relationships xmlns="http://schemas.openxmlformats.org/package/2006/relationships"><Relationship Id="rId1" Type="http://schemas.openxmlformats.org/officeDocument/2006/relationships/drawing" Target="../drawings/drawing209.xml"/></Relationships>
</file>

<file path=xl/worksheets/_rels/sheet210.xml.rels><?xml version="1.0" encoding="UTF-8" standalone="yes"?>
<Relationships xmlns="http://schemas.openxmlformats.org/package/2006/relationships"><Relationship Id="rId1" Type="http://schemas.openxmlformats.org/officeDocument/2006/relationships/drawing" Target="../drawings/drawing210.xml"/></Relationships>
</file>

<file path=xl/worksheets/_rels/sheet211.xml.rels><?xml version="1.0" encoding="UTF-8" standalone="yes"?>
<Relationships xmlns="http://schemas.openxmlformats.org/package/2006/relationships"><Relationship Id="rId1" Type="http://schemas.openxmlformats.org/officeDocument/2006/relationships/drawing" Target="../drawings/drawing211.xml"/></Relationships>
</file>

<file path=xl/worksheets/_rels/sheet212.xml.rels><?xml version="1.0" encoding="UTF-8" standalone="yes"?>
<Relationships xmlns="http://schemas.openxmlformats.org/package/2006/relationships"><Relationship Id="rId1" Type="http://schemas.openxmlformats.org/officeDocument/2006/relationships/drawing" Target="../drawings/drawing212.xml"/></Relationships>
</file>

<file path=xl/worksheets/_rels/sheet213.xml.rels><?xml version="1.0" encoding="UTF-8" standalone="yes"?>
<Relationships xmlns="http://schemas.openxmlformats.org/package/2006/relationships"><Relationship Id="rId1" Type="http://schemas.openxmlformats.org/officeDocument/2006/relationships/drawing" Target="../drawings/drawing213.xml"/></Relationships>
</file>

<file path=xl/worksheets/_rels/sheet214.xml.rels><?xml version="1.0" encoding="UTF-8" standalone="yes"?>
<Relationships xmlns="http://schemas.openxmlformats.org/package/2006/relationships"><Relationship Id="rId1" Type="http://schemas.openxmlformats.org/officeDocument/2006/relationships/drawing" Target="../drawings/drawing214.xml"/></Relationships>
</file>

<file path=xl/worksheets/_rels/sheet215.xml.rels><?xml version="1.0" encoding="UTF-8" standalone="yes"?>
<Relationships xmlns="http://schemas.openxmlformats.org/package/2006/relationships"><Relationship Id="rId1" Type="http://schemas.openxmlformats.org/officeDocument/2006/relationships/drawing" Target="../drawings/drawing215.xml"/></Relationships>
</file>

<file path=xl/worksheets/_rels/sheet216.xml.rels><?xml version="1.0" encoding="UTF-8" standalone="yes"?>
<Relationships xmlns="http://schemas.openxmlformats.org/package/2006/relationships"><Relationship Id="rId1" Type="http://schemas.openxmlformats.org/officeDocument/2006/relationships/drawing" Target="../drawings/drawing216.xml"/></Relationships>
</file>

<file path=xl/worksheets/_rels/sheet217.xml.rels><?xml version="1.0" encoding="UTF-8" standalone="yes"?>
<Relationships xmlns="http://schemas.openxmlformats.org/package/2006/relationships"><Relationship Id="rId1" Type="http://schemas.openxmlformats.org/officeDocument/2006/relationships/drawing" Target="../drawings/drawing217.xml"/></Relationships>
</file>

<file path=xl/worksheets/_rels/sheet218.xml.rels><?xml version="1.0" encoding="UTF-8" standalone="yes"?>
<Relationships xmlns="http://schemas.openxmlformats.org/package/2006/relationships"><Relationship Id="rId1" Type="http://schemas.openxmlformats.org/officeDocument/2006/relationships/drawing" Target="../drawings/drawing2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5546875" defaultRowHeight="14.4" x14ac:dyDescent="0.3"/>
  <sheetData>
    <row r="7" spans="6:12" ht="40.049999999999997" customHeight="1" x14ac:dyDescent="0.3">
      <c r="F7" s="25" t="s">
        <v>0</v>
      </c>
      <c r="G7" s="26"/>
      <c r="H7" s="26"/>
      <c r="I7" s="26"/>
      <c r="J7" s="26"/>
      <c r="K7" s="26"/>
      <c r="L7" s="26"/>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592</v>
      </c>
    </row>
    <row r="13" spans="6:12" ht="19.95" customHeight="1" x14ac:dyDescent="0.35">
      <c r="F13" s="2" t="s">
        <v>6</v>
      </c>
      <c r="K13" s="3">
        <v>549</v>
      </c>
    </row>
    <row r="14" spans="6:12" ht="18" x14ac:dyDescent="0.35">
      <c r="F14" s="2"/>
    </row>
    <row r="15" spans="6:12" ht="18" x14ac:dyDescent="0.35">
      <c r="F15" s="2"/>
    </row>
    <row r="16" spans="6:12" ht="18" x14ac:dyDescent="0.35">
      <c r="F16" s="2" t="s">
        <v>7</v>
      </c>
    </row>
    <row r="17" spans="6:13" ht="49.95" customHeight="1" x14ac:dyDescent="0.3">
      <c r="F17" s="27" t="s">
        <v>8</v>
      </c>
      <c r="G17" s="26"/>
      <c r="H17" s="26"/>
      <c r="I17" s="26"/>
      <c r="J17" s="26"/>
      <c r="K17" s="26"/>
      <c r="L17" s="26"/>
      <c r="M17" s="26"/>
    </row>
    <row r="19" spans="6:13" ht="30" customHeight="1" x14ac:dyDescent="0.3">
      <c r="F19" s="4" t="s">
        <v>9</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23"/>
  <sheetViews>
    <sheetView showGridLines="0" workbookViewId="0"/>
  </sheetViews>
  <sheetFormatPr defaultColWidth="11.5546875" defaultRowHeight="14.4" x14ac:dyDescent="0.3"/>
  <cols>
    <col min="4" max="4" width="100.6640625" customWidth="1"/>
    <col min="5" max="5" width="20.6640625" customWidth="1"/>
  </cols>
  <sheetData>
    <row r="2" spans="3:6" ht="40.049999999999997" customHeight="1" x14ac:dyDescent="0.3">
      <c r="D2" s="1" t="s">
        <v>10</v>
      </c>
    </row>
    <row r="6" spans="3:6" x14ac:dyDescent="0.3">
      <c r="D6" s="8" t="str">
        <f>HYPERLINK("#'Full Results'!A1", "Full Results")</f>
        <v>Full Results</v>
      </c>
    </row>
    <row r="8" spans="3:6" x14ac:dyDescent="0.3">
      <c r="D8" s="6" t="s">
        <v>11</v>
      </c>
      <c r="E8" s="6" t="s">
        <v>12</v>
      </c>
      <c r="F8" s="6" t="s">
        <v>13</v>
      </c>
    </row>
    <row r="9" spans="3:6" x14ac:dyDescent="0.3">
      <c r="C9">
        <v>1</v>
      </c>
      <c r="D9" s="8" t="str">
        <f>HYPERLINK("#'Table 1'!A1", "Which of the following would you consider to be hobbies or interests you have? Select any which apply")</f>
        <v>Which of the following would you consider to be hobbies or interests you have? Select any which apply</v>
      </c>
      <c r="E9" s="14" t="str">
        <f>HYPERLINK("#'Full Results'!A11", "11")</f>
        <v>11</v>
      </c>
      <c r="F9" t="s">
        <v>46</v>
      </c>
    </row>
    <row r="10" spans="3:6" hidden="1" x14ac:dyDescent="0.3">
      <c r="C10">
        <v>2</v>
      </c>
      <c r="D10" s="8" t="str">
        <f>HYPERLINK("#'Table 2'!A1", " In this survey, we will talk about both exercise and sport. Exercise means any planned activity that helps you stay fit, like jogging, dancing, or yoga. Sport is a type of activity that has rules and sometimes involves competition. It can be pla...")</f>
        <v xml:space="preserve"> In this survey, we will talk about both exercise and sport. Exercise means any planned activity that helps you stay fit, like jogging, dancing, or yoga. Sport is a type of activity that has rules and sometimes involves competition. It can be pla...</v>
      </c>
      <c r="E10" s="14" t="str">
        <f>HYPERLINK("#'Full Results'!A28", "28")</f>
        <v>28</v>
      </c>
      <c r="F10" t="s">
        <v>46</v>
      </c>
    </row>
    <row r="11" spans="3:6" x14ac:dyDescent="0.3">
      <c r="C11">
        <v>3</v>
      </c>
      <c r="D11" s="8" t="str">
        <f>HYPERLINK("#'Table 3'!A1", "Grid Summary: In an average week, how long would you say that you spend doing the following?")</f>
        <v>Grid Summary: In an average week, how long would you say that you spend doing the following?</v>
      </c>
      <c r="E11" s="7"/>
      <c r="F11" t="s">
        <v>46</v>
      </c>
    </row>
    <row r="12" spans="3:6" x14ac:dyDescent="0.3">
      <c r="C12">
        <v>4</v>
      </c>
      <c r="D12" s="8" t="str">
        <f>HYPERLINK("#'Table 4'!A1", "In an average week, how long would you say that you spend doing the following?: Browsing social media")</f>
        <v>In an average week, how long would you say that you spend doing the following?: Browsing social media</v>
      </c>
      <c r="E12" s="14" t="str">
        <f>HYPERLINK("#'Full Results'!A33", "33")</f>
        <v>33</v>
      </c>
      <c r="F12" t="s">
        <v>46</v>
      </c>
    </row>
    <row r="13" spans="3:6" x14ac:dyDescent="0.3">
      <c r="C13">
        <v>5</v>
      </c>
      <c r="D13" s="8" t="str">
        <f>HYPERLINK("#'Table 5'!A1", "In an average week, how long would you say that you spend doing the following?: Playing video games")</f>
        <v>In an average week, how long would you say that you spend doing the following?: Playing video games</v>
      </c>
      <c r="E13" s="14" t="str">
        <f>HYPERLINK("#'Full Results'!A45", "45")</f>
        <v>45</v>
      </c>
      <c r="F13" t="s">
        <v>46</v>
      </c>
    </row>
    <row r="14" spans="3:6" x14ac:dyDescent="0.3">
      <c r="C14">
        <v>6</v>
      </c>
      <c r="D14" s="8" t="str">
        <f>HYPERLINK("#'Table 6'!A1", "In an average week, how long would you say that you spend doing the following?: Playing sports")</f>
        <v>In an average week, how long would you say that you spend doing the following?: Playing sports</v>
      </c>
      <c r="E14" s="14" t="str">
        <f>HYPERLINK("#'Full Results'!A57", "57")</f>
        <v>57</v>
      </c>
      <c r="F14" t="s">
        <v>46</v>
      </c>
    </row>
    <row r="15" spans="3:6" x14ac:dyDescent="0.3">
      <c r="C15">
        <v>7</v>
      </c>
      <c r="D15" s="8" t="str">
        <f>HYPERLINK("#'Table 7'!A1", "In an average week, how long would you say that you spend doing the following?: Watching TV and films")</f>
        <v>In an average week, how long would you say that you spend doing the following?: Watching TV and films</v>
      </c>
      <c r="E15" s="14" t="str">
        <f>HYPERLINK("#'Full Results'!A69", "69")</f>
        <v>69</v>
      </c>
      <c r="F15" t="s">
        <v>46</v>
      </c>
    </row>
    <row r="16" spans="3:6" x14ac:dyDescent="0.3">
      <c r="C16">
        <v>8</v>
      </c>
      <c r="D16" s="8" t="str">
        <f>HYPERLINK("#'Table 8'!A1", "In an average week, how long would you say that you spend doing the following?: Watching sports")</f>
        <v>In an average week, how long would you say that you spend doing the following?: Watching sports</v>
      </c>
      <c r="E16" s="14" t="str">
        <f>HYPERLINK("#'Full Results'!A81", "81")</f>
        <v>81</v>
      </c>
      <c r="F16" t="s">
        <v>46</v>
      </c>
    </row>
    <row r="17" spans="3:6" x14ac:dyDescent="0.3">
      <c r="C17">
        <v>9</v>
      </c>
      <c r="D17" s="8" t="str">
        <f>HYPERLINK("#'Table 9'!A1", "In an average week, how long would you say that you spend doing the following?: Reading books")</f>
        <v>In an average week, how long would you say that you spend doing the following?: Reading books</v>
      </c>
      <c r="E17" s="14" t="str">
        <f>HYPERLINK("#'Full Results'!A93", "93")</f>
        <v>93</v>
      </c>
      <c r="F17" t="s">
        <v>46</v>
      </c>
    </row>
    <row r="18" spans="3:6" x14ac:dyDescent="0.3">
      <c r="C18">
        <v>10</v>
      </c>
      <c r="D18" s="8" t="str">
        <f>HYPERLINK("#'Table 10'!A1", "In an average week, how long would you say that you spend doing the following?: Exercising")</f>
        <v>In an average week, how long would you say that you spend doing the following?: Exercising</v>
      </c>
      <c r="E18" s="14" t="str">
        <f>HYPERLINK("#'Full Results'!A105", "105")</f>
        <v>105</v>
      </c>
      <c r="F18" t="s">
        <v>46</v>
      </c>
    </row>
    <row r="19" spans="3:6" x14ac:dyDescent="0.3">
      <c r="C19">
        <v>11</v>
      </c>
      <c r="D19" s="8" t="str">
        <f>HYPERLINK("#'Table 11'!A1", " In general, would you say your health is:")</f>
        <v xml:space="preserve"> In general, would you say your health is:</v>
      </c>
      <c r="E19" s="14" t="str">
        <f>HYPERLINK("#'Full Results'!A117", "117")</f>
        <v>117</v>
      </c>
      <c r="F19" t="s">
        <v>46</v>
      </c>
    </row>
    <row r="20" spans="3:6" x14ac:dyDescent="0.3">
      <c r="C20">
        <v>12</v>
      </c>
      <c r="D20" s="8" t="str">
        <f>HYPERLINK("#'Table 12'!A1", "Grid Summary: In the past week, how often have you felt the following?")</f>
        <v>Grid Summary: In the past week, how often have you felt the following?</v>
      </c>
      <c r="E20" s="7"/>
      <c r="F20" t="s">
        <v>46</v>
      </c>
    </row>
    <row r="21" spans="3:6" x14ac:dyDescent="0.3">
      <c r="C21">
        <v>13</v>
      </c>
      <c r="D21" s="8" t="str">
        <f>HYPERLINK("#'Table 13'!A1", "In the past week, how often have you felt the following?: I felt depressed")</f>
        <v>In the past week, how often have you felt the following?: I felt depressed</v>
      </c>
      <c r="E21" s="14" t="str">
        <f>HYPERLINK("#'Full Results'!A126", "126")</f>
        <v>126</v>
      </c>
      <c r="F21" t="s">
        <v>46</v>
      </c>
    </row>
    <row r="22" spans="3:6" x14ac:dyDescent="0.3">
      <c r="C22">
        <v>14</v>
      </c>
      <c r="D22" s="8" t="str">
        <f>HYPERLINK("#'Table 14'!A1", "In the past week, how often have you felt the following?: I felt hopeful about the future ")</f>
        <v xml:space="preserve">In the past week, how often have you felt the following?: I felt hopeful about the future </v>
      </c>
      <c r="E22" s="14" t="str">
        <f>HYPERLINK("#'Full Results'!A134", "134")</f>
        <v>134</v>
      </c>
      <c r="F22" t="s">
        <v>46</v>
      </c>
    </row>
    <row r="23" spans="3:6" x14ac:dyDescent="0.3">
      <c r="C23">
        <v>15</v>
      </c>
      <c r="D23" s="8" t="str">
        <f>HYPERLINK("#'Table 15'!A1", "In the past week, how often have you felt the following?: I was happy")</f>
        <v>In the past week, how often have you felt the following?: I was happy</v>
      </c>
      <c r="E23" s="14" t="str">
        <f>HYPERLINK("#'Full Results'!A142", "142")</f>
        <v>142</v>
      </c>
      <c r="F23" t="s">
        <v>46</v>
      </c>
    </row>
    <row r="24" spans="3:6" x14ac:dyDescent="0.3">
      <c r="C24">
        <v>16</v>
      </c>
      <c r="D24" s="8" t="str">
        <f>HYPERLINK("#'Table 16'!A1", "In the past week, how often have you felt the following?: I felt lonely")</f>
        <v>In the past week, how often have you felt the following?: I felt lonely</v>
      </c>
      <c r="E24" s="14" t="str">
        <f>HYPERLINK("#'Full Results'!A150", "150")</f>
        <v>150</v>
      </c>
      <c r="F24" t="s">
        <v>46</v>
      </c>
    </row>
    <row r="25" spans="3:6" x14ac:dyDescent="0.3">
      <c r="C25">
        <v>17</v>
      </c>
      <c r="D25" s="8" t="str">
        <f>HYPERLINK("#'Table 17'!A1", "In the past week, how often have you felt the following?: I felt sad")</f>
        <v>In the past week, how often have you felt the following?: I felt sad</v>
      </c>
      <c r="E25" s="14" t="str">
        <f>HYPERLINK("#'Full Results'!A158", "158")</f>
        <v>158</v>
      </c>
      <c r="F25" t="s">
        <v>46</v>
      </c>
    </row>
    <row r="26" spans="3:6" x14ac:dyDescent="0.3">
      <c r="C26">
        <v>18</v>
      </c>
      <c r="D26" s="8" t="str">
        <f>HYPERLINK("#'Table 18'!A1", "Grid Summary: To what extent do you think these attributes describe you?")</f>
        <v>Grid Summary: To what extent do you think these attributes describe you?</v>
      </c>
      <c r="E26" s="7"/>
      <c r="F26" t="s">
        <v>46</v>
      </c>
    </row>
    <row r="27" spans="3:6" x14ac:dyDescent="0.3">
      <c r="C27">
        <v>19</v>
      </c>
      <c r="D27" s="8" t="str">
        <f>HYPERLINK("#'Table 19'!A1", "To what extent do you think these attributes describe you?: I believe I have the ability to be a leader.")</f>
        <v>To what extent do you think these attributes describe you?: I believe I have the ability to be a leader.</v>
      </c>
      <c r="E27" s="14" t="str">
        <f>HYPERLINK("#'Full Results'!A166", "166")</f>
        <v>166</v>
      </c>
      <c r="F27" t="s">
        <v>46</v>
      </c>
    </row>
    <row r="28" spans="3:6" x14ac:dyDescent="0.3">
      <c r="C28">
        <v>20</v>
      </c>
      <c r="D28" s="8" t="str">
        <f>HYPERLINK("#'Table 20'!A1", "To what extent do you think these attributes describe you?: I know how to be a leader")</f>
        <v>To what extent do you think these attributes describe you?: I know how to be a leader</v>
      </c>
      <c r="E28" s="14" t="str">
        <f>HYPERLINK("#'Full Results'!A174", "174")</f>
        <v>174</v>
      </c>
      <c r="F28" t="s">
        <v>46</v>
      </c>
    </row>
    <row r="29" spans="3:6" x14ac:dyDescent="0.3">
      <c r="C29">
        <v>21</v>
      </c>
      <c r="D29" s="8" t="str">
        <f>HYPERLINK("#'Table 21'!A1", "To what extent do you think these attributes describe you?: I see myself as a leader.")</f>
        <v>To what extent do you think these attributes describe you?: I see myself as a leader.</v>
      </c>
      <c r="E29" s="14" t="str">
        <f>HYPERLINK("#'Full Results'!A182", "182")</f>
        <v>182</v>
      </c>
      <c r="F29" t="s">
        <v>46</v>
      </c>
    </row>
    <row r="30" spans="3:6" x14ac:dyDescent="0.3">
      <c r="C30">
        <v>22</v>
      </c>
      <c r="D30" s="8" t="str">
        <f>HYPERLINK("#'Table 22'!A1", "To what extent do you think these attributes describe you?: I know how I can help make my world a better place.")</f>
        <v>To what extent do you think these attributes describe you?: I know how I can help make my world a better place.</v>
      </c>
      <c r="E30" s="14" t="str">
        <f>HYPERLINK("#'Full Results'!A190", "190")</f>
        <v>190</v>
      </c>
      <c r="F30" t="s">
        <v>46</v>
      </c>
    </row>
    <row r="31" spans="3:6" x14ac:dyDescent="0.3">
      <c r="C31">
        <v>23</v>
      </c>
      <c r="D31" s="8" t="str">
        <f>HYPERLINK("#'Table 23'!A1", "To what extent do you think these attributes describe you?: I can handle a lot of pressure")</f>
        <v>To what extent do you think these attributes describe you?: I can handle a lot of pressure</v>
      </c>
      <c r="E31" s="14" t="str">
        <f>HYPERLINK("#'Full Results'!A198", "198")</f>
        <v>198</v>
      </c>
      <c r="F31" t="s">
        <v>46</v>
      </c>
    </row>
    <row r="32" spans="3:6" x14ac:dyDescent="0.3">
      <c r="C32">
        <v>24</v>
      </c>
      <c r="D32" s="8" t="str">
        <f>HYPERLINK("#'Table 24'!A1", "To what extent do you think these attributes describe you?: I enjoy trying new things")</f>
        <v>To what extent do you think these attributes describe you?: I enjoy trying new things</v>
      </c>
      <c r="E32" s="14" t="str">
        <f>HYPERLINK("#'Full Results'!A206", "206")</f>
        <v>206</v>
      </c>
      <c r="F32" t="s">
        <v>46</v>
      </c>
    </row>
    <row r="33" spans="3:6" x14ac:dyDescent="0.3">
      <c r="C33">
        <v>25</v>
      </c>
      <c r="D33" s="8" t="str">
        <f>HYPERLINK("#'Table 25'!A1", "Grid Summary: To what extent do you think these attributes describe you?")</f>
        <v>Grid Summary: To what extent do you think these attributes describe you?</v>
      </c>
      <c r="E33" s="7"/>
      <c r="F33" t="s">
        <v>46</v>
      </c>
    </row>
    <row r="34" spans="3:6" x14ac:dyDescent="0.3">
      <c r="C34">
        <v>26</v>
      </c>
      <c r="D34" s="8" t="str">
        <f>HYPERLINK("#'Table 26'!A1", "To what extent do you think these attributes describe you?: I’m a good team player")</f>
        <v>To what extent do you think these attributes describe you?: I’m a good team player</v>
      </c>
      <c r="E34" s="14" t="str">
        <f>HYPERLINK("#'Full Results'!A214", "214")</f>
        <v>214</v>
      </c>
      <c r="F34" t="s">
        <v>46</v>
      </c>
    </row>
    <row r="35" spans="3:6" x14ac:dyDescent="0.3">
      <c r="C35">
        <v>27</v>
      </c>
      <c r="D35" s="8" t="str">
        <f>HYPERLINK("#'Table 27'!A1", "To what extent do you think these attributes describe you?: I’m a supportive friend")</f>
        <v>To what extent do you think these attributes describe you?: I’m a supportive friend</v>
      </c>
      <c r="E35" s="14" t="str">
        <f>HYPERLINK("#'Full Results'!A222", "222")</f>
        <v>222</v>
      </c>
      <c r="F35" t="s">
        <v>46</v>
      </c>
    </row>
    <row r="36" spans="3:6" x14ac:dyDescent="0.3">
      <c r="C36">
        <v>28</v>
      </c>
      <c r="D36" s="8" t="str">
        <f>HYPERLINK("#'Table 28'!A1", "To what extent do you think these attributes describe you?: I feel good about who I am")</f>
        <v>To what extent do you think these attributes describe you?: I feel good about who I am</v>
      </c>
      <c r="E36" s="14" t="str">
        <f>HYPERLINK("#'Full Results'!A230", "230")</f>
        <v>230</v>
      </c>
      <c r="F36" t="s">
        <v>46</v>
      </c>
    </row>
    <row r="37" spans="3:6" x14ac:dyDescent="0.3">
      <c r="C37">
        <v>29</v>
      </c>
      <c r="D37" s="8" t="str">
        <f>HYPERLINK("#'Table 29'!A1", "To what extent do you think these attributes describe you?: I have a lot to be proud of")</f>
        <v>To what extent do you think these attributes describe you?: I have a lot to be proud of</v>
      </c>
      <c r="E37" s="14" t="str">
        <f>HYPERLINK("#'Full Results'!A238", "238")</f>
        <v>238</v>
      </c>
      <c r="F37" t="s">
        <v>46</v>
      </c>
    </row>
    <row r="38" spans="3:6" x14ac:dyDescent="0.3">
      <c r="C38">
        <v>30</v>
      </c>
      <c r="D38" s="8" t="str">
        <f>HYPERLINK("#'Table 30'!A1", "To what extent do you think these attributes describe you?: Nothing I do ever seems to turn out right")</f>
        <v>To what extent do you think these attributes describe you?: Nothing I do ever seems to turn out right</v>
      </c>
      <c r="E38" s="14" t="str">
        <f>HYPERLINK("#'Full Results'!A246", "246")</f>
        <v>246</v>
      </c>
      <c r="F38" t="s">
        <v>46</v>
      </c>
    </row>
    <row r="39" spans="3:6" x14ac:dyDescent="0.3">
      <c r="C39">
        <v>31</v>
      </c>
      <c r="D39" s="8" t="str">
        <f>HYPERLINK("#'Table 31'!A1", "To what extent do you think these attributes describe you?: I am adventurous")</f>
        <v>To what extent do you think these attributes describe you?: I am adventurous</v>
      </c>
      <c r="E39" s="14" t="str">
        <f>HYPERLINK("#'Full Results'!A254", "254")</f>
        <v>254</v>
      </c>
      <c r="F39" t="s">
        <v>46</v>
      </c>
    </row>
    <row r="40" spans="3:6" x14ac:dyDescent="0.3">
      <c r="C40">
        <v>32</v>
      </c>
      <c r="D40" s="8" t="str">
        <f>HYPERLINK("#'Table 32'!A1", "To what extent do you think these attributes describe you?: I often doubt myself")</f>
        <v>To what extent do you think these attributes describe you?: I often doubt myself</v>
      </c>
      <c r="E40" s="14" t="str">
        <f>HYPERLINK("#'Full Results'!A262", "262")</f>
        <v>262</v>
      </c>
      <c r="F40" t="s">
        <v>46</v>
      </c>
    </row>
    <row r="41" spans="3:6" x14ac:dyDescent="0.3">
      <c r="C41">
        <v>33</v>
      </c>
      <c r="D41" s="8" t="str">
        <f>HYPERLINK("#'Table 33'!A1", "Grid Summary: To what extent do you agree or disagree with the following statements?")</f>
        <v>Grid Summary: To what extent do you agree or disagree with the following statements?</v>
      </c>
      <c r="E41" s="7"/>
      <c r="F41" t="s">
        <v>46</v>
      </c>
    </row>
    <row r="42" spans="3:6" x14ac:dyDescent="0.3">
      <c r="C42">
        <v>34</v>
      </c>
      <c r="D42" s="8" t="str">
        <f>HYPERLINK("#'Table 34'!A1", "To what extent do you agree or disagree with the following statements?: I tend to bounce back quickly after hard times ")</f>
        <v xml:space="preserve">To what extent do you agree or disagree with the following statements?: I tend to bounce back quickly after hard times </v>
      </c>
      <c r="E42" s="14" t="str">
        <f>HYPERLINK("#'Full Results'!A270", "270")</f>
        <v>270</v>
      </c>
      <c r="F42" t="s">
        <v>46</v>
      </c>
    </row>
    <row r="43" spans="3:6" x14ac:dyDescent="0.3">
      <c r="C43">
        <v>35</v>
      </c>
      <c r="D43" s="8" t="str">
        <f>HYPERLINK("#'Table 35'!A1", "To what extent do you agree or disagree with the following statements?: I have a hard time making it through stressful events ")</f>
        <v xml:space="preserve">To what extent do you agree or disagree with the following statements?: I have a hard time making it through stressful events </v>
      </c>
      <c r="E43" s="14" t="str">
        <f>HYPERLINK("#'Full Results'!A282", "282")</f>
        <v>282</v>
      </c>
      <c r="F43" t="s">
        <v>46</v>
      </c>
    </row>
    <row r="44" spans="3:6" x14ac:dyDescent="0.3">
      <c r="C44">
        <v>36</v>
      </c>
      <c r="D44" s="8" t="str">
        <f>HYPERLINK("#'Table 36'!A1", "To what extent do you agree or disagree with the following statements?: It does not take me long to recover from a stressful event")</f>
        <v>To what extent do you agree or disagree with the following statements?: It does not take me long to recover from a stressful event</v>
      </c>
      <c r="E44" s="14" t="str">
        <f>HYPERLINK("#'Full Results'!A294", "294")</f>
        <v>294</v>
      </c>
      <c r="F44" t="s">
        <v>46</v>
      </c>
    </row>
    <row r="45" spans="3:6" x14ac:dyDescent="0.3">
      <c r="C45">
        <v>37</v>
      </c>
      <c r="D45" s="8" t="str">
        <f>HYPERLINK("#'Table 37'!A1", "To what extent do you agree or disagree with the following statements?: It is hard for me to snap back when something bad happens")</f>
        <v>To what extent do you agree or disagree with the following statements?: It is hard for me to snap back when something bad happens</v>
      </c>
      <c r="E45" s="14" t="str">
        <f>HYPERLINK("#'Full Results'!A306", "306")</f>
        <v>306</v>
      </c>
      <c r="F45" t="s">
        <v>46</v>
      </c>
    </row>
    <row r="46" spans="3:6" x14ac:dyDescent="0.3">
      <c r="C46">
        <v>38</v>
      </c>
      <c r="D46" s="8" t="str">
        <f>HYPERLINK("#'Table 38'!A1", "To what extent do you agree or disagree with the following statements?: I usually come through difficult times with little trouble")</f>
        <v>To what extent do you agree or disagree with the following statements?: I usually come through difficult times with little trouble</v>
      </c>
      <c r="E46" s="14" t="str">
        <f>HYPERLINK("#'Full Results'!A318", "318")</f>
        <v>318</v>
      </c>
      <c r="F46" t="s">
        <v>46</v>
      </c>
    </row>
    <row r="47" spans="3:6" x14ac:dyDescent="0.3">
      <c r="C47">
        <v>39</v>
      </c>
      <c r="D47" s="8" t="str">
        <f>HYPERLINK("#'Table 39'!A1", "To what extent do you agree or disagree with the following statements?: I tend to take a long time to get over set-backs in my life")</f>
        <v>To what extent do you agree or disagree with the following statements?: I tend to take a long time to get over set-backs in my life</v>
      </c>
      <c r="E47" s="14" t="str">
        <f>HYPERLINK("#'Full Results'!A330", "330")</f>
        <v>330</v>
      </c>
      <c r="F47" t="s">
        <v>46</v>
      </c>
    </row>
    <row r="48" spans="3:6" x14ac:dyDescent="0.3">
      <c r="C48">
        <v>40</v>
      </c>
      <c r="D48" s="8" t="str">
        <f>HYPERLINK("#'Table 40'!A1", "To what extent do you agree or disagree with the following statements?: I can communicate my thoughts clearly with others")</f>
        <v>To what extent do you agree or disagree with the following statements?: I can communicate my thoughts clearly with others</v>
      </c>
      <c r="E48" s="14" t="str">
        <f>HYPERLINK("#'Full Results'!A342", "342")</f>
        <v>342</v>
      </c>
      <c r="F48" t="s">
        <v>46</v>
      </c>
    </row>
    <row r="49" spans="3:6" x14ac:dyDescent="0.3">
      <c r="C49">
        <v>41</v>
      </c>
      <c r="D49" s="8" t="str">
        <f>HYPERLINK("#'Table 41'!A1", "To what extent do you agree or disagree with the following statements?: I would rather not try than try and fail")</f>
        <v>To what extent do you agree or disagree with the following statements?: I would rather not try than try and fail</v>
      </c>
      <c r="E49" s="14" t="str">
        <f>HYPERLINK("#'Full Results'!A354", "354")</f>
        <v>354</v>
      </c>
      <c r="F49" t="s">
        <v>46</v>
      </c>
    </row>
    <row r="50" spans="3:6" x14ac:dyDescent="0.3">
      <c r="C50">
        <v>42</v>
      </c>
      <c r="D50" s="8" t="str">
        <f>HYPERLINK("#'Table 42'!A1", " Thinking about your relationships and free time, how satisfied or dissatisfied are you with your personal life?")</f>
        <v xml:space="preserve"> Thinking about your relationships and free time, how satisfied or dissatisfied are you with your personal life?</v>
      </c>
      <c r="E50" s="14" t="str">
        <f>HYPERLINK("#'Full Results'!A366", "366")</f>
        <v>366</v>
      </c>
      <c r="F50" t="s">
        <v>46</v>
      </c>
    </row>
    <row r="51" spans="3:6" x14ac:dyDescent="0.3">
      <c r="C51">
        <v>43</v>
      </c>
      <c r="D51" s="8" t="str">
        <f>HYPERLINK("#'Table 43'!A1", " Are you optimistic or pessimistic about your future?")</f>
        <v xml:space="preserve"> Are you optimistic or pessimistic about your future?</v>
      </c>
      <c r="E51" s="14" t="str">
        <f>HYPERLINK("#'Full Results'!A375", "375")</f>
        <v>375</v>
      </c>
      <c r="F51" t="s">
        <v>46</v>
      </c>
    </row>
    <row r="52" spans="3:6" x14ac:dyDescent="0.3">
      <c r="C52">
        <v>44</v>
      </c>
      <c r="D52" s="8" t="str">
        <f>HYPERLINK("#'Table 44'!A1", " To what extent do agree with the following statement: “I enjoy watching professional athletes playing sports (e.g. on the TV or at live events).”")</f>
        <v xml:space="preserve"> To what extent do agree with the following statement: “I enjoy watching professional athletes playing sports (e.g. on the TV or at live events).”</v>
      </c>
      <c r="E52" s="14" t="str">
        <f>HYPERLINK("#'Full Results'!A384", "384")</f>
        <v>384</v>
      </c>
      <c r="F52" t="s">
        <v>46</v>
      </c>
    </row>
    <row r="53" spans="3:6" x14ac:dyDescent="0.3">
      <c r="C53">
        <v>45</v>
      </c>
      <c r="D53" s="8" t="str">
        <f>HYPERLINK("#'Table 45'!A1", "Which platforms do you use to watch or consume sports-related content? Please select all that apply.")</f>
        <v>Which platforms do you use to watch or consume sports-related content? Please select all that apply.</v>
      </c>
      <c r="E53" s="14" t="str">
        <f>HYPERLINK("#'Full Results'!A396", "396")</f>
        <v>396</v>
      </c>
      <c r="F53" t="s">
        <v>46</v>
      </c>
    </row>
    <row r="54" spans="3:6" x14ac:dyDescent="0.3">
      <c r="C54">
        <v>46</v>
      </c>
      <c r="D54" s="8" t="str">
        <f>HYPERLINK("#'Table 46'!A1", "What type of sports-related content do you enjoy consuming? Please select all that apply. ")</f>
        <v>What type of sports-related content do you enjoy consuming? Please select all that apply. </v>
      </c>
      <c r="E54" s="14" t="str">
        <f>HYPERLINK("#'Full Results'!A410", "410")</f>
        <v>410</v>
      </c>
      <c r="F54" t="s">
        <v>46</v>
      </c>
    </row>
    <row r="55" spans="3:6" x14ac:dyDescent="0.3">
      <c r="C55">
        <v>47</v>
      </c>
      <c r="D55" s="8" t="str">
        <f>HYPERLINK("#'Table 47'!A1", "Have you watched coverage of any of the following sports in the past 6 months (e.g. on the TV or your phone)?")</f>
        <v>Have you watched coverage of any of the following sports in the past 6 months (e.g. on the TV or your phone)?</v>
      </c>
      <c r="E55" s="14" t="str">
        <f>HYPERLINK("#'Full Results'!A427", "427")</f>
        <v>427</v>
      </c>
      <c r="F55" t="s">
        <v>46</v>
      </c>
    </row>
    <row r="56" spans="3:6" x14ac:dyDescent="0.3">
      <c r="C56">
        <v>48</v>
      </c>
      <c r="D56" s="8" t="str">
        <f>HYPERLINK("#'Table 48'!A1", "Grid Summary: You said you have watched coverage of the following sports in the past 6 months, how often do you watch the men's version of those sports?")</f>
        <v>Grid Summary: You said you have watched coverage of the following sports in the past 6 months, how often do you watch the men's version of those sports?</v>
      </c>
      <c r="E56" s="7"/>
      <c r="F56" t="s">
        <v>241</v>
      </c>
    </row>
    <row r="57" spans="3:6" x14ac:dyDescent="0.3">
      <c r="C57">
        <v>49</v>
      </c>
      <c r="D57" s="8" t="str">
        <f>HYPERLINK("#'Table 49'!A1", "You said you have watched coverage of the following sports in the past 6 months, how often do you watch the men's version of those sports?: Athletics")</f>
        <v>You said you have watched coverage of the following sports in the past 6 months, how often do you watch the men's version of those sports?: Athletics</v>
      </c>
      <c r="E57" s="14" t="str">
        <f>HYPERLINK("#'Full Results'!A448", "448")</f>
        <v>448</v>
      </c>
      <c r="F57" t="s">
        <v>241</v>
      </c>
    </row>
    <row r="58" spans="3:6" x14ac:dyDescent="0.3">
      <c r="C58">
        <v>50</v>
      </c>
      <c r="D58" s="8" t="str">
        <f>HYPERLINK("#'Table 50'!A1", "You said you have watched coverage of the following sports in the past 6 months, how often do you watch the men's version of those sports?: Football")</f>
        <v>You said you have watched coverage of the following sports in the past 6 months, how often do you watch the men's version of those sports?: Football</v>
      </c>
      <c r="E58" s="14" t="str">
        <f>HYPERLINK("#'Full Results'!A460", "460")</f>
        <v>460</v>
      </c>
      <c r="F58" t="s">
        <v>241</v>
      </c>
    </row>
    <row r="59" spans="3:6" x14ac:dyDescent="0.3">
      <c r="C59">
        <v>51</v>
      </c>
      <c r="D59" s="8" t="str">
        <f>HYPERLINK("#'Table 51'!A1", "You said you have watched coverage of the following sports in the past 6 months, how often do you watch the men's version of those sports?: Netball")</f>
        <v>You said you have watched coverage of the following sports in the past 6 months, how often do you watch the men's version of those sports?: Netball</v>
      </c>
      <c r="E59" s="14" t="str">
        <f>HYPERLINK("#'Full Results'!A472", "472")</f>
        <v>472</v>
      </c>
      <c r="F59" t="s">
        <v>241</v>
      </c>
    </row>
    <row r="60" spans="3:6" x14ac:dyDescent="0.3">
      <c r="C60">
        <v>52</v>
      </c>
      <c r="D60" s="8" t="str">
        <f>HYPERLINK("#'Table 52'!A1", "You said you have watched coverage of the following sports in the past 6 months, how often do you watch the men's version of those sports?: Gymnastics")</f>
        <v>You said you have watched coverage of the following sports in the past 6 months, how often do you watch the men's version of those sports?: Gymnastics</v>
      </c>
      <c r="E60" s="14" t="str">
        <f>HYPERLINK("#'Full Results'!A484", "484")</f>
        <v>484</v>
      </c>
      <c r="F60" t="s">
        <v>241</v>
      </c>
    </row>
    <row r="61" spans="3:6" x14ac:dyDescent="0.3">
      <c r="C61">
        <v>53</v>
      </c>
      <c r="D61" s="8" t="str">
        <f>HYPERLINK("#'Table 53'!A1", "You said you have watched coverage of the following sports in the past 6 months, how often do you watch the men's version of those sports?: Swimming")</f>
        <v>You said you have watched coverage of the following sports in the past 6 months, how often do you watch the men's version of those sports?: Swimming</v>
      </c>
      <c r="E61" s="14" t="str">
        <f>HYPERLINK("#'Full Results'!A496", "496")</f>
        <v>496</v>
      </c>
      <c r="F61" t="s">
        <v>241</v>
      </c>
    </row>
    <row r="62" spans="3:6" x14ac:dyDescent="0.3">
      <c r="C62">
        <v>54</v>
      </c>
      <c r="D62" s="8" t="str">
        <f>HYPERLINK("#'Table 54'!A1", "You said you have watched coverage of the following sports in the past 6 months, how often do you watch the men's version of those sports?: Basketball")</f>
        <v>You said you have watched coverage of the following sports in the past 6 months, how often do you watch the men's version of those sports?: Basketball</v>
      </c>
      <c r="E62" s="14" t="str">
        <f>HYPERLINK("#'Full Results'!A508", "508")</f>
        <v>508</v>
      </c>
      <c r="F62" t="s">
        <v>241</v>
      </c>
    </row>
    <row r="63" spans="3:6" x14ac:dyDescent="0.3">
      <c r="C63">
        <v>55</v>
      </c>
      <c r="D63" s="8" t="str">
        <f>HYPERLINK("#'Table 55'!A1", "You said you have watched coverage of the following sports in the past 6 months, how often do you watch the men's version of those sports?: Hockey")</f>
        <v>You said you have watched coverage of the following sports in the past 6 months, how often do you watch the men's version of those sports?: Hockey</v>
      </c>
      <c r="E63" s="14" t="str">
        <f>HYPERLINK("#'Full Results'!A520", "520")</f>
        <v>520</v>
      </c>
      <c r="F63" t="s">
        <v>241</v>
      </c>
    </row>
    <row r="64" spans="3:6" x14ac:dyDescent="0.3">
      <c r="C64">
        <v>56</v>
      </c>
      <c r="D64" s="8" t="str">
        <f>HYPERLINK("#'Table 56'!A1", "You said you have watched coverage of the following sports in the past 6 months, how often do you watch the men's version of those sports?: Rugby")</f>
        <v>You said you have watched coverage of the following sports in the past 6 months, how often do you watch the men's version of those sports?: Rugby</v>
      </c>
      <c r="E64" s="14" t="str">
        <f>HYPERLINK("#'Full Results'!A532", "532")</f>
        <v>532</v>
      </c>
      <c r="F64" t="s">
        <v>241</v>
      </c>
    </row>
    <row r="65" spans="3:6" x14ac:dyDescent="0.3">
      <c r="C65">
        <v>57</v>
      </c>
      <c r="D65" s="8" t="str">
        <f>HYPERLINK("#'Table 57'!A1", "You said you have watched coverage of the following sports in the past 6 months, how often do you watch the men's version of those sports?: Cricket")</f>
        <v>You said you have watched coverage of the following sports in the past 6 months, how often do you watch the men's version of those sports?: Cricket</v>
      </c>
      <c r="E65" s="14" t="str">
        <f>HYPERLINK("#'Full Results'!A544", "544")</f>
        <v>544</v>
      </c>
      <c r="F65" t="s">
        <v>241</v>
      </c>
    </row>
    <row r="66" spans="3:6" x14ac:dyDescent="0.3">
      <c r="C66">
        <v>58</v>
      </c>
      <c r="D66" s="8" t="str">
        <f>HYPERLINK("#'Table 58'!A1", "You said you have watched coverage of the following sports in the past 6 months, how often do you watch the men's version of those sports?: Tennis")</f>
        <v>You said you have watched coverage of the following sports in the past 6 months, how often do you watch the men's version of those sports?: Tennis</v>
      </c>
      <c r="E66" s="14" t="str">
        <f>HYPERLINK("#'Full Results'!A556", "556")</f>
        <v>556</v>
      </c>
      <c r="F66" t="s">
        <v>241</v>
      </c>
    </row>
    <row r="67" spans="3:6" x14ac:dyDescent="0.3">
      <c r="C67">
        <v>59</v>
      </c>
      <c r="D67" s="8" t="str">
        <f>HYPERLINK("#'Table 59'!A1", "You said you have watched coverage of the following sports in the past 6 months, how often do you watch the men's version of those sports?: Badminton")</f>
        <v>You said you have watched coverage of the following sports in the past 6 months, how often do you watch the men's version of those sports?: Badminton</v>
      </c>
      <c r="E67" s="14" t="str">
        <f>HYPERLINK("#'Full Results'!A568", "568")</f>
        <v>568</v>
      </c>
      <c r="F67" t="s">
        <v>241</v>
      </c>
    </row>
    <row r="68" spans="3:6" x14ac:dyDescent="0.3">
      <c r="C68">
        <v>60</v>
      </c>
      <c r="D68" s="8" t="str">
        <f>HYPERLINK("#'Table 60'!A1", "You said you have watched coverage of the following sports in the past 6 months, how often do you watch the men's version of those sports?: Golf")</f>
        <v>You said you have watched coverage of the following sports in the past 6 months, how often do you watch the men's version of those sports?: Golf</v>
      </c>
      <c r="E68" s="14" t="str">
        <f>HYPERLINK("#'Full Results'!A580", "580")</f>
        <v>580</v>
      </c>
      <c r="F68" t="s">
        <v>241</v>
      </c>
    </row>
    <row r="69" spans="3:6" x14ac:dyDescent="0.3">
      <c r="C69">
        <v>61</v>
      </c>
      <c r="D69" s="8" t="str">
        <f>HYPERLINK("#'Table 61'!A1", "You said you have watched coverage of the following sports in the past 6 months, how often do you watch the men's version of those sports?: Martial arts")</f>
        <v>You said you have watched coverage of the following sports in the past 6 months, how often do you watch the men's version of those sports?: Martial arts</v>
      </c>
      <c r="E69" s="14" t="str">
        <f>HYPERLINK("#'Full Results'!A592", "592")</f>
        <v>592</v>
      </c>
      <c r="F69" t="s">
        <v>241</v>
      </c>
    </row>
    <row r="70" spans="3:6" x14ac:dyDescent="0.3">
      <c r="C70">
        <v>62</v>
      </c>
      <c r="D70" s="8" t="str">
        <f>HYPERLINK("#'Table 62'!A1", "You said you have watched coverage of the following sports in the past 6 months, how often do you watch the men's version of those sports?: Squash")</f>
        <v>You said you have watched coverage of the following sports in the past 6 months, how often do you watch the men's version of those sports?: Squash</v>
      </c>
      <c r="E70" s="14" t="str">
        <f>HYPERLINK("#'Full Results'!A604", "604")</f>
        <v>604</v>
      </c>
      <c r="F70" t="s">
        <v>241</v>
      </c>
    </row>
    <row r="71" spans="3:6" x14ac:dyDescent="0.3">
      <c r="C71">
        <v>63</v>
      </c>
      <c r="D71" s="8" t="str">
        <f>HYPERLINK("#'Table 63'!A1", "You said you have watched coverage of the following sports in the past 6 months, how often do you watch the men's version of those sports?: Water sports")</f>
        <v>You said you have watched coverage of the following sports in the past 6 months, how often do you watch the men's version of those sports?: Water sports</v>
      </c>
      <c r="E71" s="14" t="str">
        <f>HYPERLINK("#'Full Results'!A616", "616")</f>
        <v>616</v>
      </c>
      <c r="F71" t="s">
        <v>241</v>
      </c>
    </row>
    <row r="72" spans="3:6" x14ac:dyDescent="0.3">
      <c r="C72">
        <v>64</v>
      </c>
      <c r="D72" s="8" t="str">
        <f>HYPERLINK("#'Table 64'!A1", "You said you have watched coverage of the following sports in the past 6 months, how often do you watch the men's version of those sports?: Motorsport")</f>
        <v>You said you have watched coverage of the following sports in the past 6 months, how often do you watch the men's version of those sports?: Motorsport</v>
      </c>
      <c r="E72" s="14" t="str">
        <f>HYPERLINK("#'Full Results'!A628", "628")</f>
        <v>628</v>
      </c>
      <c r="F72" t="s">
        <v>241</v>
      </c>
    </row>
    <row r="73" spans="3:6" x14ac:dyDescent="0.3">
      <c r="C73">
        <v>65</v>
      </c>
      <c r="D73" s="8" t="str">
        <f>HYPERLINK("#'Table 65'!A1", "You said you have watched coverage of the following sports in the past 6 months, how often do you watch the men's version of those sports?: Boxing")</f>
        <v>You said you have watched coverage of the following sports in the past 6 months, how often do you watch the men's version of those sports?: Boxing</v>
      </c>
      <c r="E73" s="14" t="str">
        <f>HYPERLINK("#'Full Results'!A640", "640")</f>
        <v>640</v>
      </c>
      <c r="F73" t="s">
        <v>241</v>
      </c>
    </row>
    <row r="74" spans="3:6" x14ac:dyDescent="0.3">
      <c r="C74">
        <v>66</v>
      </c>
      <c r="D74" s="8" t="str">
        <f>HYPERLINK("#'Table 66'!A1", "Grid Summary: And how often do you watch the women's version of those sports?")</f>
        <v>Grid Summary: And how often do you watch the women's version of those sports?</v>
      </c>
      <c r="E74" s="7"/>
      <c r="F74" t="s">
        <v>241</v>
      </c>
    </row>
    <row r="75" spans="3:6" x14ac:dyDescent="0.3">
      <c r="C75">
        <v>67</v>
      </c>
      <c r="D75" s="8" t="str">
        <f>HYPERLINK("#'Table 67'!A1", "And how often do you watch the women's version of those sports?: Athletics")</f>
        <v>And how often do you watch the women's version of those sports?: Athletics</v>
      </c>
      <c r="E75" s="14" t="str">
        <f>HYPERLINK("#'Full Results'!A652", "652")</f>
        <v>652</v>
      </c>
      <c r="F75" t="s">
        <v>241</v>
      </c>
    </row>
    <row r="76" spans="3:6" x14ac:dyDescent="0.3">
      <c r="C76">
        <v>68</v>
      </c>
      <c r="D76" s="8" t="str">
        <f>HYPERLINK("#'Table 68'!A1", "And how often do you watch the women's version of those sports?: Football")</f>
        <v>And how often do you watch the women's version of those sports?: Football</v>
      </c>
      <c r="E76" s="14" t="str">
        <f>HYPERLINK("#'Full Results'!A664", "664")</f>
        <v>664</v>
      </c>
      <c r="F76" t="s">
        <v>241</v>
      </c>
    </row>
    <row r="77" spans="3:6" x14ac:dyDescent="0.3">
      <c r="C77">
        <v>69</v>
      </c>
      <c r="D77" s="8" t="str">
        <f>HYPERLINK("#'Table 69'!A1", "And how often do you watch the women's version of those sports?: Netball")</f>
        <v>And how often do you watch the women's version of those sports?: Netball</v>
      </c>
      <c r="E77" s="14" t="str">
        <f>HYPERLINK("#'Full Results'!A676", "676")</f>
        <v>676</v>
      </c>
      <c r="F77" t="s">
        <v>241</v>
      </c>
    </row>
    <row r="78" spans="3:6" x14ac:dyDescent="0.3">
      <c r="C78">
        <v>70</v>
      </c>
      <c r="D78" s="8" t="str">
        <f>HYPERLINK("#'Table 70'!A1", "And how often do you watch the women's version of those sports?: Gymnastics")</f>
        <v>And how often do you watch the women's version of those sports?: Gymnastics</v>
      </c>
      <c r="E78" s="14" t="str">
        <f>HYPERLINK("#'Full Results'!A688", "688")</f>
        <v>688</v>
      </c>
      <c r="F78" t="s">
        <v>241</v>
      </c>
    </row>
    <row r="79" spans="3:6" x14ac:dyDescent="0.3">
      <c r="C79">
        <v>71</v>
      </c>
      <c r="D79" s="8" t="str">
        <f>HYPERLINK("#'Table 71'!A1", "And how often do you watch the women's version of those sports?: Swimming")</f>
        <v>And how often do you watch the women's version of those sports?: Swimming</v>
      </c>
      <c r="E79" s="14" t="str">
        <f>HYPERLINK("#'Full Results'!A700", "700")</f>
        <v>700</v>
      </c>
      <c r="F79" t="s">
        <v>241</v>
      </c>
    </row>
    <row r="80" spans="3:6" x14ac:dyDescent="0.3">
      <c r="C80">
        <v>72</v>
      </c>
      <c r="D80" s="8" t="str">
        <f>HYPERLINK("#'Table 72'!A1", "And how often do you watch the women's version of those sports?: Basketball")</f>
        <v>And how often do you watch the women's version of those sports?: Basketball</v>
      </c>
      <c r="E80" s="14" t="str">
        <f>HYPERLINK("#'Full Results'!A712", "712")</f>
        <v>712</v>
      </c>
      <c r="F80" t="s">
        <v>241</v>
      </c>
    </row>
    <row r="81" spans="3:6" x14ac:dyDescent="0.3">
      <c r="C81">
        <v>73</v>
      </c>
      <c r="D81" s="8" t="str">
        <f>HYPERLINK("#'Table 73'!A1", "And how often do you watch the women's version of those sports?: Hockey")</f>
        <v>And how often do you watch the women's version of those sports?: Hockey</v>
      </c>
      <c r="E81" s="14" t="str">
        <f>HYPERLINK("#'Full Results'!A724", "724")</f>
        <v>724</v>
      </c>
      <c r="F81" t="s">
        <v>241</v>
      </c>
    </row>
    <row r="82" spans="3:6" x14ac:dyDescent="0.3">
      <c r="C82">
        <v>74</v>
      </c>
      <c r="D82" s="8" t="str">
        <f>HYPERLINK("#'Table 74'!A1", "And how often do you watch the women's version of those sports?: Rugby")</f>
        <v>And how often do you watch the women's version of those sports?: Rugby</v>
      </c>
      <c r="E82" s="14" t="str">
        <f>HYPERLINK("#'Full Results'!A736", "736")</f>
        <v>736</v>
      </c>
      <c r="F82" t="s">
        <v>241</v>
      </c>
    </row>
    <row r="83" spans="3:6" x14ac:dyDescent="0.3">
      <c r="C83">
        <v>75</v>
      </c>
      <c r="D83" s="8" t="str">
        <f>HYPERLINK("#'Table 75'!A1", "And how often do you watch the women's version of those sports?: Cricket")</f>
        <v>And how often do you watch the women's version of those sports?: Cricket</v>
      </c>
      <c r="E83" s="14" t="str">
        <f>HYPERLINK("#'Full Results'!A748", "748")</f>
        <v>748</v>
      </c>
      <c r="F83" t="s">
        <v>241</v>
      </c>
    </row>
    <row r="84" spans="3:6" x14ac:dyDescent="0.3">
      <c r="C84">
        <v>76</v>
      </c>
      <c r="D84" s="8" t="str">
        <f>HYPERLINK("#'Table 76'!A1", "And how often do you watch the women's version of those sports?: Tennis")</f>
        <v>And how often do you watch the women's version of those sports?: Tennis</v>
      </c>
      <c r="E84" s="14" t="str">
        <f>HYPERLINK("#'Full Results'!A760", "760")</f>
        <v>760</v>
      </c>
      <c r="F84" t="s">
        <v>241</v>
      </c>
    </row>
    <row r="85" spans="3:6" x14ac:dyDescent="0.3">
      <c r="C85">
        <v>77</v>
      </c>
      <c r="D85" s="8" t="str">
        <f>HYPERLINK("#'Table 77'!A1", "And how often do you watch the women's version of those sports?: Badminton")</f>
        <v>And how often do you watch the women's version of those sports?: Badminton</v>
      </c>
      <c r="E85" s="14" t="str">
        <f>HYPERLINK("#'Full Results'!A772", "772")</f>
        <v>772</v>
      </c>
      <c r="F85" t="s">
        <v>241</v>
      </c>
    </row>
    <row r="86" spans="3:6" x14ac:dyDescent="0.3">
      <c r="C86">
        <v>78</v>
      </c>
      <c r="D86" s="8" t="str">
        <f>HYPERLINK("#'Table 78'!A1", "And how often do you watch the women's version of those sports?: Golf")</f>
        <v>And how often do you watch the women's version of those sports?: Golf</v>
      </c>
      <c r="E86" s="14" t="str">
        <f>HYPERLINK("#'Full Results'!A784", "784")</f>
        <v>784</v>
      </c>
      <c r="F86" t="s">
        <v>241</v>
      </c>
    </row>
    <row r="87" spans="3:6" x14ac:dyDescent="0.3">
      <c r="C87">
        <v>79</v>
      </c>
      <c r="D87" s="8" t="str">
        <f>HYPERLINK("#'Table 79'!A1", "And how often do you watch the women's version of those sports?: Martial arts")</f>
        <v>And how often do you watch the women's version of those sports?: Martial arts</v>
      </c>
      <c r="E87" s="14" t="str">
        <f>HYPERLINK("#'Full Results'!A796", "796")</f>
        <v>796</v>
      </c>
      <c r="F87" t="s">
        <v>241</v>
      </c>
    </row>
    <row r="88" spans="3:6" x14ac:dyDescent="0.3">
      <c r="C88">
        <v>80</v>
      </c>
      <c r="D88" s="8" t="str">
        <f>HYPERLINK("#'Table 80'!A1", "And how often do you watch the women's version of those sports?: Squash")</f>
        <v>And how often do you watch the women's version of those sports?: Squash</v>
      </c>
      <c r="E88" s="14" t="str">
        <f>HYPERLINK("#'Full Results'!A808", "808")</f>
        <v>808</v>
      </c>
      <c r="F88" t="s">
        <v>241</v>
      </c>
    </row>
    <row r="89" spans="3:6" x14ac:dyDescent="0.3">
      <c r="C89">
        <v>81</v>
      </c>
      <c r="D89" s="8" t="str">
        <f>HYPERLINK("#'Table 81'!A1", "And how often do you watch the women's version of those sports?: Water sports")</f>
        <v>And how often do you watch the women's version of those sports?: Water sports</v>
      </c>
      <c r="E89" s="14" t="str">
        <f>HYPERLINK("#'Full Results'!A820", "820")</f>
        <v>820</v>
      </c>
      <c r="F89" t="s">
        <v>241</v>
      </c>
    </row>
    <row r="90" spans="3:6" x14ac:dyDescent="0.3">
      <c r="C90">
        <v>82</v>
      </c>
      <c r="D90" s="8" t="str">
        <f>HYPERLINK("#'Table 82'!A1", "And how often do you watch the women's version of those sports?: Motorsport")</f>
        <v>And how often do you watch the women's version of those sports?: Motorsport</v>
      </c>
      <c r="E90" s="14" t="str">
        <f>HYPERLINK("#'Full Results'!A832", "832")</f>
        <v>832</v>
      </c>
      <c r="F90" t="s">
        <v>241</v>
      </c>
    </row>
    <row r="91" spans="3:6" x14ac:dyDescent="0.3">
      <c r="C91">
        <v>83</v>
      </c>
      <c r="D91" s="8" t="str">
        <f>HYPERLINK("#'Table 83'!A1", "And how often do you watch the women's version of those sports?: Boxing")</f>
        <v>And how often do you watch the women's version of those sports?: Boxing</v>
      </c>
      <c r="E91" s="14" t="str">
        <f>HYPERLINK("#'Full Results'!A844", "844")</f>
        <v>844</v>
      </c>
      <c r="F91" t="s">
        <v>241</v>
      </c>
    </row>
    <row r="92" spans="3:6" x14ac:dyDescent="0.3">
      <c r="C92">
        <v>84</v>
      </c>
      <c r="D92" s="8" t="str">
        <f>HYPERLINK("#'Table 84'!A1", " Do you currently consider yourself to be ‘sporty’?")</f>
        <v xml:space="preserve"> Do you currently consider yourself to be ‘sporty’?</v>
      </c>
      <c r="E92" s="14" t="str">
        <f>HYPERLINK("#'Full Results'!A856", "856")</f>
        <v>856</v>
      </c>
      <c r="F92" t="s">
        <v>46</v>
      </c>
    </row>
    <row r="93" spans="3:6" x14ac:dyDescent="0.3">
      <c r="C93">
        <v>85</v>
      </c>
      <c r="D93" s="8" t="str">
        <f>HYPERLINK("#'Table 85'!A1", " And did you consider yourself as ‘sporty’ when you were 11? This is the age you would begin year 7 if you attended a school in the UK.If COVID affected your level of participation in sport when you were 11, please think back to the time just bef...")</f>
        <v xml:space="preserve"> And did you consider yourself as ‘sporty’ when you were 11? This is the age you would begin year 7 if you attended a school in the UK.If COVID affected your level of participation in sport when you were 11, please think back to the time just bef...</v>
      </c>
      <c r="E93" s="14" t="str">
        <f>HYPERLINK("#'Full Results'!A862", "862")</f>
        <v>862</v>
      </c>
      <c r="F93" t="s">
        <v>286</v>
      </c>
    </row>
    <row r="94" spans="3:6" x14ac:dyDescent="0.3">
      <c r="C94">
        <v>86</v>
      </c>
      <c r="D94" s="8" t="str">
        <f>HYPERLINK("#'Table 86'!A1", "In a typical month, which of these statements are true for you now? Select all that apply.")</f>
        <v>In a typical month, which of these statements are true for you now? Select all that apply.</v>
      </c>
      <c r="E94" s="14" t="str">
        <f>HYPERLINK("#'Full Results'!A869", "869")</f>
        <v>869</v>
      </c>
      <c r="F94" t="s">
        <v>46</v>
      </c>
    </row>
    <row r="95" spans="3:6" x14ac:dyDescent="0.3">
      <c r="C95">
        <v>87</v>
      </c>
      <c r="D95" s="8" t="str">
        <f>HYPERLINK("#'Table 87'!A1", " Outside of any mandatory sports lessons you participated in at school, which of the following was true for you when you were 11?If COVID affected your level of participation in sport when you were 11, please think back to the time just before th...")</f>
        <v xml:space="preserve"> Outside of any mandatory sports lessons you participated in at school, which of the following was true for you when you were 11?If COVID affected your level of participation in sport when you were 11, please think back to the time just before th...</v>
      </c>
      <c r="E95" s="14" t="str">
        <f>HYPERLINK("#'Full Results'!A878", "878")</f>
        <v>878</v>
      </c>
      <c r="F95" t="s">
        <v>286</v>
      </c>
    </row>
    <row r="96" spans="3:6" x14ac:dyDescent="0.3">
      <c r="C96">
        <v>88</v>
      </c>
      <c r="D96" s="8" t="str">
        <f>HYPERLINK("#'Table 88'!A1", " Beyond your mandatory lessons at school, how many hours of sport would you estimate that you played in an average week when you were 11? Your best estimate will do.If COVID affected your level of participation in sport when you were 11, please t...")</f>
        <v xml:space="preserve"> Beyond your mandatory lessons at school, how many hours of sport would you estimate that you played in an average week when you were 11? Your best estimate will do.If COVID affected your level of participation in sport when you were 11, please t...</v>
      </c>
      <c r="E96" s="14" t="str">
        <f>HYPERLINK("#'Full Results'!A890", "890")</f>
        <v>890</v>
      </c>
      <c r="F96" t="s">
        <v>286</v>
      </c>
    </row>
    <row r="97" spans="3:6" x14ac:dyDescent="0.3">
      <c r="C97">
        <v>89</v>
      </c>
      <c r="D97" s="8" t="str">
        <f>HYPERLINK("#'Table 89'!A1", " Beyond your mandatory lessons at school, how many hours would you estimate that you spent exercising in an average week when you were 11? Your best estimate will do.If COVID affected your level of participation in sport when you were 11, please ...")</f>
        <v xml:space="preserve"> Beyond your mandatory lessons at school, how many hours would you estimate that you spent exercising in an average week when you were 11? Your best estimate will do.If COVID affected your level of participation in sport when you were 11, please ...</v>
      </c>
      <c r="E97" s="14" t="str">
        <f>HYPERLINK("#'Full Results'!A904", "904")</f>
        <v>904</v>
      </c>
      <c r="F97" t="s">
        <v>286</v>
      </c>
    </row>
    <row r="98" spans="3:6" x14ac:dyDescent="0.3">
      <c r="C98">
        <v>90</v>
      </c>
      <c r="D98" s="8" t="str">
        <f>HYPERLINK("#'Table 90'!A1", " Which of the following is true for you now?")</f>
        <v xml:space="preserve"> Which of the following is true for you now?</v>
      </c>
      <c r="E98" s="14" t="str">
        <f>HYPERLINK("#'Full Results'!A918", "918")</f>
        <v>918</v>
      </c>
      <c r="F98" t="s">
        <v>46</v>
      </c>
    </row>
    <row r="99" spans="3:6" x14ac:dyDescent="0.3">
      <c r="C99">
        <v>91</v>
      </c>
      <c r="D99" s="8" t="str">
        <f>HYPERLINK("#'Table 91'!A1", "You said you play some sport now, which of the following sports do you primarily play? Select up to three")</f>
        <v>You said you play some sport now, which of the following sports do you primarily play? Select up to three</v>
      </c>
      <c r="E99" s="14" t="str">
        <f>HYPERLINK("#'Full Results'!A928", "928")</f>
        <v>928</v>
      </c>
      <c r="F99" t="s">
        <v>318</v>
      </c>
    </row>
    <row r="100" spans="3:6" x14ac:dyDescent="0.3">
      <c r="C100">
        <v>92</v>
      </c>
      <c r="D100" s="8" t="str">
        <f>HYPERLINK("#'Table 92'!A1", " Compared to your first year of secondary school, when you were aged 11 or 12, do you play more or less sport now?If COVID affected your level of participation in sport when you were 11 or 12, please think back to the time just before the pandemi...")</f>
        <v xml:space="preserve"> Compared to your first year of secondary school, when you were aged 11 or 12, do you play more or less sport now?If COVID affected your level of participation in sport when you were 11 or 12, please think back to the time just before the pandemi...</v>
      </c>
      <c r="E100" s="14" t="str">
        <f>HYPERLINK("#'Full Results'!A950", "950")</f>
        <v>950</v>
      </c>
      <c r="F100" t="s">
        <v>46</v>
      </c>
    </row>
    <row r="101" spans="3:6" x14ac:dyDescent="0.3">
      <c r="C101">
        <v>93</v>
      </c>
      <c r="D101" s="8" t="str">
        <f>HYPERLINK("#'Table 93'!A1", " Which of the following is true for you?")</f>
        <v xml:space="preserve"> Which of the following is true for you?</v>
      </c>
      <c r="E101" s="14" t="str">
        <f>HYPERLINK("#'Full Results'!A959", "959")</f>
        <v>959</v>
      </c>
      <c r="F101" t="s">
        <v>318</v>
      </c>
    </row>
    <row r="102" spans="3:6" x14ac:dyDescent="0.3">
      <c r="C102">
        <v>94</v>
      </c>
      <c r="D102" s="8" t="str">
        <f>HYPERLINK("#'Table 94'!A1", " Thinking about participating in sport, how would you rank it on the following scale?")</f>
        <v xml:space="preserve"> Thinking about participating in sport, how would you rank it on the following scale?</v>
      </c>
      <c r="E102" s="14" t="str">
        <f>HYPERLINK("#'Full Results'!A967", "967")</f>
        <v>967</v>
      </c>
      <c r="F102" t="s">
        <v>46</v>
      </c>
    </row>
    <row r="103" spans="3:6" x14ac:dyDescent="0.3">
      <c r="C103">
        <v>95</v>
      </c>
      <c r="D103" s="8" t="str">
        <f>HYPERLINK("#'Table 95'!A1", " Thinking about participating in sport, how would you rank it on the following scale?")</f>
        <v xml:space="preserve"> Thinking about participating in sport, how would you rank it on the following scale?</v>
      </c>
      <c r="E103" s="14" t="str">
        <f>HYPERLINK("#'Full Results'!A976", "976")</f>
        <v>976</v>
      </c>
      <c r="F103" t="s">
        <v>241</v>
      </c>
    </row>
    <row r="104" spans="3:6" x14ac:dyDescent="0.3">
      <c r="C104">
        <v>96</v>
      </c>
      <c r="D104" s="8" t="str">
        <f>HYPERLINK("#'Table 96'!A1", " Thinking about participating in sport, how would you rank it on the following scale?")</f>
        <v xml:space="preserve"> Thinking about participating in sport, how would you rank it on the following scale?</v>
      </c>
      <c r="E104" s="14" t="str">
        <f>HYPERLINK("#'Full Results'!A985", "985")</f>
        <v>985</v>
      </c>
      <c r="F104" t="s">
        <v>46</v>
      </c>
    </row>
    <row r="105" spans="3:6" x14ac:dyDescent="0.3">
      <c r="C105">
        <v>97</v>
      </c>
      <c r="D105" s="8" t="str">
        <f>HYPERLINK("#'Table 97'!A1", "Grid Summary: To what extent did these different people in your life encourage your participation in your sport at any point in your childhood?")</f>
        <v>Grid Summary: To what extent did these different people in your life encourage your participation in your sport at any point in your childhood?</v>
      </c>
      <c r="E105" s="7"/>
      <c r="F105" t="s">
        <v>241</v>
      </c>
    </row>
    <row r="106" spans="3:6" x14ac:dyDescent="0.3">
      <c r="C106">
        <v>98</v>
      </c>
      <c r="D106" s="8" t="str">
        <f>HYPERLINK("#'Table 98'!A1", "To what extent did these different people in your life encourage your participation in your sport at any point in your childhood?: Mother")</f>
        <v>To what extent did these different people in your life encourage your participation in your sport at any point in your childhood?: Mother</v>
      </c>
      <c r="E106" s="14" t="str">
        <f>HYPERLINK("#'Full Results'!A994", "994")</f>
        <v>994</v>
      </c>
      <c r="F106" t="s">
        <v>241</v>
      </c>
    </row>
    <row r="107" spans="3:6" x14ac:dyDescent="0.3">
      <c r="C107">
        <v>99</v>
      </c>
      <c r="D107" s="8" t="str">
        <f>HYPERLINK("#'Table 99'!A1", "To what extent did these different people in your life encourage your participation in your sport at any point in your childhood?: Father")</f>
        <v>To what extent did these different people in your life encourage your participation in your sport at any point in your childhood?: Father</v>
      </c>
      <c r="E107" s="14" t="str">
        <f>HYPERLINK("#'Full Results'!A1003", "1003")</f>
        <v>1003</v>
      </c>
      <c r="F107" t="s">
        <v>46</v>
      </c>
    </row>
    <row r="108" spans="3:6" x14ac:dyDescent="0.3">
      <c r="C108">
        <v>100</v>
      </c>
      <c r="D108" s="8" t="str">
        <f>HYPERLINK("#'Table 100'!A1", "To what extent did these different people in your life encourage your participation in your sport at any point in your childhood?: Other adults in my family")</f>
        <v>To what extent did these different people in your life encourage your participation in your sport at any point in your childhood?: Other adults in my family</v>
      </c>
      <c r="E108" s="14" t="str">
        <f>HYPERLINK("#'Full Results'!A1012", "1012")</f>
        <v>1012</v>
      </c>
      <c r="F108" t="s">
        <v>241</v>
      </c>
    </row>
    <row r="109" spans="3:6" x14ac:dyDescent="0.3">
      <c r="C109">
        <v>101</v>
      </c>
      <c r="D109" s="8" t="str">
        <f>HYPERLINK("#'Table 101'!A1", "To what extent did these different people in your life encourage your participation in your sport at any point in your childhood?: Siblings")</f>
        <v>To what extent did these different people in your life encourage your participation in your sport at any point in your childhood?: Siblings</v>
      </c>
      <c r="E109" s="14" t="str">
        <f>HYPERLINK("#'Full Results'!A1021", "1021")</f>
        <v>1021</v>
      </c>
      <c r="F109" t="s">
        <v>241</v>
      </c>
    </row>
    <row r="110" spans="3:6" x14ac:dyDescent="0.3">
      <c r="C110">
        <v>102</v>
      </c>
      <c r="D110" s="8" t="str">
        <f>HYPERLINK("#'Table 102'!A1", "To what extent did these different people in your life encourage your participation in your sport at any point in your childhood?: Teachers")</f>
        <v>To what extent did these different people in your life encourage your participation in your sport at any point in your childhood?: Teachers</v>
      </c>
      <c r="E110" s="14" t="str">
        <f>HYPERLINK("#'Full Results'!A1030", "1030")</f>
        <v>1030</v>
      </c>
      <c r="F110" t="s">
        <v>241</v>
      </c>
    </row>
    <row r="111" spans="3:6" x14ac:dyDescent="0.3">
      <c r="C111">
        <v>103</v>
      </c>
      <c r="D111" s="8" t="str">
        <f>HYPERLINK("#'Table 103'!A1", "To what extent did these different people in your life encourage your participation in your sport at any point in your childhood?: Friends")</f>
        <v>To what extent did these different people in your life encourage your participation in your sport at any point in your childhood?: Friends</v>
      </c>
      <c r="E111" s="14" t="str">
        <f>HYPERLINK("#'Full Results'!A1039", "1039")</f>
        <v>1039</v>
      </c>
      <c r="F111" t="s">
        <v>241</v>
      </c>
    </row>
    <row r="112" spans="3:6" x14ac:dyDescent="0.3">
      <c r="C112">
        <v>104</v>
      </c>
      <c r="D112" s="8" t="str">
        <f>HYPERLINK("#'Table 104'!A1", "Grid Summary: To what extent did these different people in your life practice or participate in sport with you at any point in your childhood?")</f>
        <v>Grid Summary: To what extent did these different people in your life practice or participate in sport with you at any point in your childhood?</v>
      </c>
      <c r="E112" s="7"/>
      <c r="F112" t="s">
        <v>46</v>
      </c>
    </row>
    <row r="113" spans="3:6" x14ac:dyDescent="0.3">
      <c r="C113">
        <v>105</v>
      </c>
      <c r="D113" s="8" t="str">
        <f>HYPERLINK("#'Table 105'!A1", "To what extent did these different people in your life practice or participate in sport with you at any point in your childhood?: Mother")</f>
        <v>To what extent did these different people in your life practice or participate in sport with you at any point in your childhood?: Mother</v>
      </c>
      <c r="E113" s="14" t="str">
        <f>HYPERLINK("#'Full Results'!A1048", "1048")</f>
        <v>1048</v>
      </c>
      <c r="F113" t="s">
        <v>46</v>
      </c>
    </row>
    <row r="114" spans="3:6" x14ac:dyDescent="0.3">
      <c r="C114">
        <v>106</v>
      </c>
      <c r="D114" s="8" t="str">
        <f>HYPERLINK("#'Table 106'!A1", "To what extent did these different people in your life practice or participate in sport with you at any point in your childhood?: Father")</f>
        <v>To what extent did these different people in your life practice or participate in sport with you at any point in your childhood?: Father</v>
      </c>
      <c r="E114" s="14" t="str">
        <f>HYPERLINK("#'Full Results'!A1057", "1057")</f>
        <v>1057</v>
      </c>
      <c r="F114" t="s">
        <v>46</v>
      </c>
    </row>
    <row r="115" spans="3:6" x14ac:dyDescent="0.3">
      <c r="C115">
        <v>107</v>
      </c>
      <c r="D115" s="8" t="str">
        <f>HYPERLINK("#'Table 107'!A1", "To what extent did these different people in your life practice or participate in sport with you at any point in your childhood?: Other adults in my family")</f>
        <v>To what extent did these different people in your life practice or participate in sport with you at any point in your childhood?: Other adults in my family</v>
      </c>
      <c r="E115" s="14" t="str">
        <f>HYPERLINK("#'Full Results'!A1066", "1066")</f>
        <v>1066</v>
      </c>
      <c r="F115" t="s">
        <v>46</v>
      </c>
    </row>
    <row r="116" spans="3:6" x14ac:dyDescent="0.3">
      <c r="C116">
        <v>108</v>
      </c>
      <c r="D116" s="8" t="str">
        <f>HYPERLINK("#'Table 108'!A1", "To what extent did these different people in your life practice or participate in sport with you at any point in your childhood?: Siblings")</f>
        <v>To what extent did these different people in your life practice or participate in sport with you at any point in your childhood?: Siblings</v>
      </c>
      <c r="E116" s="14" t="str">
        <f>HYPERLINK("#'Full Results'!A1075", "1075")</f>
        <v>1075</v>
      </c>
      <c r="F116" t="s">
        <v>46</v>
      </c>
    </row>
    <row r="117" spans="3:6" x14ac:dyDescent="0.3">
      <c r="C117">
        <v>109</v>
      </c>
      <c r="D117" s="8" t="str">
        <f>HYPERLINK("#'Table 109'!A1", "To what extent did these different people in your life practice or participate in sport with you at any point in your childhood?: Teachers")</f>
        <v>To what extent did these different people in your life practice or participate in sport with you at any point in your childhood?: Teachers</v>
      </c>
      <c r="E117" s="14" t="str">
        <f>HYPERLINK("#'Full Results'!A1084", "1084")</f>
        <v>1084</v>
      </c>
      <c r="F117" t="s">
        <v>46</v>
      </c>
    </row>
    <row r="118" spans="3:6" x14ac:dyDescent="0.3">
      <c r="C118">
        <v>110</v>
      </c>
      <c r="D118" s="8" t="str">
        <f>HYPERLINK("#'Table 110'!A1", "To what extent did these different people in your life practice or participate in sport with you at any point in your childhood?: Friends")</f>
        <v>To what extent did these different people in your life practice or participate in sport with you at any point in your childhood?: Friends</v>
      </c>
      <c r="E118" s="14" t="str">
        <f>HYPERLINK("#'Full Results'!A1093", "1093")</f>
        <v>1093</v>
      </c>
      <c r="F118" t="s">
        <v>46</v>
      </c>
    </row>
    <row r="119" spans="3:6" x14ac:dyDescent="0.3">
      <c r="C119">
        <v>111</v>
      </c>
      <c r="D119" s="8" t="str">
        <f>HYPERLINK("#'Table 111'!A1", "Grid Summary: To what extent do you think these different kinds of people are responsible for encouraging and supporting children to try out and participate in sport?")</f>
        <v>Grid Summary: To what extent do you think these different kinds of people are responsible for encouraging and supporting children to try out and participate in sport?</v>
      </c>
      <c r="E119" s="7"/>
      <c r="F119" t="s">
        <v>46</v>
      </c>
    </row>
    <row r="120" spans="3:6" x14ac:dyDescent="0.3">
      <c r="C120">
        <v>112</v>
      </c>
      <c r="D120" s="8" t="str">
        <f>HYPERLINK("#'Table 112'!A1", "To what extent do you think these different kinds of people are responsible for encouraging and supporting children to try out and participate in sport?: Mother")</f>
        <v>To what extent do you think these different kinds of people are responsible for encouraging and supporting children to try out and participate in sport?: Mother</v>
      </c>
      <c r="E120" s="14" t="str">
        <f>HYPERLINK("#'Full Results'!A1102", "1102")</f>
        <v>1102</v>
      </c>
      <c r="F120" t="s">
        <v>46</v>
      </c>
    </row>
    <row r="121" spans="3:6" x14ac:dyDescent="0.3">
      <c r="C121">
        <v>113</v>
      </c>
      <c r="D121" s="8" t="str">
        <f>HYPERLINK("#'Table 113'!A1", "To what extent do you think these different kinds of people are responsible for encouraging and supporting children to try out and participate in sport?: Father")</f>
        <v>To what extent do you think these different kinds of people are responsible for encouraging and supporting children to try out and participate in sport?: Father</v>
      </c>
      <c r="E121" s="14" t="str">
        <f>HYPERLINK("#'Full Results'!A1110", "1110")</f>
        <v>1110</v>
      </c>
      <c r="F121" t="s">
        <v>46</v>
      </c>
    </row>
    <row r="122" spans="3:6" x14ac:dyDescent="0.3">
      <c r="C122">
        <v>114</v>
      </c>
      <c r="D122" s="8" t="str">
        <f>HYPERLINK("#'Table 114'!A1", "To what extent do you think these different kinds of people are responsible for encouraging and supporting children to try out and participate in sport?: Other adults in their family")</f>
        <v>To what extent do you think these different kinds of people are responsible for encouraging and supporting children to try out and participate in sport?: Other adults in their family</v>
      </c>
      <c r="E122" s="14" t="str">
        <f>HYPERLINK("#'Full Results'!A1118", "1118")</f>
        <v>1118</v>
      </c>
      <c r="F122" t="s">
        <v>46</v>
      </c>
    </row>
    <row r="123" spans="3:6" x14ac:dyDescent="0.3">
      <c r="C123">
        <v>115</v>
      </c>
      <c r="D123" s="8" t="str">
        <f>HYPERLINK("#'Table 115'!A1", "To what extent do you think these different kinds of people are responsible for encouraging and supporting children to try out and participate in sport?: Siblings")</f>
        <v>To what extent do you think these different kinds of people are responsible for encouraging and supporting children to try out and participate in sport?: Siblings</v>
      </c>
      <c r="E123" s="14" t="str">
        <f>HYPERLINK("#'Full Results'!A1126", "1126")</f>
        <v>1126</v>
      </c>
      <c r="F123" t="s">
        <v>46</v>
      </c>
    </row>
    <row r="124" spans="3:6" x14ac:dyDescent="0.3">
      <c r="C124">
        <v>116</v>
      </c>
      <c r="D124" s="8" t="str">
        <f>HYPERLINK("#'Table 116'!A1", "To what extent do you think these different kinds of people are responsible for encouraging and supporting children to try out and participate in sport?: Teachers")</f>
        <v>To what extent do you think these different kinds of people are responsible for encouraging and supporting children to try out and participate in sport?: Teachers</v>
      </c>
      <c r="E124" s="14" t="str">
        <f>HYPERLINK("#'Full Results'!A1134", "1134")</f>
        <v>1134</v>
      </c>
      <c r="F124" t="s">
        <v>46</v>
      </c>
    </row>
    <row r="125" spans="3:6" x14ac:dyDescent="0.3">
      <c r="C125">
        <v>117</v>
      </c>
      <c r="D125" s="8" t="str">
        <f>HYPERLINK("#'Table 117'!A1", "To what extent do you think these different kinds of people are responsible for encouraging and supporting children to try out and participate in sport?: Friends")</f>
        <v>To what extent do you think these different kinds of people are responsible for encouraging and supporting children to try out and participate in sport?: Friends</v>
      </c>
      <c r="E125" s="14" t="str">
        <f>HYPERLINK("#'Full Results'!A1142", "1142")</f>
        <v>1142</v>
      </c>
      <c r="F125" t="s">
        <v>46</v>
      </c>
    </row>
    <row r="126" spans="3:6" x14ac:dyDescent="0.3">
      <c r="C126">
        <v>118</v>
      </c>
      <c r="D126" s="8" t="str">
        <f>HYPERLINK("#'Table 118'!A1", "Grid Summary: You said you used to play sport but no longer do. How important were the following factors for why you previously participated in sport?")</f>
        <v>Grid Summary: You said you used to play sport but no longer do. How important were the following factors for why you previously participated in sport?</v>
      </c>
      <c r="E126" s="7"/>
      <c r="F126" t="s">
        <v>386</v>
      </c>
    </row>
    <row r="127" spans="3:6" x14ac:dyDescent="0.3">
      <c r="C127">
        <v>119</v>
      </c>
      <c r="D127" s="8" t="str">
        <f>HYPERLINK("#'Table 119'!A1", "You said you used to play sport but no longer do. How important were the following factors for why you previously participated in sport?: I enjoyed learning new skills and improving my performance")</f>
        <v>You said you used to play sport but no longer do. How important were the following factors for why you previously participated in sport?: I enjoyed learning new skills and improving my performance</v>
      </c>
      <c r="E127" s="14" t="str">
        <f>HYPERLINK("#'Full Results'!A1150", "1150")</f>
        <v>1150</v>
      </c>
      <c r="F127" t="s">
        <v>386</v>
      </c>
    </row>
    <row r="128" spans="3:6" x14ac:dyDescent="0.3">
      <c r="C128">
        <v>120</v>
      </c>
      <c r="D128" s="8" t="str">
        <f>HYPERLINK("#'Table 120'!A1", "You said you used to play sport but no longer do. How important were the following factors for why you previously participated in sport?: Playing sports was an important part of my life")</f>
        <v>You said you used to play sport but no longer do. How important were the following factors for why you previously participated in sport?: Playing sports was an important part of my life</v>
      </c>
      <c r="E128" s="14" t="str">
        <f>HYPERLINK("#'Full Results'!A1160", "1160")</f>
        <v>1160</v>
      </c>
      <c r="F128" t="s">
        <v>386</v>
      </c>
    </row>
    <row r="129" spans="3:6" x14ac:dyDescent="0.3">
      <c r="C129">
        <v>121</v>
      </c>
      <c r="D129" s="8" t="str">
        <f>HYPERLINK("#'Table 121'!A1", "You said you used to play sport but no longer do. How important were the following factors for why you previously participated in sport?: Playing sports was a big part of my routine")</f>
        <v>You said you used to play sport but no longer do. How important were the following factors for why you previously participated in sport?: Playing sports was a big part of my routine</v>
      </c>
      <c r="E129" s="14" t="str">
        <f>HYPERLINK("#'Full Results'!A1170", "1170")</f>
        <v>1170</v>
      </c>
      <c r="F129" t="s">
        <v>386</v>
      </c>
    </row>
    <row r="130" spans="3:6" x14ac:dyDescent="0.3">
      <c r="C130">
        <v>122</v>
      </c>
      <c r="D130" s="8" t="str">
        <f>HYPERLINK("#'Table 122'!A1", "You said you used to play sport but no longer do. How important were the following factors for why you previously participated in sport?: It helped me develop qualities in myself that I valued")</f>
        <v>You said you used to play sport but no longer do. How important were the following factors for why you previously participated in sport?: It helped me develop qualities in myself that I valued</v>
      </c>
      <c r="E130" s="14" t="str">
        <f>HYPERLINK("#'Full Results'!A1180", "1180")</f>
        <v>1180</v>
      </c>
      <c r="F130" t="s">
        <v>386</v>
      </c>
    </row>
    <row r="131" spans="3:6" x14ac:dyDescent="0.3">
      <c r="C131">
        <v>123</v>
      </c>
      <c r="D131" s="8" t="str">
        <f>HYPERLINK("#'Table 123'!A1", "You said you used to play sport but no longer do. How important were the following factors for why you previously participated in sport?: It was one of the best ways for me to grow as a person")</f>
        <v>You said you used to play sport but no longer do. How important were the following factors for why you previously participated in sport?: It was one of the best ways for me to grow as a person</v>
      </c>
      <c r="E131" s="14" t="str">
        <f>HYPERLINK("#'Full Results'!A1190", "1190")</f>
        <v>1190</v>
      </c>
      <c r="F131" t="s">
        <v>386</v>
      </c>
    </row>
    <row r="132" spans="3:6" x14ac:dyDescent="0.3">
      <c r="C132">
        <v>124</v>
      </c>
      <c r="D132" s="8" t="str">
        <f>HYPERLINK("#'Table 124'!A1", "You said you used to play sport but no longer do. How important were the following factors for why you previously participated in sport?: I liked playing sports with my friends")</f>
        <v>You said you used to play sport but no longer do. How important were the following factors for why you previously participated in sport?: I liked playing sports with my friends</v>
      </c>
      <c r="E132" s="14" t="str">
        <f>HYPERLINK("#'Full Results'!A1200", "1200")</f>
        <v>1200</v>
      </c>
      <c r="F132" t="s">
        <v>386</v>
      </c>
    </row>
    <row r="133" spans="3:6" x14ac:dyDescent="0.3">
      <c r="C133">
        <v>125</v>
      </c>
      <c r="D133" s="8" t="str">
        <f>HYPERLINK("#'Table 125'!A1", "You said you used to play sport but no longer do. How important were the following factors for why you previously participated in sport?: I enjoyed winning")</f>
        <v>You said you used to play sport but no longer do. How important were the following factors for why you previously participated in sport?: I enjoyed winning</v>
      </c>
      <c r="E133" s="14" t="str">
        <f>HYPERLINK("#'Full Results'!A1210", "1210")</f>
        <v>1210</v>
      </c>
      <c r="F133" t="s">
        <v>386</v>
      </c>
    </row>
    <row r="134" spans="3:6" x14ac:dyDescent="0.3">
      <c r="C134">
        <v>126</v>
      </c>
      <c r="D134" s="8" t="str">
        <f>HYPERLINK("#'Table 126'!A1", "Grid Summary: You said you used to play sport but no longer do. How important were the following factors for why you previously participated in sport?")</f>
        <v>Grid Summary: You said you used to play sport but no longer do. How important were the following factors for why you previously participated in sport?</v>
      </c>
      <c r="E134" s="7"/>
      <c r="F134" t="s">
        <v>386</v>
      </c>
    </row>
    <row r="135" spans="3:6" x14ac:dyDescent="0.3">
      <c r="C135">
        <v>127</v>
      </c>
      <c r="D135" s="8" t="str">
        <f>HYPERLINK("#'Table 127'!A1", "You said you used to play sport but no longer do. How important were the following factors for why you previously participated in sport?: I enjoyed the reputation associated with doing sport")</f>
        <v>You said you used to play sport but no longer do. How important were the following factors for why you previously participated in sport?: I enjoyed the reputation associated with doing sport</v>
      </c>
      <c r="E135" s="14" t="str">
        <f>HYPERLINK("#'Full Results'!A1220", "1220")</f>
        <v>1220</v>
      </c>
      <c r="F135" t="s">
        <v>386</v>
      </c>
    </row>
    <row r="136" spans="3:6" x14ac:dyDescent="0.3">
      <c r="C136">
        <v>128</v>
      </c>
      <c r="D136" s="8" t="str">
        <f>HYPERLINK("#'Table 128'!A1", "You said you used to play sport but no longer do. How important were the following factors for why you previously participated in sport?: People around me appreciated me more when I played")</f>
        <v>You said you used to play sport but no longer do. How important were the following factors for why you previously participated in sport?: People around me appreciated me more when I played</v>
      </c>
      <c r="E136" s="14" t="str">
        <f>HYPERLINK("#'Full Results'!A1230", "1230")</f>
        <v>1230</v>
      </c>
      <c r="F136" t="s">
        <v>386</v>
      </c>
    </row>
    <row r="137" spans="3:6" x14ac:dyDescent="0.3">
      <c r="C137">
        <v>129</v>
      </c>
      <c r="D137" s="8" t="str">
        <f>HYPERLINK("#'Table 129'!A1", "You said you used to play sport but no longer do. How important were the following factors for why you previously participated in sport?: I felt pressure from others (e.g., family, coaches, teachers) to keep playing")</f>
        <v>You said you used to play sport but no longer do. How important were the following factors for why you previously participated in sport?: I felt pressure from others (e.g., family, coaches, teachers) to keep playing</v>
      </c>
      <c r="E137" s="14" t="str">
        <f>HYPERLINK("#'Full Results'!A1240", "1240")</f>
        <v>1240</v>
      </c>
      <c r="F137" t="s">
        <v>386</v>
      </c>
    </row>
    <row r="138" spans="3:6" x14ac:dyDescent="0.3">
      <c r="C138">
        <v>130</v>
      </c>
      <c r="D138" s="8" t="str">
        <f>HYPERLINK("#'Table 130'!A1", "You said you used to play sport but no longer do. How important were the following factors for why you previously participated in sport?: It was a way to stay physically healthy")</f>
        <v>You said you used to play sport but no longer do. How important were the following factors for why you previously participated in sport?: It was a way to stay physically healthy</v>
      </c>
      <c r="E138" s="14" t="str">
        <f>HYPERLINK("#'Full Results'!A1250", "1250")</f>
        <v>1250</v>
      </c>
      <c r="F138" t="s">
        <v>386</v>
      </c>
    </row>
    <row r="139" spans="3:6" x14ac:dyDescent="0.3">
      <c r="C139">
        <v>131</v>
      </c>
      <c r="D139" s="8" t="str">
        <f>HYPERLINK("#'Table 131'!A1", "You said you used to play sport but no longer do. How important were the following factors for why you previously participated in sport?: It helped me feel better mentally")</f>
        <v>You said you used to play sport but no longer do. How important were the following factors for why you previously participated in sport?: It helped me feel better mentally</v>
      </c>
      <c r="E139" s="14" t="str">
        <f>HYPERLINK("#'Full Results'!A1260", "1260")</f>
        <v>1260</v>
      </c>
      <c r="F139" t="s">
        <v>386</v>
      </c>
    </row>
    <row r="140" spans="3:6" x14ac:dyDescent="0.3">
      <c r="C140">
        <v>132</v>
      </c>
      <c r="D140" s="8" t="str">
        <f>HYPERLINK("#'Table 132'!A1", "You said you used to play sport but no longer do. How important were the following factors for why you previously participated in sport?: It was a way to maintain my physical appearance")</f>
        <v>You said you used to play sport but no longer do. How important were the following factors for why you previously participated in sport?: It was a way to maintain my physical appearance</v>
      </c>
      <c r="E140" s="14" t="str">
        <f>HYPERLINK("#'Full Results'!A1270", "1270")</f>
        <v>1270</v>
      </c>
      <c r="F140" t="s">
        <v>386</v>
      </c>
    </row>
    <row r="141" spans="3:6" x14ac:dyDescent="0.3">
      <c r="C141">
        <v>133</v>
      </c>
      <c r="D141" s="8" t="str">
        <f>HYPERLINK("#'Table 133'!A1", "You said you used to play sport but no longer do. How important were the following factors for why you previously participated in sport?: I would have felt bad about myself if I didn’t take the time to do it")</f>
        <v>You said you used to play sport but no longer do. How important were the following factors for why you previously participated in sport?: I would have felt bad about myself if I didn’t take the time to do it</v>
      </c>
      <c r="E141" s="14" t="str">
        <f>HYPERLINK("#'Full Results'!A1280", "1280")</f>
        <v>1280</v>
      </c>
      <c r="F141" t="s">
        <v>386</v>
      </c>
    </row>
    <row r="142" spans="3:6" x14ac:dyDescent="0.3">
      <c r="C142">
        <v>134</v>
      </c>
      <c r="D142" s="8" t="str">
        <f>HYPERLINK("#'Table 134'!A1", "Grid Summary: How important are the following factors for why you currently participate in sport?")</f>
        <v>Grid Summary: How important are the following factors for why you currently participate in sport?</v>
      </c>
      <c r="E142" s="7"/>
      <c r="F142" t="s">
        <v>318</v>
      </c>
    </row>
    <row r="143" spans="3:6" x14ac:dyDescent="0.3">
      <c r="C143">
        <v>135</v>
      </c>
      <c r="D143" s="8" t="str">
        <f>HYPERLINK("#'Table 135'!A1", "How important are the following factors for why you currently participate in sport?: I enjoy learning new skills")</f>
        <v>How important are the following factors for why you currently participate in sport?: I enjoy learning new skills</v>
      </c>
      <c r="E143" s="14" t="str">
        <f>HYPERLINK("#'Full Results'!A1290", "1290")</f>
        <v>1290</v>
      </c>
      <c r="F143" t="s">
        <v>318</v>
      </c>
    </row>
    <row r="144" spans="3:6" x14ac:dyDescent="0.3">
      <c r="C144">
        <v>136</v>
      </c>
      <c r="D144" s="8" t="str">
        <f>HYPERLINK("#'Table 136'!A1", "How important are the following factors for why you currently participate in sport?: I enjoy improving my performance")</f>
        <v>How important are the following factors for why you currently participate in sport?: I enjoy improving my performance</v>
      </c>
      <c r="E144" s="14" t="str">
        <f>HYPERLINK("#'Full Results'!A1300", "1300")</f>
        <v>1300</v>
      </c>
      <c r="F144" t="s">
        <v>318</v>
      </c>
    </row>
    <row r="145" spans="3:6" x14ac:dyDescent="0.3">
      <c r="C145">
        <v>137</v>
      </c>
      <c r="D145" s="8" t="str">
        <f>HYPERLINK("#'Table 137'!A1", "How important are the following factors for why you currently participate in sport?: Playing sport is a part of who I am")</f>
        <v>How important are the following factors for why you currently participate in sport?: Playing sport is a part of who I am</v>
      </c>
      <c r="E145" s="14" t="str">
        <f>HYPERLINK("#'Full Results'!A1310", "1310")</f>
        <v>1310</v>
      </c>
      <c r="F145" t="s">
        <v>318</v>
      </c>
    </row>
    <row r="146" spans="3:6" x14ac:dyDescent="0.3">
      <c r="C146">
        <v>138</v>
      </c>
      <c r="D146" s="8" t="str">
        <f>HYPERLINK("#'Table 138'!A1", "How important are the following factors for why you currently participate in sport?: Playing sports is a big part of my routine")</f>
        <v>How important are the following factors for why you currently participate in sport?: Playing sports is a big part of my routine</v>
      </c>
      <c r="E146" s="14" t="str">
        <f>HYPERLINK("#'Full Results'!A1320", "1320")</f>
        <v>1320</v>
      </c>
      <c r="F146" t="s">
        <v>318</v>
      </c>
    </row>
    <row r="147" spans="3:6" x14ac:dyDescent="0.3">
      <c r="C147">
        <v>139</v>
      </c>
      <c r="D147" s="8" t="str">
        <f>HYPERLINK("#'Table 139'!A1", "How important are the following factors for why you currently participate in sport?: It helps me develop qualities in myself that I value")</f>
        <v>How important are the following factors for why you currently participate in sport?: It helps me develop qualities in myself that I value</v>
      </c>
      <c r="E147" s="14" t="str">
        <f>HYPERLINK("#'Full Results'!A1330", "1330")</f>
        <v>1330</v>
      </c>
      <c r="F147" t="s">
        <v>318</v>
      </c>
    </row>
    <row r="148" spans="3:6" x14ac:dyDescent="0.3">
      <c r="C148">
        <v>140</v>
      </c>
      <c r="D148" s="8" t="str">
        <f>HYPERLINK("#'Table 140'!A1", "How important are the following factors for why you currently participate in sport?: It helps me to grow as a person")</f>
        <v>How important are the following factors for why you currently participate in sport?: It helps me to grow as a person</v>
      </c>
      <c r="E148" s="14" t="str">
        <f>HYPERLINK("#'Full Results'!A1340", "1340")</f>
        <v>1340</v>
      </c>
      <c r="F148" t="s">
        <v>318</v>
      </c>
    </row>
    <row r="149" spans="3:6" x14ac:dyDescent="0.3">
      <c r="C149">
        <v>141</v>
      </c>
      <c r="D149" s="8" t="str">
        <f>HYPERLINK("#'Table 141'!A1", "How important are the following factors for why you currently participate in sport?: I like playing sports with my friends")</f>
        <v>How important are the following factors for why you currently participate in sport?: I like playing sports with my friends</v>
      </c>
      <c r="E149" s="14" t="str">
        <f>HYPERLINK("#'Full Results'!A1350", "1350")</f>
        <v>1350</v>
      </c>
      <c r="F149" t="s">
        <v>318</v>
      </c>
    </row>
    <row r="150" spans="3:6" x14ac:dyDescent="0.3">
      <c r="C150">
        <v>142</v>
      </c>
      <c r="D150" s="8" t="str">
        <f>HYPERLINK("#'Table 142'!A1", "How important are the following factors for why you currently participate in sport?: I enjoy winning")</f>
        <v>How important are the following factors for why you currently participate in sport?: I enjoy winning</v>
      </c>
      <c r="E150" s="14" t="str">
        <f>HYPERLINK("#'Full Results'!A1360", "1360")</f>
        <v>1360</v>
      </c>
      <c r="F150" t="s">
        <v>318</v>
      </c>
    </row>
    <row r="151" spans="3:6" x14ac:dyDescent="0.3">
      <c r="C151">
        <v>143</v>
      </c>
      <c r="D151" s="8" t="str">
        <f>HYPERLINK("#'Table 143'!A1", "Grid Summary: How important are the following factors for why you currently participate in sport?")</f>
        <v>Grid Summary: How important are the following factors for why you currently participate in sport?</v>
      </c>
      <c r="E151" s="7"/>
      <c r="F151" t="s">
        <v>318</v>
      </c>
    </row>
    <row r="152" spans="3:6" x14ac:dyDescent="0.3">
      <c r="C152">
        <v>144</v>
      </c>
      <c r="D152" s="8" t="str">
        <f>HYPERLINK("#'Table 144'!A1", "How important are the following factors for why you currently participate in sport?: I enjoy the respect associated with doing sport ")</f>
        <v xml:space="preserve">How important are the following factors for why you currently participate in sport?: I enjoy the respect associated with doing sport </v>
      </c>
      <c r="E152" s="14" t="str">
        <f>HYPERLINK("#'Full Results'!A1370", "1370")</f>
        <v>1370</v>
      </c>
      <c r="F152" t="s">
        <v>318</v>
      </c>
    </row>
    <row r="153" spans="3:6" x14ac:dyDescent="0.3">
      <c r="C153">
        <v>145</v>
      </c>
      <c r="D153" s="8" t="str">
        <f>HYPERLINK("#'Table 145'!A1", "How important are the following factors for why you currently participate in sport?: People around me appreciate me more when I play")</f>
        <v>How important are the following factors for why you currently participate in sport?: People around me appreciate me more when I play</v>
      </c>
      <c r="E153" s="14" t="str">
        <f>HYPERLINK("#'Full Results'!A1380", "1380")</f>
        <v>1380</v>
      </c>
      <c r="F153" t="s">
        <v>318</v>
      </c>
    </row>
    <row r="154" spans="3:6" x14ac:dyDescent="0.3">
      <c r="C154">
        <v>146</v>
      </c>
      <c r="D154" s="8" t="str">
        <f>HYPERLINK("#'Table 146'!A1", "How important are the following factors for why you currently participate in sport?: I feel pressure from others (e.g., family, coaches, teachers) to keep playing")</f>
        <v>How important are the following factors for why you currently participate in sport?: I feel pressure from others (e.g., family, coaches, teachers) to keep playing</v>
      </c>
      <c r="E154" s="14" t="str">
        <f>HYPERLINK("#'Full Results'!A1390", "1390")</f>
        <v>1390</v>
      </c>
      <c r="F154" t="s">
        <v>318</v>
      </c>
    </row>
    <row r="155" spans="3:6" x14ac:dyDescent="0.3">
      <c r="C155">
        <v>147</v>
      </c>
      <c r="D155" s="8" t="str">
        <f>HYPERLINK("#'Table 147'!A1", "How important are the following factors for why you currently participate in sport?: It’s a way to look after my physical health")</f>
        <v>How important are the following factors for why you currently participate in sport?: It’s a way to look after my physical health</v>
      </c>
      <c r="E155" s="14" t="str">
        <f>HYPERLINK("#'Full Results'!A1400", "1400")</f>
        <v>1400</v>
      </c>
      <c r="F155" t="s">
        <v>318</v>
      </c>
    </row>
    <row r="156" spans="3:6" x14ac:dyDescent="0.3">
      <c r="C156">
        <v>148</v>
      </c>
      <c r="D156" s="8" t="str">
        <f>HYPERLINK("#'Table 148'!A1", "How important are the following factors for why you currently participate in sport?: It’s a way to look after my mental health")</f>
        <v>How important are the following factors for why you currently participate in sport?: It’s a way to look after my mental health</v>
      </c>
      <c r="E156" s="14" t="str">
        <f>HYPERLINK("#'Full Results'!A1410", "1410")</f>
        <v>1410</v>
      </c>
      <c r="F156" t="s">
        <v>318</v>
      </c>
    </row>
    <row r="157" spans="3:6" x14ac:dyDescent="0.3">
      <c r="C157">
        <v>149</v>
      </c>
      <c r="D157" s="8" t="str">
        <f>HYPERLINK("#'Table 149'!A1", "How important are the following factors for why you currently participate in sport?: It’s a way to look after my physical appearance")</f>
        <v>How important are the following factors for why you currently participate in sport?: It’s a way to look after my physical appearance</v>
      </c>
      <c r="E157" s="14" t="str">
        <f>HYPERLINK("#'Full Results'!A1420", "1420")</f>
        <v>1420</v>
      </c>
      <c r="F157" t="s">
        <v>318</v>
      </c>
    </row>
    <row r="158" spans="3:6" x14ac:dyDescent="0.3">
      <c r="C158">
        <v>150</v>
      </c>
      <c r="D158" s="8" t="str">
        <f>HYPERLINK("#'Table 150'!A1", "How important are the following factors for why you currently participate in sport?: I’d feel bad about myself if I didn’t make the time to do it")</f>
        <v>How important are the following factors for why you currently participate in sport?: I’d feel bad about myself if I didn’t make the time to do it</v>
      </c>
      <c r="E158" s="14" t="str">
        <f>HYPERLINK("#'Full Results'!A1430", "1430")</f>
        <v>1430</v>
      </c>
      <c r="F158" t="s">
        <v>318</v>
      </c>
    </row>
    <row r="159" spans="3:6" x14ac:dyDescent="0.3">
      <c r="C159">
        <v>151</v>
      </c>
      <c r="D159" s="8" t="str">
        <f>HYPERLINK("#'Table 151'!A1", " How easy do you find it to pick up new sports?")</f>
        <v xml:space="preserve"> How easy do you find it to pick up new sports?</v>
      </c>
      <c r="E159" s="14" t="str">
        <f>HYPERLINK("#'Full Results'!A1440", "1440")</f>
        <v>1440</v>
      </c>
      <c r="F159" t="s">
        <v>241</v>
      </c>
    </row>
    <row r="160" spans="3:6" x14ac:dyDescent="0.3">
      <c r="C160">
        <v>152</v>
      </c>
      <c r="D160" s="8" t="str">
        <f>HYPERLINK("#'Table 152'!A1", " How useful are the things you've learnt from playing sports?")</f>
        <v xml:space="preserve"> How useful are the things you've learnt from playing sports?</v>
      </c>
      <c r="E160" s="14" t="str">
        <f>HYPERLINK("#'Full Results'!A1450", "1450")</f>
        <v>1450</v>
      </c>
      <c r="F160" t="s">
        <v>46</v>
      </c>
    </row>
    <row r="161" spans="3:6" x14ac:dyDescent="0.3">
      <c r="C161">
        <v>153</v>
      </c>
      <c r="D161" s="8" t="str">
        <f>HYPERLINK("#'Table 153'!A1", " Compared to the other activities and interests you have, how important do you feel it is for you to be good at sports?")</f>
        <v xml:space="preserve"> Compared to the other activities and interests you have, how important do you feel it is for you to be good at sports?</v>
      </c>
      <c r="E161" s="14" t="str">
        <f>HYPERLINK("#'Full Results'!A1460", "1460")</f>
        <v>1460</v>
      </c>
      <c r="F161" t="s">
        <v>46</v>
      </c>
    </row>
    <row r="162" spans="3:6" x14ac:dyDescent="0.3">
      <c r="C162">
        <v>154</v>
      </c>
      <c r="D162" s="8" t="str">
        <f>HYPERLINK("#'Table 154'!A1", " Compared to the other activities and interests you have, how important do you feel it is for you to get good grades?")</f>
        <v xml:space="preserve"> Compared to the other activities and interests you have, how important do you feel it is for you to get good grades?</v>
      </c>
      <c r="E162" s="14" t="str">
        <f>HYPERLINK("#'Full Results'!A1470", "1470")</f>
        <v>1470</v>
      </c>
      <c r="F162" t="s">
        <v>46</v>
      </c>
    </row>
    <row r="163" spans="3:6" x14ac:dyDescent="0.3">
      <c r="C163">
        <v>155</v>
      </c>
      <c r="D163" s="8" t="str">
        <f>HYPERLINK("#'Table 155'!A1", " And, in general, how enjoyable do you find playing sports?")</f>
        <v xml:space="preserve"> And, in general, how enjoyable do you find playing sports?</v>
      </c>
      <c r="E163" s="14" t="str">
        <f>HYPERLINK("#'Full Results'!A1480", "1480")</f>
        <v>1480</v>
      </c>
      <c r="F163" t="s">
        <v>46</v>
      </c>
    </row>
    <row r="164" spans="3:6" x14ac:dyDescent="0.3">
      <c r="C164">
        <v>156</v>
      </c>
      <c r="D164" s="8" t="str">
        <f>HYPERLINK("#'Table 156'!A1", "Grid Summary: To what extent do you agree with the following statements regarding your experiences with sports at school?")</f>
        <v>Grid Summary: To what extent do you agree with the following statements regarding your experiences with sports at school?</v>
      </c>
      <c r="E164" s="7"/>
      <c r="F164" t="s">
        <v>46</v>
      </c>
    </row>
    <row r="165" spans="3:6" x14ac:dyDescent="0.3">
      <c r="C165">
        <v>157</v>
      </c>
      <c r="D165" s="8" t="str">
        <f>HYPERLINK("#'Table 157'!A1", "To what extent do you agree with the following statements regarding your experiences with sports at school?: I find it hard to balance playing sport with studying")</f>
        <v>To what extent do you agree with the following statements regarding your experiences with sports at school?: I find it hard to balance playing sport with studying</v>
      </c>
      <c r="E165" s="14" t="str">
        <f>HYPERLINK("#'Full Results'!A1490", "1490")</f>
        <v>1490</v>
      </c>
      <c r="F165" t="s">
        <v>46</v>
      </c>
    </row>
    <row r="166" spans="3:6" x14ac:dyDescent="0.3">
      <c r="C166">
        <v>158</v>
      </c>
      <c r="D166" s="8" t="str">
        <f>HYPERLINK("#'Table 158'!A1", "To what extent do you agree with the following statements regarding your experiences with sports at school?: I find it hard to balance playing sport with maintaining relationships with friends and family")</f>
        <v>To what extent do you agree with the following statements regarding your experiences with sports at school?: I find it hard to balance playing sport with maintaining relationships with friends and family</v>
      </c>
      <c r="E166" s="14" t="str">
        <f>HYPERLINK("#'Full Results'!A1502", "1502")</f>
        <v>1502</v>
      </c>
      <c r="F166" t="s">
        <v>46</v>
      </c>
    </row>
    <row r="167" spans="3:6" x14ac:dyDescent="0.3">
      <c r="C167">
        <v>159</v>
      </c>
      <c r="D167" s="8" t="str">
        <f>HYPERLINK("#'Table 159'!A1", "To what extent do you agree with the following statements regarding your experiences with sports at school?: I find it hard to balance playing sport with taking part in my other hobbies and interests")</f>
        <v>To what extent do you agree with the following statements regarding your experiences with sports at school?: I find it hard to balance playing sport with taking part in my other hobbies and interests</v>
      </c>
      <c r="E167" s="14" t="str">
        <f>HYPERLINK("#'Full Results'!A1514", "1514")</f>
        <v>1514</v>
      </c>
      <c r="F167" t="s">
        <v>46</v>
      </c>
    </row>
    <row r="168" spans="3:6" x14ac:dyDescent="0.3">
      <c r="C168">
        <v>160</v>
      </c>
      <c r="D168" s="8" t="str">
        <f>HYPERLINK("#'Table 160'!A1", "To what extent do you agree with the following statements regarding your experiences with sports at school?: I have been put off playing sport by my experiences at secondary school")</f>
        <v>To what extent do you agree with the following statements regarding your experiences with sports at school?: I have been put off playing sport by my experiences at secondary school</v>
      </c>
      <c r="E168" s="14" t="str">
        <f>HYPERLINK("#'Full Results'!A1526", "1526")</f>
        <v>1526</v>
      </c>
      <c r="F168" t="s">
        <v>46</v>
      </c>
    </row>
    <row r="169" spans="3:6" x14ac:dyDescent="0.3">
      <c r="C169">
        <v>161</v>
      </c>
      <c r="D169" s="8" t="str">
        <f>HYPERLINK("#'Table 161'!A1", "Grid Summary: You said you play less sport now than you did in your first year of secondary school, how important are the following reasons for this?")</f>
        <v>Grid Summary: You said you play less sport now than you did in your first year of secondary school, how important are the following reasons for this?</v>
      </c>
      <c r="E169" s="7"/>
      <c r="F169" t="s">
        <v>474</v>
      </c>
    </row>
    <row r="170" spans="3:6" x14ac:dyDescent="0.3">
      <c r="C170">
        <v>162</v>
      </c>
      <c r="D170" s="8" t="str">
        <f>HYPERLINK("#'Table 162'!A1", "You said you play less sport now than you did in your first year of secondary school, how important are the following reasons for this?: I didn’t think I was good enough")</f>
        <v>You said you play less sport now than you did in your first year of secondary school, how important are the following reasons for this?: I didn’t think I was good enough</v>
      </c>
      <c r="E170" s="14" t="str">
        <f>HYPERLINK("#'Full Results'!A1538", "1538")</f>
        <v>1538</v>
      </c>
      <c r="F170" t="s">
        <v>474</v>
      </c>
    </row>
    <row r="171" spans="3:6" x14ac:dyDescent="0.3">
      <c r="C171">
        <v>163</v>
      </c>
      <c r="D171" s="8" t="str">
        <f>HYPERLINK("#'Table 163'!A1", "You said you play less sport now than you did in your first year of secondary school, how important are the following reasons for this?: The sports became too competitive")</f>
        <v>You said you play less sport now than you did in your first year of secondary school, how important are the following reasons for this?: The sports became too competitive</v>
      </c>
      <c r="E171" s="14" t="str">
        <f>HYPERLINK("#'Full Results'!A1548", "1548")</f>
        <v>1548</v>
      </c>
      <c r="F171" t="s">
        <v>474</v>
      </c>
    </row>
    <row r="172" spans="3:6" x14ac:dyDescent="0.3">
      <c r="C172">
        <v>164</v>
      </c>
      <c r="D172" s="8" t="str">
        <f>HYPERLINK("#'Table 164'!A1", "You said you play less sport now than you did in your first year of secondary school, how important are the following reasons for this?: The sports became too expensive to play")</f>
        <v>You said you play less sport now than you did in your first year of secondary school, how important are the following reasons for this?: The sports became too expensive to play</v>
      </c>
      <c r="E172" s="14" t="str">
        <f>HYPERLINK("#'Full Results'!A1558", "1558")</f>
        <v>1558</v>
      </c>
      <c r="F172" t="s">
        <v>474</v>
      </c>
    </row>
    <row r="173" spans="3:6" x14ac:dyDescent="0.3">
      <c r="C173">
        <v>165</v>
      </c>
      <c r="D173" s="8" t="str">
        <f>HYPERLINK("#'Table 165'!A1", "You said you play less sport now than you did in your first year of secondary school, how important are the following reasons for this?: Schoolwork became too demanding")</f>
        <v>You said you play less sport now than you did in your first year of secondary school, how important are the following reasons for this?: Schoolwork became too demanding</v>
      </c>
      <c r="E173" s="14" t="str">
        <f>HYPERLINK("#'Full Results'!A1568", "1568")</f>
        <v>1568</v>
      </c>
      <c r="F173" t="s">
        <v>474</v>
      </c>
    </row>
    <row r="174" spans="3:6" x14ac:dyDescent="0.3">
      <c r="C174">
        <v>166</v>
      </c>
      <c r="D174" s="8" t="str">
        <f>HYPERLINK("#'Table 166'!A1", "You said you play less sport now than you did in your first year of secondary school, how important are the following reasons for this?: The sports took up too much of my time")</f>
        <v>You said you play less sport now than you did in your first year of secondary school, how important are the following reasons for this?: The sports took up too much of my time</v>
      </c>
      <c r="E174" s="14" t="str">
        <f>HYPERLINK("#'Full Results'!A1578", "1578")</f>
        <v>1578</v>
      </c>
      <c r="F174" t="s">
        <v>474</v>
      </c>
    </row>
    <row r="175" spans="3:6" x14ac:dyDescent="0.3">
      <c r="C175">
        <v>167</v>
      </c>
      <c r="D175" s="8" t="str">
        <f>HYPERLINK("#'Table 167'!A1", "You said you play less sport now than you did in your first year of secondary school, how important are the following reasons for this?: I didn’t like the other people involved")</f>
        <v>You said you play less sport now than you did in your first year of secondary school, how important are the following reasons for this?: I didn’t like the other people involved</v>
      </c>
      <c r="E175" s="14" t="str">
        <f>HYPERLINK("#'Full Results'!A1588", "1588")</f>
        <v>1588</v>
      </c>
      <c r="F175" t="s">
        <v>474</v>
      </c>
    </row>
    <row r="176" spans="3:6" x14ac:dyDescent="0.3">
      <c r="C176">
        <v>168</v>
      </c>
      <c r="D176" s="8" t="str">
        <f>HYPERLINK("#'Table 168'!A1", "You said you play less sport now than you did in your first year of secondary school, how important are the following reasons for this?: My friends stopped playing")</f>
        <v>You said you play less sport now than you did in your first year of secondary school, how important are the following reasons for this?: My friends stopped playing</v>
      </c>
      <c r="E176" s="14" t="str">
        <f>HYPERLINK("#'Full Results'!A1598", "1598")</f>
        <v>1598</v>
      </c>
      <c r="F176" t="s">
        <v>474</v>
      </c>
    </row>
    <row r="177" spans="3:6" x14ac:dyDescent="0.3">
      <c r="C177">
        <v>169</v>
      </c>
      <c r="D177" s="8" t="str">
        <f>HYPERLINK("#'Table 169'!A1", "You said you play less sport now than you did in your first year of secondary school, how important are the following reasons for this?: The sports became too tiring")</f>
        <v>You said you play less sport now than you did in your first year of secondary school, how important are the following reasons for this?: The sports became too tiring</v>
      </c>
      <c r="E177" s="14" t="str">
        <f>HYPERLINK("#'Full Results'!A1608", "1608")</f>
        <v>1608</v>
      </c>
      <c r="F177" t="s">
        <v>474</v>
      </c>
    </row>
    <row r="178" spans="3:6" x14ac:dyDescent="0.3">
      <c r="C178">
        <v>170</v>
      </c>
      <c r="D178" s="8" t="str">
        <f>HYPERLINK("#'Table 170'!A1", "You said you play less sport now than you did in your first year of secondary school, how important are the following reasons for this?: It became less fun")</f>
        <v>You said you play less sport now than you did in your first year of secondary school, how important are the following reasons for this?: It became less fun</v>
      </c>
      <c r="E178" s="14" t="str">
        <f>HYPERLINK("#'Full Results'!A1618", "1618")</f>
        <v>1618</v>
      </c>
      <c r="F178" t="s">
        <v>474</v>
      </c>
    </row>
    <row r="179" spans="3:6" x14ac:dyDescent="0.3">
      <c r="C179">
        <v>171</v>
      </c>
      <c r="D179" s="8" t="str">
        <f>HYPERLINK("#'Table 171'!A1", "You said you play less sport now than you did in your first year of secondary school, how important are the following reasons for this?: I had an injury")</f>
        <v>You said you play less sport now than you did in your first year of secondary school, how important are the following reasons for this?: I had an injury</v>
      </c>
      <c r="E179" s="14" t="str">
        <f>HYPERLINK("#'Full Results'!A1628", "1628")</f>
        <v>1628</v>
      </c>
      <c r="F179" t="s">
        <v>474</v>
      </c>
    </row>
    <row r="180" spans="3:6" x14ac:dyDescent="0.3">
      <c r="C180">
        <v>172</v>
      </c>
      <c r="D180" s="8" t="str">
        <f>HYPERLINK("#'Table 172'!A1", "Grid Summary: You said you play less sport now than you did in your first year of secondary school, how important are the following reasons for this?")</f>
        <v>Grid Summary: You said you play less sport now than you did in your first year of secondary school, how important are the following reasons for this?</v>
      </c>
      <c r="E180" s="7"/>
      <c r="F180" t="s">
        <v>474</v>
      </c>
    </row>
    <row r="181" spans="3:6" x14ac:dyDescent="0.3">
      <c r="C181">
        <v>173</v>
      </c>
      <c r="D181" s="8" t="str">
        <f>HYPERLINK("#'Table 173'!A1", "You said you play less sport now than you did in your first year of secondary school, how important are the following reasons for this?: I was scared of hurting myself")</f>
        <v>You said you play less sport now than you did in your first year of secondary school, how important are the following reasons for this?: I was scared of hurting myself</v>
      </c>
      <c r="E181" s="14" t="str">
        <f>HYPERLINK("#'Full Results'!A1638", "1638")</f>
        <v>1638</v>
      </c>
      <c r="F181" t="s">
        <v>474</v>
      </c>
    </row>
    <row r="182" spans="3:6" x14ac:dyDescent="0.3">
      <c r="C182">
        <v>174</v>
      </c>
      <c r="D182" s="8" t="str">
        <f>HYPERLINK("#'Table 174'!A1", "You said you play less sport now than you did in your first year of secondary school, how important are the following reasons for this?: The facilities weren’t very nice")</f>
        <v>You said you play less sport now than you did in your first year of secondary school, how important are the following reasons for this?: The facilities weren’t very nice</v>
      </c>
      <c r="E182" s="14" t="str">
        <f>HYPERLINK("#'Full Results'!A1648", "1648")</f>
        <v>1648</v>
      </c>
      <c r="F182" t="s">
        <v>474</v>
      </c>
    </row>
    <row r="183" spans="3:6" x14ac:dyDescent="0.3">
      <c r="C183">
        <v>175</v>
      </c>
      <c r="D183" s="8" t="str">
        <f>HYPERLINK("#'Table 175'!A1", "You said you play less sport now than you did in your first year of secondary school, how important are the following reasons for this?: I didn’t feel comfortable in the kit")</f>
        <v>You said you play less sport now than you did in your first year of secondary school, how important are the following reasons for this?: I didn’t feel comfortable in the kit</v>
      </c>
      <c r="E183" s="14" t="str">
        <f>HYPERLINK("#'Full Results'!A1658", "1658")</f>
        <v>1658</v>
      </c>
      <c r="F183" t="s">
        <v>474</v>
      </c>
    </row>
    <row r="184" spans="3:6" x14ac:dyDescent="0.3">
      <c r="C184">
        <v>176</v>
      </c>
      <c r="D184" s="8" t="str">
        <f>HYPERLINK("#'Table 176'!A1", "You said you play less sport now than you did in your first year of secondary school, how important are the following reasons for this?: I didn’t feel confident in my appearance")</f>
        <v>You said you play less sport now than you did in your first year of secondary school, how important are the following reasons for this?: I didn’t feel confident in my appearance</v>
      </c>
      <c r="E184" s="14" t="str">
        <f>HYPERLINK("#'Full Results'!A1668", "1668")</f>
        <v>1668</v>
      </c>
      <c r="F184" t="s">
        <v>474</v>
      </c>
    </row>
    <row r="185" spans="3:6" x14ac:dyDescent="0.3">
      <c r="C185">
        <v>177</v>
      </c>
      <c r="D185" s="8" t="str">
        <f>HYPERLINK("#'Table 177'!A1", "You said you play less sport now than you did in your first year of secondary school, how important are the following reasons for this?: My preferred sports were no longer available locally")</f>
        <v>You said you play less sport now than you did in your first year of secondary school, how important are the following reasons for this?: My preferred sports were no longer available locally</v>
      </c>
      <c r="E185" s="14" t="str">
        <f>HYPERLINK("#'Full Results'!A1678", "1678")</f>
        <v>1678</v>
      </c>
      <c r="F185" t="s">
        <v>474</v>
      </c>
    </row>
    <row r="186" spans="3:6" x14ac:dyDescent="0.3">
      <c r="C186">
        <v>178</v>
      </c>
      <c r="D186" s="8" t="str">
        <f>HYPERLINK("#'Table 178'!A1", "You said you play less sport now than you did in your first year of secondary school, how important are the following reasons for this?: My family weren’t very supportive")</f>
        <v>You said you play less sport now than you did in your first year of secondary school, how important are the following reasons for this?: My family weren’t very supportive</v>
      </c>
      <c r="E186" s="14" t="str">
        <f>HYPERLINK("#'Full Results'!A1688", "1688")</f>
        <v>1688</v>
      </c>
      <c r="F186" t="s">
        <v>474</v>
      </c>
    </row>
    <row r="187" spans="3:6" x14ac:dyDescent="0.3">
      <c r="C187">
        <v>179</v>
      </c>
      <c r="D187" s="8" t="str">
        <f>HYPERLINK("#'Table 179'!A1", "You said you play less sport now than you did in your first year of secondary school, how important are the following reasons for this?: My teachers/coaches weren’t very supportive")</f>
        <v>You said you play less sport now than you did in your first year of secondary school, how important are the following reasons for this?: My teachers/coaches weren’t very supportive</v>
      </c>
      <c r="E187" s="14" t="str">
        <f>HYPERLINK("#'Full Results'!A1698", "1698")</f>
        <v>1698</v>
      </c>
      <c r="F187" t="s">
        <v>474</v>
      </c>
    </row>
    <row r="188" spans="3:6" x14ac:dyDescent="0.3">
      <c r="C188">
        <v>180</v>
      </c>
      <c r="D188" s="8" t="str">
        <f>HYPERLINK("#'Table 180'!A1", "You said you play less sport now than you did in your first year of secondary school, how important are the following reasons for this?: I didn’t feel safe at practices")</f>
        <v>You said you play less sport now than you did in your first year of secondary school, how important are the following reasons for this?: I didn’t feel safe at practices</v>
      </c>
      <c r="E188" s="14" t="str">
        <f>HYPERLINK("#'Full Results'!A1708", "1708")</f>
        <v>1708</v>
      </c>
      <c r="F188" t="s">
        <v>474</v>
      </c>
    </row>
    <row r="189" spans="3:6" x14ac:dyDescent="0.3">
      <c r="C189">
        <v>181</v>
      </c>
      <c r="D189" s="8" t="str">
        <f>HYPERLINK("#'Table 181'!A1", "Grid Summary: The next set of questions are about your local area. To what extent do the following statements describe where you live?")</f>
        <v>Grid Summary: The next set of questions are about your local area. To what extent do the following statements describe where you live?</v>
      </c>
      <c r="E189" s="7"/>
      <c r="F189" t="s">
        <v>46</v>
      </c>
    </row>
    <row r="190" spans="3:6" x14ac:dyDescent="0.3">
      <c r="C190">
        <v>182</v>
      </c>
      <c r="D190" s="8" t="str">
        <f>HYPERLINK("#'Table 182'!A1", "The next set of questions are about your local area. To what extent do the following statements describe where you live?: In the area I live in, there are sports facilities that are always accessible (e.g. football pitches, basketball courts, etc)")</f>
        <v>The next set of questions are about your local area. To what extent do the following statements describe where you live?: In the area I live in, there are sports facilities that are always accessible (e.g. football pitches, basketball courts, etc)</v>
      </c>
      <c r="E190" s="14" t="str">
        <f>HYPERLINK("#'Full Results'!A1718", "1718")</f>
        <v>1718</v>
      </c>
      <c r="F190" t="s">
        <v>46</v>
      </c>
    </row>
    <row r="191" spans="3:6" x14ac:dyDescent="0.3">
      <c r="C191">
        <v>183</v>
      </c>
      <c r="D191" s="8" t="str">
        <f>HYPERLINK("#'Table 183'!A1", "The next set of questions are about your local area. To what extent do the following statements describe where you live?: In the area I live in, there are playgrounds")</f>
        <v>The next set of questions are about your local area. To what extent do the following statements describe where you live?: In the area I live in, there are playgrounds</v>
      </c>
      <c r="E191" s="14" t="str">
        <f>HYPERLINK("#'Full Results'!A1730", "1730")</f>
        <v>1730</v>
      </c>
      <c r="F191" t="s">
        <v>46</v>
      </c>
    </row>
    <row r="192" spans="3:6" x14ac:dyDescent="0.3">
      <c r="C192">
        <v>184</v>
      </c>
      <c r="D192" s="8" t="str">
        <f>HYPERLINK("#'Table 184'!A1", "The next set of questions are about your local area. To what extent do the following statements describe where you live?: In the area I live in, there are sports clubs")</f>
        <v>The next set of questions are about your local area. To what extent do the following statements describe where you live?: In the area I live in, there are sports clubs</v>
      </c>
      <c r="E192" s="14" t="str">
        <f>HYPERLINK("#'Full Results'!A1742", "1742")</f>
        <v>1742</v>
      </c>
      <c r="F192" t="s">
        <v>46</v>
      </c>
    </row>
    <row r="193" spans="3:6" x14ac:dyDescent="0.3">
      <c r="C193">
        <v>185</v>
      </c>
      <c r="D193" s="8" t="str">
        <f>HYPERLINK("#'Table 185'!A1", "The next set of questions are about your local area. To what extent do the following statements describe where you live?: In the area I live in, there are commercial sport providers (e.g., fitness clubs)")</f>
        <v>The next set of questions are about your local area. To what extent do the following statements describe where you live?: In the area I live in, there are commercial sport providers (e.g., fitness clubs)</v>
      </c>
      <c r="E193" s="14" t="str">
        <f>HYPERLINK("#'Full Results'!A1754", "1754")</f>
        <v>1754</v>
      </c>
      <c r="F193" t="s">
        <v>46</v>
      </c>
    </row>
    <row r="194" spans="3:6" x14ac:dyDescent="0.3">
      <c r="C194">
        <v>186</v>
      </c>
      <c r="D194" s="8" t="str">
        <f>HYPERLINK("#'Table 186'!A1", "Grid Summary: To what extent do you agree or disagree with the following statements?")</f>
        <v>Grid Summary: To what extent do you agree or disagree with the following statements?</v>
      </c>
      <c r="E194" s="7"/>
      <c r="F194" t="s">
        <v>46</v>
      </c>
    </row>
    <row r="195" spans="3:6" x14ac:dyDescent="0.3">
      <c r="C195">
        <v>187</v>
      </c>
      <c r="D195" s="8" t="str">
        <f>HYPERLINK("#'Table 187'!A1", "To what extent do you agree or disagree with the following statements?: When I was growing up, the adults in my life thought it was normal for girls to play sport")</f>
        <v>To what extent do you agree or disagree with the following statements?: When I was growing up, the adults in my life thought it was normal for girls to play sport</v>
      </c>
      <c r="E195" s="14" t="str">
        <f>HYPERLINK("#'Full Results'!A1766", "1766")</f>
        <v>1766</v>
      </c>
      <c r="F195" t="s">
        <v>46</v>
      </c>
    </row>
    <row r="196" spans="3:6" x14ac:dyDescent="0.3">
      <c r="C196">
        <v>188</v>
      </c>
      <c r="D196" s="8" t="str">
        <f>HYPERLINK("#'Table 188'!A1", "To what extent do you agree or disagree with the following statements?: I remember being aware of professional female athletes as a child")</f>
        <v>To what extent do you agree or disagree with the following statements?: I remember being aware of professional female athletes as a child</v>
      </c>
      <c r="E196" s="14" t="str">
        <f>HYPERLINK("#'Full Results'!A1778", "1778")</f>
        <v>1778</v>
      </c>
      <c r="F196" t="s">
        <v>46</v>
      </c>
    </row>
    <row r="197" spans="3:6" x14ac:dyDescent="0.3">
      <c r="C197">
        <v>189</v>
      </c>
      <c r="D197" s="8" t="str">
        <f>HYPERLINK("#'Table 189'!A1", "To what extent do you agree or disagree with the following statements?: Adult women in my family participated in sports while I was growing up")</f>
        <v>To what extent do you agree or disagree with the following statements?: Adult women in my family participated in sports while I was growing up</v>
      </c>
      <c r="E197" s="14" t="str">
        <f>HYPERLINK("#'Full Results'!A1790", "1790")</f>
        <v>1790</v>
      </c>
      <c r="F197" t="s">
        <v>46</v>
      </c>
    </row>
    <row r="198" spans="3:6" x14ac:dyDescent="0.3">
      <c r="C198">
        <v>190</v>
      </c>
      <c r="D198" s="8" t="str">
        <f>HYPERLINK("#'Table 190'!A1", "To what extent do you agree or disagree with the following statements?: My family’s customs or religion made it difficult for girls to participate in sport")</f>
        <v>To what extent do you agree or disagree with the following statements?: My family’s customs or religion made it difficult for girls to participate in sport</v>
      </c>
      <c r="E198" s="14" t="str">
        <f>HYPERLINK("#'Full Results'!A1802", "1802")</f>
        <v>1802</v>
      </c>
      <c r="F198" t="s">
        <v>46</v>
      </c>
    </row>
    <row r="199" spans="3:6" x14ac:dyDescent="0.3">
      <c r="C199">
        <v>191</v>
      </c>
      <c r="D199" s="8" t="str">
        <f>HYPERLINK("#'Table 191'!A1", "To what extent do you agree or disagree with the following statements?: The adults in my family did not encourage the girls to participate in sport")</f>
        <v>To what extent do you agree or disagree with the following statements?: The adults in my family did not encourage the girls to participate in sport</v>
      </c>
      <c r="E199" s="14" t="str">
        <f>HYPERLINK("#'Full Results'!A1814", "1814")</f>
        <v>1814</v>
      </c>
      <c r="F199" t="s">
        <v>46</v>
      </c>
    </row>
    <row r="200" spans="3:6" x14ac:dyDescent="0.3">
      <c r="C200">
        <v>192</v>
      </c>
      <c r="D200" s="8" t="str">
        <f>HYPERLINK("#'Table 192'!A1", "To what extent do you agree or disagree with the following statements?: I was taught that sport wasn’t for girls")</f>
        <v>To what extent do you agree or disagree with the following statements?: I was taught that sport wasn’t for girls</v>
      </c>
      <c r="E200" s="14" t="str">
        <f>HYPERLINK("#'Full Results'!A1826", "1826")</f>
        <v>1826</v>
      </c>
      <c r="F200" t="s">
        <v>46</v>
      </c>
    </row>
    <row r="201" spans="3:6" x14ac:dyDescent="0.3">
      <c r="C201">
        <v>193</v>
      </c>
      <c r="D201" s="8" t="str">
        <f>HYPERLINK("#'Table 193'!A1", "To what extent do you agree or disagree with the following statements?: People like me are not meant to play sport")</f>
        <v>To what extent do you agree or disagree with the following statements?: People like me are not meant to play sport</v>
      </c>
      <c r="E201" s="14" t="str">
        <f>HYPERLINK("#'Full Results'!A1838", "1838")</f>
        <v>1838</v>
      </c>
      <c r="F201" t="s">
        <v>46</v>
      </c>
    </row>
    <row r="202" spans="3:6" x14ac:dyDescent="0.3">
      <c r="C202">
        <v>194</v>
      </c>
      <c r="D202" s="8" t="str">
        <f>HYPERLINK("#'Table 194'!A1", "Grid Summary: To what extent do you agree or disagree with the following statements?")</f>
        <v>Grid Summary: To what extent do you agree or disagree with the following statements?</v>
      </c>
      <c r="E202" s="7"/>
      <c r="F202" t="s">
        <v>46</v>
      </c>
    </row>
    <row r="203" spans="3:6" x14ac:dyDescent="0.3">
      <c r="C203">
        <v>195</v>
      </c>
      <c r="D203" s="8" t="str">
        <f>HYPERLINK("#'Table 195'!A1", "To what extent do you agree or disagree with the following statements?: Social media has inspired me to do more exercise")</f>
        <v>To what extent do you agree or disagree with the following statements?: Social media has inspired me to do more exercise</v>
      </c>
      <c r="E203" s="14" t="str">
        <f>HYPERLINK("#'Full Results'!A1850", "1850")</f>
        <v>1850</v>
      </c>
      <c r="F203" t="s">
        <v>46</v>
      </c>
    </row>
    <row r="204" spans="3:6" x14ac:dyDescent="0.3">
      <c r="C204">
        <v>196</v>
      </c>
      <c r="D204" s="8" t="str">
        <f>HYPERLINK("#'Table 196'!A1", "To what extent do you agree or disagree with the following statements?: Social media makes me feel more self conscious about my appearance")</f>
        <v>To what extent do you agree or disagree with the following statements?: Social media makes me feel more self conscious about my appearance</v>
      </c>
      <c r="E204" s="14" t="str">
        <f>HYPERLINK("#'Full Results'!A1862", "1862")</f>
        <v>1862</v>
      </c>
      <c r="F204" t="s">
        <v>46</v>
      </c>
    </row>
    <row r="205" spans="3:6" x14ac:dyDescent="0.3">
      <c r="C205">
        <v>197</v>
      </c>
      <c r="D205" s="8" t="str">
        <f>HYPERLINK("#'Table 197'!A1", "To what extent do you agree or disagree with the following statements?: I enjoy following professional athletes on social media")</f>
        <v>To what extent do you agree or disagree with the following statements?: I enjoy following professional athletes on social media</v>
      </c>
      <c r="E205" s="14" t="str">
        <f>HYPERLINK("#'Full Results'!A1874", "1874")</f>
        <v>1874</v>
      </c>
      <c r="F205" t="s">
        <v>46</v>
      </c>
    </row>
    <row r="206" spans="3:6" x14ac:dyDescent="0.3">
      <c r="C206">
        <v>198</v>
      </c>
      <c r="D206" s="8" t="str">
        <f>HYPERLINK("#'Table 198'!A1", "To what extent do you agree or disagree with the following statements?: Social media has introduced me to new athletes and sports")</f>
        <v>To what extent do you agree or disagree with the following statements?: Social media has introduced me to new athletes and sports</v>
      </c>
      <c r="E206" s="14" t="str">
        <f>HYPERLINK("#'Full Results'!A1886", "1886")</f>
        <v>1886</v>
      </c>
      <c r="F206" t="s">
        <v>46</v>
      </c>
    </row>
    <row r="207" spans="3:6" x14ac:dyDescent="0.3">
      <c r="C207">
        <v>199</v>
      </c>
      <c r="D207" s="8" t="str">
        <f>HYPERLINK("#'Table 199'!A1", "To what extent do you agree or disagree with the following statements?: I worry about people making fun of me on social media")</f>
        <v>To what extent do you agree or disagree with the following statements?: I worry about people making fun of me on social media</v>
      </c>
      <c r="E207" s="14" t="str">
        <f>HYPERLINK("#'Full Results'!A1898", "1898")</f>
        <v>1898</v>
      </c>
      <c r="F207" t="s">
        <v>46</v>
      </c>
    </row>
    <row r="208" spans="3:6" x14ac:dyDescent="0.3">
      <c r="C208">
        <v>200</v>
      </c>
      <c r="D208" s="8" t="str">
        <f>HYPERLINK("#'Table 200'!A1", "To what extent do you agree or disagree with the following statements?: Social media makes me feel like I’m not good enough")</f>
        <v>To what extent do you agree or disagree with the following statements?: Social media makes me feel like I’m not good enough</v>
      </c>
      <c r="E208" s="14" t="str">
        <f>HYPERLINK("#'Full Results'!A1910", "1910")</f>
        <v>1910</v>
      </c>
      <c r="F208" t="s">
        <v>46</v>
      </c>
    </row>
    <row r="209" spans="3:6" x14ac:dyDescent="0.3">
      <c r="C209">
        <v>201</v>
      </c>
      <c r="D209" s="8" t="str">
        <f>HYPERLINK("#'Table 201'!A1", "Grid Summary: Would the following factors make you more or less likely to consider playing sports more often?")</f>
        <v>Grid Summary: Would the following factors make you more or less likely to consider playing sports more often?</v>
      </c>
      <c r="E209" s="7"/>
      <c r="F209" t="s">
        <v>46</v>
      </c>
    </row>
    <row r="210" spans="3:6" x14ac:dyDescent="0.3">
      <c r="C210">
        <v>202</v>
      </c>
      <c r="D210" s="8" t="str">
        <f>HYPERLINK("#'Table 202'!A1", "Would the following factors make you more or less likely to consider playing sports more often?: If I was more confident in my abilities")</f>
        <v>Would the following factors make you more or less likely to consider playing sports more often?: If I was more confident in my abilities</v>
      </c>
      <c r="E210" s="14" t="str">
        <f>HYPERLINK("#'Full Results'!A1922", "1922")</f>
        <v>1922</v>
      </c>
      <c r="F210" t="s">
        <v>46</v>
      </c>
    </row>
    <row r="211" spans="3:6" x14ac:dyDescent="0.3">
      <c r="C211">
        <v>203</v>
      </c>
      <c r="D211" s="8" t="str">
        <f>HYPERLINK("#'Table 203'!A1", "Would the following factors make you more or less likely to consider playing sports more often?: If there was a greater variety of sports available for me to play")</f>
        <v>Would the following factors make you more or less likely to consider playing sports more often?: If there was a greater variety of sports available for me to play</v>
      </c>
      <c r="E211" s="14" t="str">
        <f>HYPERLINK("#'Full Results'!A1930", "1930")</f>
        <v>1930</v>
      </c>
      <c r="F211" t="s">
        <v>46</v>
      </c>
    </row>
    <row r="212" spans="3:6" x14ac:dyDescent="0.3">
      <c r="C212">
        <v>204</v>
      </c>
      <c r="D212" s="8" t="str">
        <f>HYPERLINK("#'Table 204'!A1", "Would the following factors make you more or less likely to consider playing sports more often?: If there were single-sex sessions or spaces")</f>
        <v>Would the following factors make you more or less likely to consider playing sports more often?: If there were single-sex sessions or spaces</v>
      </c>
      <c r="E212" s="14" t="str">
        <f>HYPERLINK("#'Full Results'!A1938", "1938")</f>
        <v>1938</v>
      </c>
      <c r="F212" t="s">
        <v>46</v>
      </c>
    </row>
    <row r="213" spans="3:6" x14ac:dyDescent="0.3">
      <c r="C213">
        <v>205</v>
      </c>
      <c r="D213" s="8" t="str">
        <f>HYPERLINK("#'Table 205'!A1", "Would the following factors make you more or less likely to consider playing sports more often?: If I was assured to not get injured")</f>
        <v>Would the following factors make you more or less likely to consider playing sports more often?: If I was assured to not get injured</v>
      </c>
      <c r="E213" s="14" t="str">
        <f>HYPERLINK("#'Full Results'!A1946", "1946")</f>
        <v>1946</v>
      </c>
      <c r="F213" t="s">
        <v>46</v>
      </c>
    </row>
    <row r="214" spans="3:6" x14ac:dyDescent="0.3">
      <c r="C214">
        <v>206</v>
      </c>
      <c r="D214" s="8" t="str">
        <f>HYPERLINK("#'Table 206'!A1", "Would the following factors make you more or less likely to consider playing sports more often?: If my friends played more often")</f>
        <v>Would the following factors make you more or less likely to consider playing sports more often?: If my friends played more often</v>
      </c>
      <c r="E214" s="14" t="str">
        <f>HYPERLINK("#'Full Results'!A1954", "1954")</f>
        <v>1954</v>
      </c>
      <c r="F214" t="s">
        <v>46</v>
      </c>
    </row>
    <row r="215" spans="3:6" x14ac:dyDescent="0.3">
      <c r="C215">
        <v>207</v>
      </c>
      <c r="D215" s="8" t="str">
        <f>HYPERLINK("#'Table 207'!A1", "Would the following factors make you more or less likely to consider playing sports more often?: If the sport facilities were better quality")</f>
        <v>Would the following factors make you more or less likely to consider playing sports more often?: If the sport facilities were better quality</v>
      </c>
      <c r="E215" s="14" t="str">
        <f>HYPERLINK("#'Full Results'!A1962", "1962")</f>
        <v>1962</v>
      </c>
      <c r="F215" t="s">
        <v>46</v>
      </c>
    </row>
    <row r="216" spans="3:6" x14ac:dyDescent="0.3">
      <c r="C216">
        <v>208</v>
      </c>
      <c r="D216" s="8" t="str">
        <f>HYPERLINK("#'Table 208'!A1", "Would the following factors make you more or less likely to consider playing sports more often?: Having easier access to facilities")</f>
        <v>Would the following factors make you more or less likely to consider playing sports more often?: Having easier access to facilities</v>
      </c>
      <c r="E216" s="14" t="str">
        <f>HYPERLINK("#'Full Results'!A1970", "1970")</f>
        <v>1970</v>
      </c>
      <c r="F216" t="s">
        <v>46</v>
      </c>
    </row>
    <row r="217" spans="3:6" x14ac:dyDescent="0.3">
      <c r="C217">
        <v>209</v>
      </c>
      <c r="D217" s="8" t="str">
        <f>HYPERLINK("#'Table 209'!A1", "Would the following factors make you more or less likely to consider playing sports more often?: If I saw more female role models")</f>
        <v>Would the following factors make you more or less likely to consider playing sports more often?: If I saw more female role models</v>
      </c>
      <c r="E217" s="14" t="str">
        <f>HYPERLINK("#'Full Results'!A1978", "1978")</f>
        <v>1978</v>
      </c>
      <c r="F217" t="s">
        <v>46</v>
      </c>
    </row>
    <row r="218" spans="3:6" x14ac:dyDescent="0.3">
      <c r="C218">
        <v>210</v>
      </c>
      <c r="D218" s="8" t="str">
        <f>HYPERLINK("#'Table 210'!A1", "Would the following factors make you more or less likely to consider playing sports more often?: If there were more options for me to play sport as a career")</f>
        <v>Would the following factors make you more or less likely to consider playing sports more often?: If there were more options for me to play sport as a career</v>
      </c>
      <c r="E218" s="14" t="str">
        <f>HYPERLINK("#'Full Results'!A1986", "1986")</f>
        <v>1986</v>
      </c>
      <c r="F218" t="s">
        <v>46</v>
      </c>
    </row>
    <row r="219" spans="3:6" x14ac:dyDescent="0.3">
      <c r="C219">
        <v>211</v>
      </c>
      <c r="D219" s="8" t="str">
        <f>HYPERLINK("#'Table 211'!A1", "Would the following factors make you more or less likely to consider playing sports more often?: If the teachers and coaches were more supportive")</f>
        <v>Would the following factors make you more or less likely to consider playing sports more often?: If the teachers and coaches were more supportive</v>
      </c>
      <c r="E219" s="14" t="str">
        <f>HYPERLINK("#'Full Results'!A1994", "1994")</f>
        <v>1994</v>
      </c>
      <c r="F219" t="s">
        <v>46</v>
      </c>
    </row>
    <row r="220" spans="3:6" x14ac:dyDescent="0.3">
      <c r="C220">
        <v>212</v>
      </c>
      <c r="D220" s="8" t="str">
        <f>HYPERLINK("#'Table 212'!A1", "Would the following factors make you more or less likely to consider playing sports more often?: If sports uniforms were more comfortable")</f>
        <v>Would the following factors make you more or less likely to consider playing sports more often?: If sports uniforms were more comfortable</v>
      </c>
      <c r="E220" s="14" t="str">
        <f>HYPERLINK("#'Full Results'!A2002", "2002")</f>
        <v>2002</v>
      </c>
      <c r="F220" t="s">
        <v>46</v>
      </c>
    </row>
    <row r="221" spans="3:6" x14ac:dyDescent="0.3">
      <c r="C221">
        <v>213</v>
      </c>
      <c r="D221" s="8" t="str">
        <f>HYPERLINK("#'Table 213'!A1", "Would the following factors make you more or less likely to consider playing sports more often?: If sports uniforms came in a wider range of sizes")</f>
        <v>Would the following factors make you more or less likely to consider playing sports more often?: If sports uniforms came in a wider range of sizes</v>
      </c>
      <c r="E221" s="14" t="str">
        <f>HYPERLINK("#'Full Results'!A2010", "2010")</f>
        <v>2010</v>
      </c>
      <c r="F221" t="s">
        <v>46</v>
      </c>
    </row>
    <row r="222" spans="3:6" x14ac:dyDescent="0.3">
      <c r="C222">
        <v>214</v>
      </c>
      <c r="D222" s="8" t="str">
        <f>HYPERLINK("#'Table 214'!A1", "What would make you more likely to watch coverage of sports more often?")</f>
        <v>What would make you more likely to watch coverage of sports more often?</v>
      </c>
      <c r="E222" s="14" t="str">
        <f>HYPERLINK("#'Full Results'!A2018", "2018")</f>
        <v>2018</v>
      </c>
      <c r="F222" t="s">
        <v>46</v>
      </c>
    </row>
    <row r="223" spans="3:6" x14ac:dyDescent="0.3">
      <c r="C223">
        <v>215</v>
      </c>
      <c r="D223" s="8" t="str">
        <f>HYPERLINK("#'Table 215'!A1", "What would make you more likely to watch coverage of women’s sports more often? Select all that apply")</f>
        <v>What would make you more likely to watch coverage of women’s sports more often? Select all that apply</v>
      </c>
      <c r="E223" s="14" t="str">
        <f>HYPERLINK("#'Full Results'!A2036", "2036")</f>
        <v>2036</v>
      </c>
      <c r="F223" t="s">
        <v>46</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O1960"/>
  <sheetViews>
    <sheetView showGridLines="0" workbookViewId="0">
      <pane xSplit="2" ySplit="8" topLeftCell="C9" activePane="bottomRight" state="frozen"/>
      <selection pane="topRight"/>
      <selection pane="bottomLeft"/>
      <selection pane="bottomRight"/>
    </sheetView>
  </sheetViews>
  <sheetFormatPr defaultColWidth="11.5546875" defaultRowHeight="14.4" x14ac:dyDescent="0.3"/>
  <cols>
    <col min="2" max="2" width="20.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25" t="s">
        <v>591</v>
      </c>
      <c r="E2" s="26"/>
      <c r="F2" s="26"/>
      <c r="G2" s="26"/>
      <c r="H2" s="26"/>
      <c r="I2" s="26"/>
      <c r="J2" s="26"/>
      <c r="K2" s="26"/>
      <c r="L2" s="26"/>
      <c r="M2" s="26"/>
      <c r="N2" s="26"/>
    </row>
    <row r="5" spans="2:15" ht="30" customHeight="1" x14ac:dyDescent="0.3">
      <c r="B5" s="13"/>
      <c r="C5" s="13"/>
      <c r="D5" s="28" t="s">
        <v>28</v>
      </c>
      <c r="E5" s="28"/>
      <c r="F5" s="13"/>
      <c r="G5" s="28" t="s">
        <v>29</v>
      </c>
      <c r="H5" s="28"/>
      <c r="I5" s="28"/>
      <c r="J5" s="28"/>
      <c r="K5" s="13"/>
      <c r="L5" s="28" t="s">
        <v>30</v>
      </c>
      <c r="M5" s="28"/>
      <c r="N5" s="28"/>
      <c r="O5" s="28"/>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19.95"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19.95" customHeight="1" x14ac:dyDescent="0.3">
      <c r="B8" s="11" t="s">
        <v>19</v>
      </c>
      <c r="C8" s="11">
        <v>549</v>
      </c>
      <c r="D8" s="11">
        <v>273</v>
      </c>
      <c r="E8" s="11">
        <v>274</v>
      </c>
      <c r="F8" s="11"/>
      <c r="G8" s="11">
        <v>164</v>
      </c>
      <c r="H8" s="11">
        <v>143</v>
      </c>
      <c r="I8" s="11">
        <v>115</v>
      </c>
      <c r="J8" s="11">
        <v>126</v>
      </c>
      <c r="K8" s="11"/>
      <c r="L8" s="11">
        <v>132</v>
      </c>
      <c r="M8" s="11">
        <v>142</v>
      </c>
      <c r="N8" s="11">
        <v>143</v>
      </c>
      <c r="O8" s="11">
        <v>132</v>
      </c>
    </row>
    <row r="11" spans="2:15" x14ac:dyDescent="0.3">
      <c r="B11" s="6" t="s">
        <v>45</v>
      </c>
    </row>
    <row r="12" spans="2:15" x14ac:dyDescent="0.3">
      <c r="B12" s="23" t="s">
        <v>46</v>
      </c>
      <c r="C12" s="17"/>
      <c r="D12" s="17"/>
      <c r="E12" s="17"/>
      <c r="F12" s="17"/>
      <c r="G12" s="17"/>
      <c r="H12" s="17"/>
      <c r="I12" s="17"/>
      <c r="J12" s="17"/>
      <c r="K12" s="17"/>
      <c r="L12" s="17"/>
      <c r="M12" s="17"/>
      <c r="N12" s="17"/>
      <c r="O12" s="17"/>
    </row>
    <row r="13" spans="2:15" x14ac:dyDescent="0.3">
      <c r="B13" t="s">
        <v>31</v>
      </c>
      <c r="C13" s="17">
        <v>0.72350628676120199</v>
      </c>
      <c r="D13" s="17">
        <v>0.64530986959125403</v>
      </c>
      <c r="E13" s="17">
        <v>0.80688611481991301</v>
      </c>
      <c r="F13" s="17"/>
      <c r="G13" s="17">
        <v>0.74651097390847898</v>
      </c>
      <c r="H13" s="17">
        <v>0.75756038844927898</v>
      </c>
      <c r="I13" s="17">
        <v>0.67263229184406204</v>
      </c>
      <c r="J13" s="17">
        <v>0.70708029000334505</v>
      </c>
      <c r="K13" s="17"/>
      <c r="L13" s="17">
        <v>0.65927335511979801</v>
      </c>
      <c r="M13" s="17">
        <v>0.67486527069164204</v>
      </c>
      <c r="N13" s="17">
        <v>0.74644154577178401</v>
      </c>
      <c r="O13" s="17">
        <v>0.81521862933718403</v>
      </c>
    </row>
    <row r="14" spans="2:15" x14ac:dyDescent="0.3">
      <c r="B14" t="s">
        <v>32</v>
      </c>
      <c r="C14" s="17">
        <v>0.667831350038807</v>
      </c>
      <c r="D14" s="17">
        <v>0.85268965832814503</v>
      </c>
      <c r="E14" s="17">
        <v>0.48370445291467801</v>
      </c>
      <c r="F14" s="17"/>
      <c r="G14" s="17">
        <v>0.65295952620831899</v>
      </c>
      <c r="H14" s="17">
        <v>0.62482235000323605</v>
      </c>
      <c r="I14" s="17">
        <v>0.67548847952922997</v>
      </c>
      <c r="J14" s="17">
        <v>0.73431007076792498</v>
      </c>
      <c r="K14" s="17"/>
      <c r="L14" s="17">
        <v>0.73943592322876694</v>
      </c>
      <c r="M14" s="17">
        <v>0.72747506148062901</v>
      </c>
      <c r="N14" s="17">
        <v>0.66054678071162098</v>
      </c>
      <c r="O14" s="17">
        <v>0.53995621919012804</v>
      </c>
    </row>
    <row r="15" spans="2:15" x14ac:dyDescent="0.3">
      <c r="B15" t="s">
        <v>33</v>
      </c>
      <c r="C15" s="17">
        <v>0.544218595471194</v>
      </c>
      <c r="D15" s="17">
        <v>0.67306119940040898</v>
      </c>
      <c r="E15" s="17">
        <v>0.41654680562410701</v>
      </c>
      <c r="F15" s="17"/>
      <c r="G15" s="17">
        <v>0.66381735467243697</v>
      </c>
      <c r="H15" s="17">
        <v>0.45719873906408698</v>
      </c>
      <c r="I15" s="17">
        <v>0.56731943932585505</v>
      </c>
      <c r="J15" s="17">
        <v>0.47055342228203001</v>
      </c>
      <c r="K15" s="17"/>
      <c r="L15" s="17">
        <v>0.50340177052145196</v>
      </c>
      <c r="M15" s="17">
        <v>0.63659114492722102</v>
      </c>
      <c r="N15" s="17">
        <v>0.597052472327394</v>
      </c>
      <c r="O15" s="17">
        <v>0.42842825062402501</v>
      </c>
    </row>
    <row r="16" spans="2:15" x14ac:dyDescent="0.3">
      <c r="B16" t="s">
        <v>34</v>
      </c>
      <c r="C16" s="17">
        <v>0.52153269226518995</v>
      </c>
      <c r="D16" s="17">
        <v>0.458322822881777</v>
      </c>
      <c r="E16" s="17">
        <v>0.58412557852852698</v>
      </c>
      <c r="F16" s="17"/>
      <c r="G16" s="17">
        <v>0.55118767705045901</v>
      </c>
      <c r="H16" s="17">
        <v>0.48992832802307301</v>
      </c>
      <c r="I16" s="17">
        <v>0.52907744994877703</v>
      </c>
      <c r="J16" s="17">
        <v>0.51605608688049498</v>
      </c>
      <c r="K16" s="17"/>
      <c r="L16" s="17">
        <v>0.49117912142924602</v>
      </c>
      <c r="M16" s="17">
        <v>0.457063061040684</v>
      </c>
      <c r="N16" s="17">
        <v>0.51565288797254505</v>
      </c>
      <c r="O16" s="17">
        <v>0.62760974528089097</v>
      </c>
    </row>
    <row r="17" spans="2:15" x14ac:dyDescent="0.3">
      <c r="B17" t="s">
        <v>35</v>
      </c>
      <c r="C17" s="17">
        <v>0.43808564256044302</v>
      </c>
      <c r="D17" s="17">
        <v>0.36699176745949702</v>
      </c>
      <c r="E17" s="17">
        <v>0.50934940486728197</v>
      </c>
      <c r="F17" s="17"/>
      <c r="G17" s="17">
        <v>0.57310908685870998</v>
      </c>
      <c r="H17" s="17">
        <v>0.41398259487839101</v>
      </c>
      <c r="I17" s="17">
        <v>0.35329834953084699</v>
      </c>
      <c r="J17" s="17">
        <v>0.36262074770659403</v>
      </c>
      <c r="K17" s="17"/>
      <c r="L17" s="17">
        <v>0.46490236193755702</v>
      </c>
      <c r="M17" s="17">
        <v>0.38884917039598799</v>
      </c>
      <c r="N17" s="17">
        <v>0.41184219212557999</v>
      </c>
      <c r="O17" s="17">
        <v>0.49266583575558598</v>
      </c>
    </row>
    <row r="18" spans="2:15" x14ac:dyDescent="0.3">
      <c r="B18" t="s">
        <v>36</v>
      </c>
      <c r="C18" s="17">
        <v>0.32332742636366901</v>
      </c>
      <c r="D18" s="17">
        <v>0.135585172947845</v>
      </c>
      <c r="E18" s="17">
        <v>0.51321222508781705</v>
      </c>
      <c r="F18" s="17"/>
      <c r="G18" s="17">
        <v>0.38140965996117199</v>
      </c>
      <c r="H18" s="17">
        <v>0.36136848382282499</v>
      </c>
      <c r="I18" s="17">
        <v>0.23198372233103501</v>
      </c>
      <c r="J18" s="17">
        <v>0.29047934180442297</v>
      </c>
      <c r="K18" s="17"/>
      <c r="L18" s="17">
        <v>0.332476251870366</v>
      </c>
      <c r="M18" s="17">
        <v>0.22234271614961201</v>
      </c>
      <c r="N18" s="17">
        <v>0.335021907642087</v>
      </c>
      <c r="O18" s="17">
        <v>0.410144646520475</v>
      </c>
    </row>
    <row r="19" spans="2:15" x14ac:dyDescent="0.3">
      <c r="B19" t="s">
        <v>37</v>
      </c>
      <c r="C19" s="17">
        <v>0.30002967351639198</v>
      </c>
      <c r="D19" s="17">
        <v>0.29799629646864001</v>
      </c>
      <c r="E19" s="17">
        <v>0.30424713591814601</v>
      </c>
      <c r="F19" s="17"/>
      <c r="G19" s="17">
        <v>0.42324005855663799</v>
      </c>
      <c r="H19" s="17">
        <v>0.24141150778189799</v>
      </c>
      <c r="I19" s="17">
        <v>0.19713009364764</v>
      </c>
      <c r="J19" s="17">
        <v>0.30247866029904702</v>
      </c>
      <c r="K19" s="17"/>
      <c r="L19" s="17">
        <v>0.24645469310951701</v>
      </c>
      <c r="M19" s="17">
        <v>0.25300143130556502</v>
      </c>
      <c r="N19" s="17">
        <v>0.29932477637412402</v>
      </c>
      <c r="O19" s="17">
        <v>0.40495928032691803</v>
      </c>
    </row>
    <row r="20" spans="2:15" x14ac:dyDescent="0.3">
      <c r="B20" t="s">
        <v>38</v>
      </c>
      <c r="C20" s="17">
        <v>0.27728795920273203</v>
      </c>
      <c r="D20" s="17">
        <v>0.297713223305071</v>
      </c>
      <c r="E20" s="17">
        <v>0.25596494433583</v>
      </c>
      <c r="F20" s="17"/>
      <c r="G20" s="17">
        <v>0.32429558274638498</v>
      </c>
      <c r="H20" s="17">
        <v>0.29178217445884602</v>
      </c>
      <c r="I20" s="17">
        <v>0.23095767968891801</v>
      </c>
      <c r="J20" s="17">
        <v>0.24413475105917001</v>
      </c>
      <c r="K20" s="17"/>
      <c r="L20" s="17">
        <v>0.18570443605550099</v>
      </c>
      <c r="M20" s="17">
        <v>0.25778394525215198</v>
      </c>
      <c r="N20" s="17">
        <v>0.32956673456271901</v>
      </c>
      <c r="O20" s="17">
        <v>0.33321773314166298</v>
      </c>
    </row>
    <row r="21" spans="2:15" x14ac:dyDescent="0.3">
      <c r="B21" t="s">
        <v>39</v>
      </c>
      <c r="C21" s="17">
        <v>0.22395644539340401</v>
      </c>
      <c r="D21" s="17">
        <v>0.119085147987617</v>
      </c>
      <c r="E21" s="17">
        <v>0.32739877622437602</v>
      </c>
      <c r="F21" s="17"/>
      <c r="G21" s="17">
        <v>0.26906243239227601</v>
      </c>
      <c r="H21" s="17">
        <v>0.194070967909791</v>
      </c>
      <c r="I21" s="17">
        <v>0.21308864682065301</v>
      </c>
      <c r="J21" s="17">
        <v>0.21086154630814999</v>
      </c>
      <c r="K21" s="17"/>
      <c r="L21" s="17">
        <v>0.314122286186648</v>
      </c>
      <c r="M21" s="17">
        <v>0.27286232949810302</v>
      </c>
      <c r="N21" s="17">
        <v>0.18384713049596099</v>
      </c>
      <c r="O21" s="17">
        <v>0.12463148708097201</v>
      </c>
    </row>
    <row r="22" spans="2:15" x14ac:dyDescent="0.3">
      <c r="B22" t="s">
        <v>40</v>
      </c>
      <c r="C22" s="17">
        <v>0.184988157057495</v>
      </c>
      <c r="D22" s="17">
        <v>0.21283742461902</v>
      </c>
      <c r="E22" s="17">
        <v>0.15557697230906001</v>
      </c>
      <c r="F22" s="17"/>
      <c r="G22" s="17">
        <v>0.290592983626898</v>
      </c>
      <c r="H22" s="17">
        <v>0.18554012323928301</v>
      </c>
      <c r="I22" s="17">
        <v>0.105078010641936</v>
      </c>
      <c r="J22" s="17">
        <v>0.121304083633266</v>
      </c>
      <c r="K22" s="17"/>
      <c r="L22" s="17">
        <v>0.15548522326315201</v>
      </c>
      <c r="M22" s="17">
        <v>0.18725218514363801</v>
      </c>
      <c r="N22" s="17">
        <v>0.20551617281863899</v>
      </c>
      <c r="O22" s="17">
        <v>0.18981686174520199</v>
      </c>
    </row>
    <row r="23" spans="2:15" x14ac:dyDescent="0.3">
      <c r="B23" t="s">
        <v>41</v>
      </c>
      <c r="C23" s="17">
        <v>0.15942855800463099</v>
      </c>
      <c r="D23" s="17">
        <v>0.139500901489963</v>
      </c>
      <c r="E23" s="17">
        <v>0.18049533888737401</v>
      </c>
      <c r="F23" s="17"/>
      <c r="G23" s="17">
        <v>0.252228124338509</v>
      </c>
      <c r="H23" s="17">
        <v>0.14936434915237401</v>
      </c>
      <c r="I23" s="17">
        <v>7.7709512537123701E-2</v>
      </c>
      <c r="J23" s="17">
        <v>0.12590803852572399</v>
      </c>
      <c r="K23" s="17"/>
      <c r="L23" s="17">
        <v>0.17137211927455701</v>
      </c>
      <c r="M23" s="17">
        <v>0.20694411240867799</v>
      </c>
      <c r="N23" s="17">
        <v>0.11913045138976899</v>
      </c>
      <c r="O23" s="17">
        <v>0.14002606128432801</v>
      </c>
    </row>
    <row r="24" spans="2:15" x14ac:dyDescent="0.3">
      <c r="B24" t="s">
        <v>42</v>
      </c>
      <c r="C24" s="17">
        <v>0.14835414094590699</v>
      </c>
      <c r="D24" s="17">
        <v>0.17670798367704901</v>
      </c>
      <c r="E24" s="17">
        <v>0.121113659524101</v>
      </c>
      <c r="F24" s="17"/>
      <c r="G24" s="17">
        <v>0.17147499548676001</v>
      </c>
      <c r="H24" s="17">
        <v>0.114035661693644</v>
      </c>
      <c r="I24" s="17">
        <v>0.13054186784622199</v>
      </c>
      <c r="J24" s="17">
        <v>0.17464297247729599</v>
      </c>
      <c r="K24" s="17"/>
      <c r="L24" s="17">
        <v>0.10742733087204399</v>
      </c>
      <c r="M24" s="17">
        <v>0.16080752774964199</v>
      </c>
      <c r="N24" s="17">
        <v>0.17151630305389801</v>
      </c>
      <c r="O24" s="17">
        <v>0.15079178353815501</v>
      </c>
    </row>
    <row r="25" spans="2:15" x14ac:dyDescent="0.3">
      <c r="B25" t="s">
        <v>43</v>
      </c>
      <c r="C25" s="17">
        <v>3.9512882035545399E-2</v>
      </c>
      <c r="D25" s="17">
        <v>4.7943780797370397E-2</v>
      </c>
      <c r="E25" s="17">
        <v>3.1379518039599798E-2</v>
      </c>
      <c r="F25" s="17"/>
      <c r="G25" s="17">
        <v>7.1123247652195701E-2</v>
      </c>
      <c r="H25" s="17">
        <v>1.7314683676564298E-2</v>
      </c>
      <c r="I25" s="17">
        <v>4.7765631518862997E-2</v>
      </c>
      <c r="J25" s="17">
        <v>1.63464124657655E-2</v>
      </c>
      <c r="K25" s="17"/>
      <c r="L25" s="17">
        <v>1.3721274995450601E-2</v>
      </c>
      <c r="M25" s="17">
        <v>3.5597651111228097E-2</v>
      </c>
      <c r="N25" s="17">
        <v>6.8075559784139303E-2</v>
      </c>
      <c r="O25" s="17">
        <v>3.85734275090047E-2</v>
      </c>
    </row>
    <row r="26" spans="2:15" x14ac:dyDescent="0.3">
      <c r="B26" t="s">
        <v>44</v>
      </c>
      <c r="C26" s="17">
        <v>1.6161600949667E-3</v>
      </c>
      <c r="D26" s="17">
        <v>3.2459521273142601E-3</v>
      </c>
      <c r="E26" s="17">
        <v>0</v>
      </c>
      <c r="F26" s="17"/>
      <c r="G26" s="17">
        <v>0</v>
      </c>
      <c r="H26" s="17">
        <v>6.2043501081490201E-3</v>
      </c>
      <c r="I26" s="17">
        <v>0</v>
      </c>
      <c r="J26" s="17">
        <v>0</v>
      </c>
      <c r="K26" s="17"/>
      <c r="L26" s="17">
        <v>6.7217567586114798E-3</v>
      </c>
      <c r="M26" s="17">
        <v>0</v>
      </c>
      <c r="N26" s="17">
        <v>0</v>
      </c>
      <c r="O26" s="17">
        <v>0</v>
      </c>
    </row>
    <row r="27" spans="2:15" x14ac:dyDescent="0.3">
      <c r="C27" s="17"/>
      <c r="D27" s="17"/>
      <c r="E27" s="17"/>
      <c r="F27" s="17"/>
      <c r="G27" s="17"/>
      <c r="H27" s="17"/>
      <c r="I27" s="17"/>
      <c r="J27" s="17"/>
      <c r="K27" s="17"/>
      <c r="L27" s="17"/>
      <c r="M27" s="17"/>
      <c r="N27" s="17"/>
      <c r="O27" s="17"/>
    </row>
    <row r="28" spans="2:15" x14ac:dyDescent="0.3">
      <c r="B28" s="6" t="s">
        <v>68</v>
      </c>
      <c r="C28" s="17"/>
      <c r="D28" s="17"/>
      <c r="E28" s="17"/>
      <c r="F28" s="17"/>
      <c r="G28" s="17"/>
      <c r="H28" s="17"/>
      <c r="I28" s="17"/>
      <c r="J28" s="17"/>
      <c r="K28" s="17"/>
      <c r="L28" s="17"/>
      <c r="M28" s="17"/>
      <c r="N28" s="17"/>
      <c r="O28" s="17"/>
    </row>
    <row r="29" spans="2:15" x14ac:dyDescent="0.3">
      <c r="B29" s="23" t="s">
        <v>46</v>
      </c>
      <c r="C29" s="17"/>
      <c r="D29" s="17"/>
      <c r="E29" s="17"/>
      <c r="F29" s="17"/>
      <c r="G29" s="17"/>
      <c r="H29" s="17"/>
      <c r="I29" s="17"/>
      <c r="J29" s="17"/>
      <c r="K29" s="17"/>
      <c r="L29" s="17"/>
      <c r="M29" s="17"/>
      <c r="N29" s="17"/>
      <c r="O29" s="17"/>
    </row>
    <row r="30" spans="2:15" x14ac:dyDescent="0.3">
      <c r="B30" t="s">
        <v>58</v>
      </c>
      <c r="C30" s="17">
        <v>5.3237041741263903E-2</v>
      </c>
      <c r="D30" s="17">
        <v>6.0469315390660999E-2</v>
      </c>
      <c r="E30" s="17">
        <v>4.6400950691698799E-2</v>
      </c>
      <c r="F30" s="17"/>
      <c r="G30" s="17">
        <v>7.1323195132337994E-2</v>
      </c>
      <c r="H30" s="17">
        <v>4.35232959108472E-2</v>
      </c>
      <c r="I30" s="17">
        <v>4.8648998400774399E-2</v>
      </c>
      <c r="J30" s="17">
        <v>4.5330916244117198E-2</v>
      </c>
      <c r="K30" s="17"/>
      <c r="L30" s="17">
        <v>1.2275153515963699E-2</v>
      </c>
      <c r="M30" s="17">
        <v>6.3544764474791404E-2</v>
      </c>
      <c r="N30" s="17">
        <v>6.4569642260412993E-2</v>
      </c>
      <c r="O30" s="17">
        <v>7.0833335251418494E-2</v>
      </c>
    </row>
    <row r="31" spans="2:15" x14ac:dyDescent="0.3">
      <c r="B31" t="s">
        <v>59</v>
      </c>
      <c r="C31" s="17">
        <v>6.1964042554902003E-2</v>
      </c>
      <c r="D31" s="17">
        <v>4.8236500295027997E-2</v>
      </c>
      <c r="E31" s="17">
        <v>7.6127513410298095E-2</v>
      </c>
      <c r="F31" s="17"/>
      <c r="G31" s="17">
        <v>5.8671845926885298E-2</v>
      </c>
      <c r="H31" s="17">
        <v>3.4429982309366398E-2</v>
      </c>
      <c r="I31" s="17">
        <v>0.11383803545457399</v>
      </c>
      <c r="J31" s="17">
        <v>5.0650817334262799E-2</v>
      </c>
      <c r="K31" s="17"/>
      <c r="L31" s="17">
        <v>4.1211452090238701E-2</v>
      </c>
      <c r="M31" s="17">
        <v>6.6596407357775597E-2</v>
      </c>
      <c r="N31" s="17">
        <v>8.8883231658314604E-2</v>
      </c>
      <c r="O31" s="17">
        <v>4.8570876627171002E-2</v>
      </c>
    </row>
    <row r="32" spans="2:15" x14ac:dyDescent="0.3">
      <c r="B32" t="s">
        <v>60</v>
      </c>
      <c r="C32" s="17">
        <v>8.8674522463224006E-2</v>
      </c>
      <c r="D32" s="17">
        <v>9.4413218069638996E-2</v>
      </c>
      <c r="E32" s="17">
        <v>8.3588552634359201E-2</v>
      </c>
      <c r="F32" s="17"/>
      <c r="G32" s="17">
        <v>8.2018768958562402E-2</v>
      </c>
      <c r="H32" s="17">
        <v>0.132154105699781</v>
      </c>
      <c r="I32" s="17">
        <v>7.9691244462896493E-2</v>
      </c>
      <c r="J32" s="17">
        <v>5.68914255015859E-2</v>
      </c>
      <c r="K32" s="17"/>
      <c r="L32" s="17">
        <v>9.1677420376607796E-2</v>
      </c>
      <c r="M32" s="17">
        <v>5.8992075679199799E-2</v>
      </c>
      <c r="N32" s="17">
        <v>0.136949298643495</v>
      </c>
      <c r="O32" s="17">
        <v>6.5305067349481299E-2</v>
      </c>
    </row>
    <row r="33" spans="2:15" x14ac:dyDescent="0.3">
      <c r="B33" t="s">
        <v>61</v>
      </c>
      <c r="C33" s="17">
        <v>0.142323749011213</v>
      </c>
      <c r="D33" s="17">
        <v>9.9571324223894295E-2</v>
      </c>
      <c r="E33" s="17">
        <v>0.186064678507352</v>
      </c>
      <c r="F33" s="17"/>
      <c r="G33" s="17">
        <v>0.15689436262647299</v>
      </c>
      <c r="H33" s="17">
        <v>0.147383666556855</v>
      </c>
      <c r="I33" s="17">
        <v>9.8261829681509594E-2</v>
      </c>
      <c r="J33" s="17">
        <v>0.158955781509759</v>
      </c>
      <c r="K33" s="17"/>
      <c r="L33" s="17">
        <v>0.102534415517441</v>
      </c>
      <c r="M33" s="17">
        <v>0.174781875751612</v>
      </c>
      <c r="N33" s="17">
        <v>0.123653504780184</v>
      </c>
      <c r="O33" s="17">
        <v>0.16742210468605001</v>
      </c>
    </row>
    <row r="34" spans="2:15" x14ac:dyDescent="0.3">
      <c r="B34" t="s">
        <v>62</v>
      </c>
      <c r="C34" s="17">
        <v>0.24555233859834</v>
      </c>
      <c r="D34" s="17">
        <v>0.22327381087633699</v>
      </c>
      <c r="E34" s="17">
        <v>0.26524931368500299</v>
      </c>
      <c r="F34" s="17"/>
      <c r="G34" s="17">
        <v>0.23006555342823701</v>
      </c>
      <c r="H34" s="17">
        <v>0.26401964884561402</v>
      </c>
      <c r="I34" s="17">
        <v>0.22193960436910901</v>
      </c>
      <c r="J34" s="17">
        <v>0.26824590580436503</v>
      </c>
      <c r="K34" s="17"/>
      <c r="L34" s="17">
        <v>0.184645405331019</v>
      </c>
      <c r="M34" s="17">
        <v>0.195574433703014</v>
      </c>
      <c r="N34" s="17">
        <v>0.273852457333087</v>
      </c>
      <c r="O34" s="17">
        <v>0.32956491971465701</v>
      </c>
    </row>
    <row r="35" spans="2:15" x14ac:dyDescent="0.3">
      <c r="B35" t="s">
        <v>63</v>
      </c>
      <c r="C35" s="17">
        <v>0.25104678606122499</v>
      </c>
      <c r="D35" s="17">
        <v>0.26727417988240498</v>
      </c>
      <c r="E35" s="17">
        <v>0.23372563806111299</v>
      </c>
      <c r="F35" s="17"/>
      <c r="G35" s="17">
        <v>0.25379388001643299</v>
      </c>
      <c r="H35" s="17">
        <v>0.22866942777164601</v>
      </c>
      <c r="I35" s="17">
        <v>0.26269452855893399</v>
      </c>
      <c r="J35" s="17">
        <v>0.25629855705714599</v>
      </c>
      <c r="K35" s="17"/>
      <c r="L35" s="17">
        <v>0.26453601230460999</v>
      </c>
      <c r="M35" s="17">
        <v>0.278354176487845</v>
      </c>
      <c r="N35" s="17">
        <v>0.20346575343931</v>
      </c>
      <c r="O35" s="17">
        <v>0.259727546365974</v>
      </c>
    </row>
    <row r="36" spans="2:15" x14ac:dyDescent="0.3">
      <c r="B36" t="s">
        <v>64</v>
      </c>
      <c r="C36" s="17">
        <v>6.9502854484500998E-2</v>
      </c>
      <c r="D36" s="17">
        <v>9.4863856229102206E-2</v>
      </c>
      <c r="E36" s="17">
        <v>4.4677197400736002E-2</v>
      </c>
      <c r="F36" s="17"/>
      <c r="G36" s="17">
        <v>6.8065652957693498E-2</v>
      </c>
      <c r="H36" s="17">
        <v>7.5254611578530903E-2</v>
      </c>
      <c r="I36" s="17">
        <v>7.6462404578090601E-2</v>
      </c>
      <c r="J36" s="17">
        <v>5.9045556780000598E-2</v>
      </c>
      <c r="K36" s="17"/>
      <c r="L36" s="17">
        <v>7.4707553869919993E-2</v>
      </c>
      <c r="M36" s="17">
        <v>9.6683414384175298E-2</v>
      </c>
      <c r="N36" s="17">
        <v>6.5356659043027301E-2</v>
      </c>
      <c r="O36" s="17">
        <v>3.9550173601937799E-2</v>
      </c>
    </row>
    <row r="37" spans="2:15" x14ac:dyDescent="0.3">
      <c r="B37" t="s">
        <v>65</v>
      </c>
      <c r="C37" s="17">
        <v>8.0338619204843295E-2</v>
      </c>
      <c r="D37" s="17">
        <v>0.100577398247521</v>
      </c>
      <c r="E37" s="17">
        <v>6.0708319482488497E-2</v>
      </c>
      <c r="F37" s="17"/>
      <c r="G37" s="17">
        <v>7.5292122237107906E-2</v>
      </c>
      <c r="H37" s="17">
        <v>7.45652613273593E-2</v>
      </c>
      <c r="I37" s="17">
        <v>8.9415950658445098E-2</v>
      </c>
      <c r="J37" s="17">
        <v>8.5812728856302201E-2</v>
      </c>
      <c r="K37" s="17"/>
      <c r="L37" s="17">
        <v>0.2284125869942</v>
      </c>
      <c r="M37" s="17">
        <v>5.1482571801714103E-2</v>
      </c>
      <c r="N37" s="17">
        <v>3.88258402121541E-2</v>
      </c>
      <c r="O37" s="17">
        <v>8.2789402579022692E-3</v>
      </c>
    </row>
    <row r="38" spans="2:15" x14ac:dyDescent="0.3">
      <c r="B38" t="s">
        <v>66</v>
      </c>
      <c r="C38" s="17">
        <v>7.3600458804879698E-3</v>
      </c>
      <c r="D38" s="17">
        <v>1.1320396785412299E-2</v>
      </c>
      <c r="E38" s="17">
        <v>3.4578361269523199E-3</v>
      </c>
      <c r="F38" s="17"/>
      <c r="G38" s="17">
        <v>3.8746187162700101E-3</v>
      </c>
      <c r="H38" s="17">
        <v>0</v>
      </c>
      <c r="I38" s="17">
        <v>9.0474038356671404E-3</v>
      </c>
      <c r="J38" s="17">
        <v>1.8768310912460999E-2</v>
      </c>
      <c r="K38" s="17"/>
      <c r="L38" s="17">
        <v>0</v>
      </c>
      <c r="M38" s="17">
        <v>1.39902803598724E-2</v>
      </c>
      <c r="N38" s="17">
        <v>4.4436126300146303E-3</v>
      </c>
      <c r="O38" s="17">
        <v>1.0747036145408499E-2</v>
      </c>
    </row>
    <row r="39" spans="2:15" x14ac:dyDescent="0.3">
      <c r="C39" s="17"/>
      <c r="D39" s="17"/>
      <c r="E39" s="17"/>
      <c r="F39" s="17"/>
      <c r="G39" s="17"/>
      <c r="H39" s="17"/>
      <c r="I39" s="17"/>
      <c r="J39" s="17"/>
      <c r="K39" s="17"/>
      <c r="L39" s="17"/>
      <c r="M39" s="17"/>
      <c r="N39" s="17"/>
      <c r="O39" s="17"/>
    </row>
    <row r="40" spans="2:15" x14ac:dyDescent="0.3">
      <c r="B40" s="6" t="s">
        <v>69</v>
      </c>
      <c r="C40" s="17"/>
      <c r="D40" s="17"/>
      <c r="E40" s="17"/>
      <c r="F40" s="17"/>
      <c r="G40" s="17"/>
      <c r="H40" s="17"/>
      <c r="I40" s="17"/>
      <c r="J40" s="17"/>
      <c r="K40" s="17"/>
      <c r="L40" s="17"/>
      <c r="M40" s="17"/>
      <c r="N40" s="17"/>
      <c r="O40" s="17"/>
    </row>
    <row r="41" spans="2:15" x14ac:dyDescent="0.3">
      <c r="B41" s="23" t="s">
        <v>46</v>
      </c>
      <c r="C41" s="17"/>
      <c r="D41" s="17"/>
      <c r="E41" s="17"/>
      <c r="F41" s="17"/>
      <c r="G41" s="17"/>
      <c r="H41" s="17"/>
      <c r="I41" s="17"/>
      <c r="J41" s="17"/>
      <c r="K41" s="17"/>
      <c r="L41" s="17"/>
      <c r="M41" s="17"/>
      <c r="N41" s="17"/>
      <c r="O41" s="17"/>
    </row>
    <row r="42" spans="2:15" x14ac:dyDescent="0.3">
      <c r="B42" t="s">
        <v>58</v>
      </c>
      <c r="C42" s="17">
        <v>8.1369790901528793E-2</v>
      </c>
      <c r="D42" s="17">
        <v>0.11608080377535999</v>
      </c>
      <c r="E42" s="17">
        <v>4.7291239664016202E-2</v>
      </c>
      <c r="F42" s="17"/>
      <c r="G42" s="17">
        <v>7.5600853933626505E-2</v>
      </c>
      <c r="H42" s="17">
        <v>7.06019360674741E-2</v>
      </c>
      <c r="I42" s="17">
        <v>9.84405907750249E-2</v>
      </c>
      <c r="J42" s="17">
        <v>8.6166155045866499E-2</v>
      </c>
      <c r="K42" s="17"/>
      <c r="L42" s="17">
        <v>3.6707361378025202E-2</v>
      </c>
      <c r="M42" s="17">
        <v>0.128125569769729</v>
      </c>
      <c r="N42" s="17">
        <v>9.9874792725371198E-2</v>
      </c>
      <c r="O42" s="17">
        <v>5.56872517879572E-2</v>
      </c>
    </row>
    <row r="43" spans="2:15" x14ac:dyDescent="0.3">
      <c r="B43" t="s">
        <v>59</v>
      </c>
      <c r="C43" s="17">
        <v>4.5630653728643701E-2</v>
      </c>
      <c r="D43" s="17">
        <v>6.5294011999373E-2</v>
      </c>
      <c r="E43" s="17">
        <v>2.6322193476198401E-2</v>
      </c>
      <c r="F43" s="17"/>
      <c r="G43" s="17">
        <v>2.3241324306793602E-2</v>
      </c>
      <c r="H43" s="17">
        <v>5.0481246195380303E-2</v>
      </c>
      <c r="I43" s="17">
        <v>4.8173460392303802E-2</v>
      </c>
      <c r="J43" s="17">
        <v>6.7307648307964693E-2</v>
      </c>
      <c r="K43" s="17"/>
      <c r="L43" s="17">
        <v>5.07460644332536E-2</v>
      </c>
      <c r="M43" s="17">
        <v>5.2054781543963598E-2</v>
      </c>
      <c r="N43" s="17">
        <v>5.4002095744538799E-2</v>
      </c>
      <c r="O43" s="17">
        <v>2.4535376675182002E-2</v>
      </c>
    </row>
    <row r="44" spans="2:15" x14ac:dyDescent="0.3">
      <c r="B44" t="s">
        <v>60</v>
      </c>
      <c r="C44" s="17">
        <v>0.10666690443535699</v>
      </c>
      <c r="D44" s="17">
        <v>0.16303229503029901</v>
      </c>
      <c r="E44" s="17">
        <v>5.1142962940968602E-2</v>
      </c>
      <c r="F44" s="17"/>
      <c r="G44" s="17">
        <v>6.9634978339576298E-2</v>
      </c>
      <c r="H44" s="17">
        <v>0.118414295650916</v>
      </c>
      <c r="I44" s="17">
        <v>0.12754874540164601</v>
      </c>
      <c r="J44" s="17">
        <v>0.123322578598811</v>
      </c>
      <c r="K44" s="17"/>
      <c r="L44" s="17">
        <v>0.164049284548025</v>
      </c>
      <c r="M44" s="17">
        <v>0.104154096466434</v>
      </c>
      <c r="N44" s="17">
        <v>9.9615530837047397E-2</v>
      </c>
      <c r="O44" s="17">
        <v>5.9626684596517703E-2</v>
      </c>
    </row>
    <row r="45" spans="2:15" x14ac:dyDescent="0.3">
      <c r="B45" t="s">
        <v>61</v>
      </c>
      <c r="C45" s="17">
        <v>0.164135910525228</v>
      </c>
      <c r="D45" s="17">
        <v>0.19227082593974201</v>
      </c>
      <c r="E45" s="17">
        <v>0.132883503676515</v>
      </c>
      <c r="F45" s="17"/>
      <c r="G45" s="17">
        <v>0.18277303383676899</v>
      </c>
      <c r="H45" s="17">
        <v>0.16015191411400201</v>
      </c>
      <c r="I45" s="17">
        <v>0.134814871488321</v>
      </c>
      <c r="J45" s="17">
        <v>0.172460275214145</v>
      </c>
      <c r="K45" s="17"/>
      <c r="L45" s="17">
        <v>0.208057941002564</v>
      </c>
      <c r="M45" s="17">
        <v>0.161569356280931</v>
      </c>
      <c r="N45" s="17">
        <v>0.14584878111542901</v>
      </c>
      <c r="O45" s="17">
        <v>0.142785927080403</v>
      </c>
    </row>
    <row r="46" spans="2:15" x14ac:dyDescent="0.3">
      <c r="B46" t="s">
        <v>62</v>
      </c>
      <c r="C46" s="17">
        <v>0.22696167834306299</v>
      </c>
      <c r="D46" s="17">
        <v>0.28805843659464098</v>
      </c>
      <c r="E46" s="17">
        <v>0.16758837424449599</v>
      </c>
      <c r="F46" s="17"/>
      <c r="G46" s="17">
        <v>0.214525786615332</v>
      </c>
      <c r="H46" s="17">
        <v>0.21121496145173899</v>
      </c>
      <c r="I46" s="17">
        <v>0.21159225350699001</v>
      </c>
      <c r="J46" s="17">
        <v>0.26891383190425</v>
      </c>
      <c r="K46" s="17"/>
      <c r="L46" s="17">
        <v>0.25784526592107199</v>
      </c>
      <c r="M46" s="17">
        <v>0.21006265163014401</v>
      </c>
      <c r="N46" s="17">
        <v>0.22352954237917499</v>
      </c>
      <c r="O46" s="17">
        <v>0.21797549406861799</v>
      </c>
    </row>
    <row r="47" spans="2:15" x14ac:dyDescent="0.3">
      <c r="B47" t="s">
        <v>63</v>
      </c>
      <c r="C47" s="17">
        <v>0.24243850233957501</v>
      </c>
      <c r="D47" s="17">
        <v>0.137861331520266</v>
      </c>
      <c r="E47" s="17">
        <v>0.34572172512447202</v>
      </c>
      <c r="F47" s="17"/>
      <c r="G47" s="17">
        <v>0.27446400841971602</v>
      </c>
      <c r="H47" s="17">
        <v>0.24149646962197499</v>
      </c>
      <c r="I47" s="17">
        <v>0.27343526041201899</v>
      </c>
      <c r="J47" s="17">
        <v>0.17546065057378399</v>
      </c>
      <c r="K47" s="17"/>
      <c r="L47" s="17">
        <v>0.22712151053537599</v>
      </c>
      <c r="M47" s="17">
        <v>0.248315318227877</v>
      </c>
      <c r="N47" s="17">
        <v>0.20548241811902301</v>
      </c>
      <c r="O47" s="17">
        <v>0.29146922283619803</v>
      </c>
    </row>
    <row r="48" spans="2:15" x14ac:dyDescent="0.3">
      <c r="B48" t="s">
        <v>64</v>
      </c>
      <c r="C48" s="17">
        <v>7.0067058657679399E-2</v>
      </c>
      <c r="D48" s="17">
        <v>2.8499887415113199E-2</v>
      </c>
      <c r="E48" s="17">
        <v>0.11209752883737201</v>
      </c>
      <c r="F48" s="17"/>
      <c r="G48" s="17">
        <v>8.1673176974271899E-2</v>
      </c>
      <c r="H48" s="17">
        <v>0.1047300620903</v>
      </c>
      <c r="I48" s="17">
        <v>4.1158918521416198E-2</v>
      </c>
      <c r="J48" s="17">
        <v>4.2557213421703002E-2</v>
      </c>
      <c r="K48" s="17"/>
      <c r="L48" s="17">
        <v>3.7824431730133903E-2</v>
      </c>
      <c r="M48" s="17">
        <v>7.0006279318014702E-2</v>
      </c>
      <c r="N48" s="17">
        <v>8.8044294210039495E-2</v>
      </c>
      <c r="O48" s="17">
        <v>8.2899730905261801E-2</v>
      </c>
    </row>
    <row r="49" spans="2:15" x14ac:dyDescent="0.3">
      <c r="B49" t="s">
        <v>65</v>
      </c>
      <c r="C49" s="17">
        <v>5.88506095255951E-2</v>
      </c>
      <c r="D49" s="17">
        <v>8.9024077252063804E-3</v>
      </c>
      <c r="E49" s="17">
        <v>0.109170836166367</v>
      </c>
      <c r="F49" s="17"/>
      <c r="G49" s="17">
        <v>7.1765540306769598E-2</v>
      </c>
      <c r="H49" s="17">
        <v>3.5267445267188398E-2</v>
      </c>
      <c r="I49" s="17">
        <v>6.4835899502279401E-2</v>
      </c>
      <c r="J49" s="17">
        <v>6.3811646933476504E-2</v>
      </c>
      <c r="K49" s="17"/>
      <c r="L49" s="17">
        <v>1.7648140451550099E-2</v>
      </c>
      <c r="M49" s="17">
        <v>2.5711946762907199E-2</v>
      </c>
      <c r="N49" s="17">
        <v>8.3602544869376405E-2</v>
      </c>
      <c r="O49" s="17">
        <v>0.10888764949464701</v>
      </c>
    </row>
    <row r="50" spans="2:15" x14ac:dyDescent="0.3">
      <c r="B50" t="s">
        <v>66</v>
      </c>
      <c r="C50" s="17">
        <v>3.87889154333057E-3</v>
      </c>
      <c r="D50" s="17">
        <v>0</v>
      </c>
      <c r="E50" s="17">
        <v>7.7816358695958297E-3</v>
      </c>
      <c r="F50" s="17"/>
      <c r="G50" s="17">
        <v>6.3212972671447196E-3</v>
      </c>
      <c r="H50" s="17">
        <v>7.6416695410272103E-3</v>
      </c>
      <c r="I50" s="17">
        <v>0</v>
      </c>
      <c r="J50" s="17">
        <v>0</v>
      </c>
      <c r="K50" s="17"/>
      <c r="L50" s="17">
        <v>0</v>
      </c>
      <c r="M50" s="17">
        <v>0</v>
      </c>
      <c r="N50" s="17">
        <v>0</v>
      </c>
      <c r="O50" s="17">
        <v>1.6132662555215799E-2</v>
      </c>
    </row>
    <row r="51" spans="2:15" x14ac:dyDescent="0.3">
      <c r="C51" s="17"/>
      <c r="D51" s="17"/>
      <c r="E51" s="17"/>
      <c r="F51" s="17"/>
      <c r="G51" s="17"/>
      <c r="H51" s="17"/>
      <c r="I51" s="17"/>
      <c r="J51" s="17"/>
      <c r="K51" s="17"/>
      <c r="L51" s="17"/>
      <c r="M51" s="17"/>
      <c r="N51" s="17"/>
      <c r="O51" s="17"/>
    </row>
    <row r="52" spans="2:15" x14ac:dyDescent="0.3">
      <c r="B52" s="6" t="s">
        <v>70</v>
      </c>
      <c r="C52" s="17"/>
      <c r="D52" s="17"/>
      <c r="E52" s="17"/>
      <c r="F52" s="17"/>
      <c r="G52" s="17"/>
      <c r="H52" s="17"/>
      <c r="I52" s="17"/>
      <c r="J52" s="17"/>
      <c r="K52" s="17"/>
      <c r="L52" s="17"/>
      <c r="M52" s="17"/>
      <c r="N52" s="17"/>
      <c r="O52" s="17"/>
    </row>
    <row r="53" spans="2:15" x14ac:dyDescent="0.3">
      <c r="B53" s="23" t="s">
        <v>46</v>
      </c>
      <c r="C53" s="17"/>
      <c r="D53" s="17"/>
      <c r="E53" s="17"/>
      <c r="F53" s="17"/>
      <c r="G53" s="17"/>
      <c r="H53" s="17"/>
      <c r="I53" s="17"/>
      <c r="J53" s="17"/>
      <c r="K53" s="17"/>
      <c r="L53" s="17"/>
      <c r="M53" s="17"/>
      <c r="N53" s="17"/>
      <c r="O53" s="17"/>
    </row>
    <row r="54" spans="2:15" x14ac:dyDescent="0.3">
      <c r="B54" t="s">
        <v>58</v>
      </c>
      <c r="C54" s="17">
        <v>0</v>
      </c>
      <c r="D54" s="17">
        <v>0</v>
      </c>
      <c r="E54" s="17">
        <v>0</v>
      </c>
      <c r="F54" s="17"/>
      <c r="G54" s="17">
        <v>0</v>
      </c>
      <c r="H54" s="17">
        <v>0</v>
      </c>
      <c r="I54" s="17">
        <v>0</v>
      </c>
      <c r="J54" s="17">
        <v>0</v>
      </c>
      <c r="K54" s="17"/>
      <c r="L54" s="17">
        <v>0</v>
      </c>
      <c r="M54" s="17">
        <v>0</v>
      </c>
      <c r="N54" s="17">
        <v>0</v>
      </c>
      <c r="O54" s="17">
        <v>0</v>
      </c>
    </row>
    <row r="55" spans="2:15" x14ac:dyDescent="0.3">
      <c r="B55" t="s">
        <v>59</v>
      </c>
      <c r="C55" s="17">
        <v>1.4587537285506101E-2</v>
      </c>
      <c r="D55" s="17">
        <v>1.7455429847473999E-2</v>
      </c>
      <c r="E55" s="17">
        <v>1.18292114987004E-2</v>
      </c>
      <c r="F55" s="17"/>
      <c r="G55" s="17">
        <v>1.8292872323343499E-2</v>
      </c>
      <c r="H55" s="17">
        <v>1.8668617229250301E-2</v>
      </c>
      <c r="I55" s="17">
        <v>8.8162586429205193E-3</v>
      </c>
      <c r="J55" s="17">
        <v>1.05155280745839E-2</v>
      </c>
      <c r="K55" s="17"/>
      <c r="L55" s="17">
        <v>1.3866969244853001E-2</v>
      </c>
      <c r="M55" s="17">
        <v>1.24926184059726E-2</v>
      </c>
      <c r="N55" s="17">
        <v>2.6594477643318199E-2</v>
      </c>
      <c r="O55" s="17">
        <v>4.5542114604515804E-3</v>
      </c>
    </row>
    <row r="56" spans="2:15" x14ac:dyDescent="0.3">
      <c r="B56" t="s">
        <v>60</v>
      </c>
      <c r="C56" s="17">
        <v>3.5301606112191401E-2</v>
      </c>
      <c r="D56" s="17">
        <v>3.9894434996868303E-2</v>
      </c>
      <c r="E56" s="17">
        <v>3.0971255941604402E-2</v>
      </c>
      <c r="F56" s="17"/>
      <c r="G56" s="17">
        <v>4.9779740331328398E-2</v>
      </c>
      <c r="H56" s="17">
        <v>2.4112409757741E-2</v>
      </c>
      <c r="I56" s="17">
        <v>2.8523586631391699E-2</v>
      </c>
      <c r="J56" s="17">
        <v>3.5622340528473899E-2</v>
      </c>
      <c r="K56" s="17"/>
      <c r="L56" s="17">
        <v>3.2828471390680999E-2</v>
      </c>
      <c r="M56" s="17">
        <v>2.7485841168649799E-2</v>
      </c>
      <c r="N56" s="17">
        <v>5.8939935823562398E-2</v>
      </c>
      <c r="O56" s="17">
        <v>2.0574418661405199E-2</v>
      </c>
    </row>
    <row r="57" spans="2:15" x14ac:dyDescent="0.3">
      <c r="B57" t="s">
        <v>61</v>
      </c>
      <c r="C57" s="17">
        <v>6.2653492499775906E-2</v>
      </c>
      <c r="D57" s="17">
        <v>7.3728308513862195E-2</v>
      </c>
      <c r="E57" s="17">
        <v>5.2047851773651101E-2</v>
      </c>
      <c r="F57" s="17"/>
      <c r="G57" s="17">
        <v>8.6886707871442898E-2</v>
      </c>
      <c r="H57" s="17">
        <v>4.9067570618666602E-2</v>
      </c>
      <c r="I57" s="17">
        <v>7.8159959898849898E-2</v>
      </c>
      <c r="J57" s="17">
        <v>2.4946507807008699E-2</v>
      </c>
      <c r="K57" s="17"/>
      <c r="L57" s="17">
        <v>8.0798678485187195E-2</v>
      </c>
      <c r="M57" s="17">
        <v>8.4521396919566602E-2</v>
      </c>
      <c r="N57" s="17">
        <v>6.7267126598043306E-2</v>
      </c>
      <c r="O57" s="17">
        <v>1.5985639062375899E-2</v>
      </c>
    </row>
    <row r="58" spans="2:15" x14ac:dyDescent="0.3">
      <c r="B58" t="s">
        <v>62</v>
      </c>
      <c r="C58" s="17">
        <v>0.20646031934734599</v>
      </c>
      <c r="D58" s="17">
        <v>0.23614580800949</v>
      </c>
      <c r="E58" s="17">
        <v>0.17831314304351201</v>
      </c>
      <c r="F58" s="17"/>
      <c r="G58" s="17">
        <v>0.25366563397368802</v>
      </c>
      <c r="H58" s="17">
        <v>0.20270492285304501</v>
      </c>
      <c r="I58" s="17">
        <v>0.223749242646261</v>
      </c>
      <c r="J58" s="17">
        <v>0.135142462646757</v>
      </c>
      <c r="K58" s="17"/>
      <c r="L58" s="17">
        <v>0.20547202114949401</v>
      </c>
      <c r="M58" s="17">
        <v>0.27827775844261399</v>
      </c>
      <c r="N58" s="17">
        <v>0.184256480015178</v>
      </c>
      <c r="O58" s="17">
        <v>0.154244622643468</v>
      </c>
    </row>
    <row r="59" spans="2:15" x14ac:dyDescent="0.3">
      <c r="B59" t="s">
        <v>63</v>
      </c>
      <c r="C59" s="17">
        <v>0.441246565260903</v>
      </c>
      <c r="D59" s="17">
        <v>0.44119753404416101</v>
      </c>
      <c r="E59" s="17">
        <v>0.437223750032946</v>
      </c>
      <c r="F59" s="17"/>
      <c r="G59" s="17">
        <v>0.39285873932980497</v>
      </c>
      <c r="H59" s="17">
        <v>0.45124958035255203</v>
      </c>
      <c r="I59" s="17">
        <v>0.40191480068587698</v>
      </c>
      <c r="J59" s="17">
        <v>0.53226612137194196</v>
      </c>
      <c r="K59" s="17"/>
      <c r="L59" s="17">
        <v>0.51037380696331003</v>
      </c>
      <c r="M59" s="17">
        <v>0.44866847665795601</v>
      </c>
      <c r="N59" s="17">
        <v>0.44650278502477497</v>
      </c>
      <c r="O59" s="17">
        <v>0.35844090806898599</v>
      </c>
    </row>
    <row r="60" spans="2:15" x14ac:dyDescent="0.3">
      <c r="B60" t="s">
        <v>64</v>
      </c>
      <c r="C60" s="17">
        <v>0.106322852804439</v>
      </c>
      <c r="D60" s="17">
        <v>9.8026216577058997E-2</v>
      </c>
      <c r="E60" s="17">
        <v>0.115384852334141</v>
      </c>
      <c r="F60" s="17"/>
      <c r="G60" s="17">
        <v>9.6360328219371502E-2</v>
      </c>
      <c r="H60" s="17">
        <v>6.3825811005771199E-2</v>
      </c>
      <c r="I60" s="17">
        <v>0.124471209206693</v>
      </c>
      <c r="J60" s="17">
        <v>0.15180302148796199</v>
      </c>
      <c r="K60" s="17"/>
      <c r="L60" s="17">
        <v>0.104784224251501</v>
      </c>
      <c r="M60" s="17">
        <v>9.2224524264261698E-2</v>
      </c>
      <c r="N60" s="17">
        <v>8.5356477250723803E-2</v>
      </c>
      <c r="O60" s="17">
        <v>0.145741438606517</v>
      </c>
    </row>
    <row r="61" spans="2:15" x14ac:dyDescent="0.3">
      <c r="B61" t="s">
        <v>65</v>
      </c>
      <c r="C61" s="17">
        <v>0.12237188928418501</v>
      </c>
      <c r="D61" s="17">
        <v>8.8124736002655704E-2</v>
      </c>
      <c r="E61" s="17">
        <v>0.15747183066654299</v>
      </c>
      <c r="F61" s="17"/>
      <c r="G61" s="17">
        <v>9.44144882062527E-2</v>
      </c>
      <c r="H61" s="17">
        <v>0.18193184050481001</v>
      </c>
      <c r="I61" s="17">
        <v>0.13436494228800699</v>
      </c>
      <c r="J61" s="17">
        <v>8.1188037721130396E-2</v>
      </c>
      <c r="K61" s="17"/>
      <c r="L61" s="17">
        <v>4.2732796750247402E-2</v>
      </c>
      <c r="M61" s="17">
        <v>5.6329384140978898E-2</v>
      </c>
      <c r="N61" s="17">
        <v>0.109941963553486</v>
      </c>
      <c r="O61" s="17">
        <v>0.28652245992286002</v>
      </c>
    </row>
    <row r="62" spans="2:15" x14ac:dyDescent="0.3">
      <c r="B62" t="s">
        <v>66</v>
      </c>
      <c r="C62" s="17">
        <v>1.10557374056538E-2</v>
      </c>
      <c r="D62" s="17">
        <v>5.4275320084305797E-3</v>
      </c>
      <c r="E62" s="17">
        <v>1.6758104708901898E-2</v>
      </c>
      <c r="F62" s="17"/>
      <c r="G62" s="17">
        <v>7.7414897447680804E-3</v>
      </c>
      <c r="H62" s="17">
        <v>8.4392476781632395E-3</v>
      </c>
      <c r="I62" s="17">
        <v>0</v>
      </c>
      <c r="J62" s="17">
        <v>2.8515980362141299E-2</v>
      </c>
      <c r="K62" s="17"/>
      <c r="L62" s="17">
        <v>9.1430317647263806E-3</v>
      </c>
      <c r="M62" s="17">
        <v>0</v>
      </c>
      <c r="N62" s="17">
        <v>2.1140754090912799E-2</v>
      </c>
      <c r="O62" s="17">
        <v>1.3936301573935699E-2</v>
      </c>
    </row>
    <row r="63" spans="2:15" x14ac:dyDescent="0.3">
      <c r="C63" s="17"/>
      <c r="D63" s="17"/>
      <c r="E63" s="17"/>
      <c r="F63" s="17"/>
      <c r="G63" s="17"/>
      <c r="H63" s="17"/>
      <c r="I63" s="17"/>
      <c r="J63" s="17"/>
      <c r="K63" s="17"/>
      <c r="L63" s="17"/>
      <c r="M63" s="17"/>
      <c r="N63" s="17"/>
      <c r="O63" s="17"/>
    </row>
    <row r="64" spans="2:15" x14ac:dyDescent="0.3">
      <c r="B64" s="6" t="s">
        <v>71</v>
      </c>
      <c r="C64" s="17"/>
      <c r="D64" s="17"/>
      <c r="E64" s="17"/>
      <c r="F64" s="17"/>
      <c r="G64" s="17"/>
      <c r="H64" s="17"/>
      <c r="I64" s="17"/>
      <c r="J64" s="17"/>
      <c r="K64" s="17"/>
      <c r="L64" s="17"/>
      <c r="M64" s="17"/>
      <c r="N64" s="17"/>
      <c r="O64" s="17"/>
    </row>
    <row r="65" spans="2:15" x14ac:dyDescent="0.3">
      <c r="B65" s="23" t="s">
        <v>46</v>
      </c>
      <c r="C65" s="17"/>
      <c r="D65" s="17"/>
      <c r="E65" s="17"/>
      <c r="F65" s="17"/>
      <c r="G65" s="17"/>
      <c r="H65" s="17"/>
      <c r="I65" s="17"/>
      <c r="J65" s="17"/>
      <c r="K65" s="17"/>
      <c r="L65" s="17"/>
      <c r="M65" s="17"/>
      <c r="N65" s="17"/>
      <c r="O65" s="17"/>
    </row>
    <row r="66" spans="2:15" x14ac:dyDescent="0.3">
      <c r="B66" t="s">
        <v>58</v>
      </c>
      <c r="C66" s="17">
        <v>3.9237314965330103E-2</v>
      </c>
      <c r="D66" s="17">
        <v>3.4399032282453799E-2</v>
      </c>
      <c r="E66" s="17">
        <v>4.4356025345095001E-2</v>
      </c>
      <c r="F66" s="17"/>
      <c r="G66" s="17">
        <v>5.0167426471566003E-2</v>
      </c>
      <c r="H66" s="17">
        <v>3.9223623336907897E-2</v>
      </c>
      <c r="I66" s="17">
        <v>4.0892489331619E-2</v>
      </c>
      <c r="J66" s="17">
        <v>2.3827515452949598E-2</v>
      </c>
      <c r="K66" s="17"/>
      <c r="L66" s="17">
        <v>3.6083995673111803E-2</v>
      </c>
      <c r="M66" s="17">
        <v>1.4077389188128901E-2</v>
      </c>
      <c r="N66" s="17">
        <v>4.7225473315046798E-2</v>
      </c>
      <c r="O66" s="17">
        <v>6.0802776805677999E-2</v>
      </c>
    </row>
    <row r="67" spans="2:15" x14ac:dyDescent="0.3">
      <c r="B67" t="s">
        <v>59</v>
      </c>
      <c r="C67" s="17">
        <v>7.2296483291585403E-2</v>
      </c>
      <c r="D67" s="17">
        <v>5.53108330789382E-2</v>
      </c>
      <c r="E67" s="17">
        <v>8.9789650065221396E-2</v>
      </c>
      <c r="F67" s="17"/>
      <c r="G67" s="17">
        <v>6.8561576052070403E-2</v>
      </c>
      <c r="H67" s="17">
        <v>5.1613607922699201E-2</v>
      </c>
      <c r="I67" s="17">
        <v>0.10136498831875899</v>
      </c>
      <c r="J67" s="17">
        <v>7.4677625415049506E-2</v>
      </c>
      <c r="K67" s="17"/>
      <c r="L67" s="17">
        <v>6.2684341846148101E-2</v>
      </c>
      <c r="M67" s="17">
        <v>5.7304862293235503E-2</v>
      </c>
      <c r="N67" s="17">
        <v>8.8573992169265606E-2</v>
      </c>
      <c r="O67" s="17">
        <v>8.0402006648063504E-2</v>
      </c>
    </row>
    <row r="68" spans="2:15" x14ac:dyDescent="0.3">
      <c r="B68" t="s">
        <v>60</v>
      </c>
      <c r="C68" s="17">
        <v>9.8606198677912593E-2</v>
      </c>
      <c r="D68" s="17">
        <v>0.107941139371469</v>
      </c>
      <c r="E68" s="17">
        <v>8.5654841037466595E-2</v>
      </c>
      <c r="F68" s="17"/>
      <c r="G68" s="17">
        <v>0.115014578655772</v>
      </c>
      <c r="H68" s="17">
        <v>8.8803876570311496E-2</v>
      </c>
      <c r="I68" s="17">
        <v>8.2924468507989305E-2</v>
      </c>
      <c r="J68" s="17">
        <v>0.103468099611969</v>
      </c>
      <c r="K68" s="17"/>
      <c r="L68" s="17">
        <v>4.4517163947944298E-2</v>
      </c>
      <c r="M68" s="17">
        <v>0.13196241497032499</v>
      </c>
      <c r="N68" s="17">
        <v>9.8516904914855E-2</v>
      </c>
      <c r="O68" s="17">
        <v>0.11690876594268899</v>
      </c>
    </row>
    <row r="69" spans="2:15" x14ac:dyDescent="0.3">
      <c r="B69" t="s">
        <v>61</v>
      </c>
      <c r="C69" s="17">
        <v>0.19377022857391299</v>
      </c>
      <c r="D69" s="17">
        <v>0.20717188986642401</v>
      </c>
      <c r="E69" s="17">
        <v>0.18179587415597501</v>
      </c>
      <c r="F69" s="17"/>
      <c r="G69" s="17">
        <v>0.21452475829738399</v>
      </c>
      <c r="H69" s="17">
        <v>0.239097019277594</v>
      </c>
      <c r="I69" s="17">
        <v>0.15329774136823199</v>
      </c>
      <c r="J69" s="17">
        <v>0.15378503033007701</v>
      </c>
      <c r="K69" s="17"/>
      <c r="L69" s="17">
        <v>0.20992360185933301</v>
      </c>
      <c r="M69" s="17">
        <v>0.21213949519050901</v>
      </c>
      <c r="N69" s="17">
        <v>0.20129437040042999</v>
      </c>
      <c r="O69" s="17">
        <v>0.14970482391918399</v>
      </c>
    </row>
    <row r="70" spans="2:15" x14ac:dyDescent="0.3">
      <c r="B70" t="s">
        <v>62</v>
      </c>
      <c r="C70" s="17">
        <v>0.27741971201117299</v>
      </c>
      <c r="D70" s="17">
        <v>0.248783318379866</v>
      </c>
      <c r="E70" s="17">
        <v>0.30804515451992298</v>
      </c>
      <c r="F70" s="17"/>
      <c r="G70" s="17">
        <v>0.28513775715075301</v>
      </c>
      <c r="H70" s="17">
        <v>0.28295001821751897</v>
      </c>
      <c r="I70" s="17">
        <v>0.27076007115900302</v>
      </c>
      <c r="J70" s="17">
        <v>0.26937555633563198</v>
      </c>
      <c r="K70" s="17"/>
      <c r="L70" s="17">
        <v>0.29469704432416999</v>
      </c>
      <c r="M70" s="17">
        <v>0.21321308895859301</v>
      </c>
      <c r="N70" s="17">
        <v>0.28602942162039602</v>
      </c>
      <c r="O70" s="17">
        <v>0.319885955450809</v>
      </c>
    </row>
    <row r="71" spans="2:15" x14ac:dyDescent="0.3">
      <c r="B71" t="s">
        <v>63</v>
      </c>
      <c r="C71" s="17">
        <v>0.27986286561899298</v>
      </c>
      <c r="D71" s="17">
        <v>0.297831280478289</v>
      </c>
      <c r="E71" s="17">
        <v>0.26101266841304599</v>
      </c>
      <c r="F71" s="17"/>
      <c r="G71" s="17">
        <v>0.25018634437966403</v>
      </c>
      <c r="H71" s="17">
        <v>0.25565443444607699</v>
      </c>
      <c r="I71" s="17">
        <v>0.30081860351482398</v>
      </c>
      <c r="J71" s="17">
        <v>0.32112792009907398</v>
      </c>
      <c r="K71" s="17"/>
      <c r="L71" s="17">
        <v>0.30048120013949398</v>
      </c>
      <c r="M71" s="17">
        <v>0.311260405870116</v>
      </c>
      <c r="N71" s="17">
        <v>0.242156539285664</v>
      </c>
      <c r="O71" s="17">
        <v>0.26631690950763398</v>
      </c>
    </row>
    <row r="72" spans="2:15" x14ac:dyDescent="0.3">
      <c r="B72" t="s">
        <v>64</v>
      </c>
      <c r="C72" s="17">
        <v>2.9353324663922101E-2</v>
      </c>
      <c r="D72" s="17">
        <v>3.6940177083975498E-2</v>
      </c>
      <c r="E72" s="17">
        <v>2.1989011072143599E-2</v>
      </c>
      <c r="F72" s="17"/>
      <c r="G72" s="17">
        <v>1.1595378382325701E-2</v>
      </c>
      <c r="H72" s="17">
        <v>3.4021949001676897E-2</v>
      </c>
      <c r="I72" s="17">
        <v>3.99164065647978E-2</v>
      </c>
      <c r="J72" s="17">
        <v>3.7760580255113203E-2</v>
      </c>
      <c r="K72" s="17"/>
      <c r="L72" s="17">
        <v>3.4173864812364001E-2</v>
      </c>
      <c r="M72" s="17">
        <v>4.5260235416691899E-2</v>
      </c>
      <c r="N72" s="17">
        <v>3.6203298294342302E-2</v>
      </c>
      <c r="O72" s="17">
        <v>0</v>
      </c>
    </row>
    <row r="73" spans="2:15" x14ac:dyDescent="0.3">
      <c r="B73" t="s">
        <v>65</v>
      </c>
      <c r="C73" s="17">
        <v>7.7302537272463199E-3</v>
      </c>
      <c r="D73" s="17">
        <v>1.1622329458584799E-2</v>
      </c>
      <c r="E73" s="17">
        <v>3.8989392641768398E-3</v>
      </c>
      <c r="F73" s="17"/>
      <c r="G73" s="17">
        <v>4.81218061046543E-3</v>
      </c>
      <c r="H73" s="17">
        <v>8.6354712272148706E-3</v>
      </c>
      <c r="I73" s="17">
        <v>1.0025231234775001E-2</v>
      </c>
      <c r="J73" s="17">
        <v>8.4678369732551807E-3</v>
      </c>
      <c r="K73" s="17"/>
      <c r="L73" s="17">
        <v>1.74387873974346E-2</v>
      </c>
      <c r="M73" s="17">
        <v>8.1182592392422693E-3</v>
      </c>
      <c r="N73" s="17">
        <v>0</v>
      </c>
      <c r="O73" s="17">
        <v>5.97876172594287E-3</v>
      </c>
    </row>
    <row r="74" spans="2:15" x14ac:dyDescent="0.3">
      <c r="B74" t="s">
        <v>66</v>
      </c>
      <c r="C74" s="17">
        <v>1.72361846992398E-3</v>
      </c>
      <c r="D74" s="17">
        <v>0</v>
      </c>
      <c r="E74" s="17">
        <v>3.4578361269523199E-3</v>
      </c>
      <c r="F74" s="17"/>
      <c r="G74" s="17">
        <v>0</v>
      </c>
      <c r="H74" s="17">
        <v>0</v>
      </c>
      <c r="I74" s="17">
        <v>0</v>
      </c>
      <c r="J74" s="17">
        <v>7.5098355268804502E-3</v>
      </c>
      <c r="K74" s="17"/>
      <c r="L74" s="17">
        <v>0</v>
      </c>
      <c r="M74" s="17">
        <v>6.6638488731567804E-3</v>
      </c>
      <c r="N74" s="17">
        <v>0</v>
      </c>
      <c r="O74" s="17">
        <v>0</v>
      </c>
    </row>
    <row r="75" spans="2:15" x14ac:dyDescent="0.3">
      <c r="C75" s="17"/>
      <c r="D75" s="17"/>
      <c r="E75" s="17"/>
      <c r="F75" s="17"/>
      <c r="G75" s="17"/>
      <c r="H75" s="17"/>
      <c r="I75" s="17"/>
      <c r="J75" s="17"/>
      <c r="K75" s="17"/>
      <c r="L75" s="17"/>
      <c r="M75" s="17"/>
      <c r="N75" s="17"/>
      <c r="O75" s="17"/>
    </row>
    <row r="76" spans="2:15" x14ac:dyDescent="0.3">
      <c r="B76" s="6" t="s">
        <v>72</v>
      </c>
      <c r="C76" s="17"/>
      <c r="D76" s="17"/>
      <c r="E76" s="17"/>
      <c r="F76" s="17"/>
      <c r="G76" s="17"/>
      <c r="H76" s="17"/>
      <c r="I76" s="17"/>
      <c r="J76" s="17"/>
      <c r="K76" s="17"/>
      <c r="L76" s="17"/>
      <c r="M76" s="17"/>
      <c r="N76" s="17"/>
      <c r="O76" s="17"/>
    </row>
    <row r="77" spans="2:15" x14ac:dyDescent="0.3">
      <c r="B77" s="23" t="s">
        <v>46</v>
      </c>
      <c r="C77" s="17"/>
      <c r="D77" s="17"/>
      <c r="E77" s="17"/>
      <c r="F77" s="17"/>
      <c r="G77" s="17"/>
      <c r="H77" s="17"/>
      <c r="I77" s="17"/>
      <c r="J77" s="17"/>
      <c r="K77" s="17"/>
      <c r="L77" s="17"/>
      <c r="M77" s="17"/>
      <c r="N77" s="17"/>
      <c r="O77" s="17"/>
    </row>
    <row r="78" spans="2:15" x14ac:dyDescent="0.3">
      <c r="B78" t="s">
        <v>58</v>
      </c>
      <c r="C78" s="17">
        <v>8.8443710807924597E-3</v>
      </c>
      <c r="D78" s="17">
        <v>1.11890067654128E-2</v>
      </c>
      <c r="E78" s="17">
        <v>6.56685472106853E-3</v>
      </c>
      <c r="F78" s="17"/>
      <c r="G78" s="17">
        <v>1.34068325568903E-2</v>
      </c>
      <c r="H78" s="17">
        <v>0</v>
      </c>
      <c r="I78" s="17">
        <v>8.8162586429205193E-3</v>
      </c>
      <c r="J78" s="17">
        <v>1.30398472202877E-2</v>
      </c>
      <c r="K78" s="17"/>
      <c r="L78" s="17">
        <v>0</v>
      </c>
      <c r="M78" s="17">
        <v>6.0546901673625897E-3</v>
      </c>
      <c r="N78" s="17">
        <v>2.79426134237033E-2</v>
      </c>
      <c r="O78" s="17">
        <v>0</v>
      </c>
    </row>
    <row r="79" spans="2:15" x14ac:dyDescent="0.3">
      <c r="B79" t="s">
        <v>59</v>
      </c>
      <c r="C79" s="17">
        <v>1.38165482306485E-2</v>
      </c>
      <c r="D79" s="17">
        <v>1.9060498902134501E-2</v>
      </c>
      <c r="E79" s="17">
        <v>8.6792496287852999E-3</v>
      </c>
      <c r="F79" s="17"/>
      <c r="G79" s="17">
        <v>2.52027643662848E-2</v>
      </c>
      <c r="H79" s="17">
        <v>6.1937489330162699E-3</v>
      </c>
      <c r="I79" s="17">
        <v>0</v>
      </c>
      <c r="J79" s="17">
        <v>2.0366725876375599E-2</v>
      </c>
      <c r="K79" s="17"/>
      <c r="L79" s="17">
        <v>7.3701477244089101E-3</v>
      </c>
      <c r="M79" s="17">
        <v>7.7444923474286999E-3</v>
      </c>
      <c r="N79" s="17">
        <v>3.2356305781214602E-2</v>
      </c>
      <c r="O79" s="17">
        <v>6.7102715072385501E-3</v>
      </c>
    </row>
    <row r="80" spans="2:15" x14ac:dyDescent="0.3">
      <c r="B80" t="s">
        <v>60</v>
      </c>
      <c r="C80" s="17">
        <v>2.7668932602640701E-2</v>
      </c>
      <c r="D80" s="17">
        <v>3.8224888294176897E-2</v>
      </c>
      <c r="E80" s="17">
        <v>1.7326619636917898E-2</v>
      </c>
      <c r="F80" s="17"/>
      <c r="G80" s="17">
        <v>2.0825432934320799E-2</v>
      </c>
      <c r="H80" s="17">
        <v>5.8908724956310998E-2</v>
      </c>
      <c r="I80" s="17">
        <v>1.87049328945957E-2</v>
      </c>
      <c r="J80" s="17">
        <v>9.5203015299986597E-3</v>
      </c>
      <c r="K80" s="17"/>
      <c r="L80" s="17">
        <v>6.7965423856307002E-3</v>
      </c>
      <c r="M80" s="17">
        <v>3.7264036987869599E-2</v>
      </c>
      <c r="N80" s="17">
        <v>3.9077622571734298E-2</v>
      </c>
      <c r="O80" s="17">
        <v>2.5859902453871202E-2</v>
      </c>
    </row>
    <row r="81" spans="2:15" x14ac:dyDescent="0.3">
      <c r="B81" t="s">
        <v>61</v>
      </c>
      <c r="C81" s="17">
        <v>4.71058812118254E-2</v>
      </c>
      <c r="D81" s="17">
        <v>5.9171291826771097E-2</v>
      </c>
      <c r="E81" s="17">
        <v>3.5397473338537398E-2</v>
      </c>
      <c r="F81" s="17"/>
      <c r="G81" s="17">
        <v>4.97607487787207E-2</v>
      </c>
      <c r="H81" s="17">
        <v>5.9286816262122802E-2</v>
      </c>
      <c r="I81" s="17">
        <v>6.5222161706740597E-2</v>
      </c>
      <c r="J81" s="17">
        <v>1.3666632619377599E-2</v>
      </c>
      <c r="K81" s="17"/>
      <c r="L81" s="17">
        <v>3.28108324615397E-2</v>
      </c>
      <c r="M81" s="17">
        <v>6.4131865033928398E-2</v>
      </c>
      <c r="N81" s="17">
        <v>5.8925803073425001E-2</v>
      </c>
      <c r="O81" s="17">
        <v>3.0280183530691399E-2</v>
      </c>
    </row>
    <row r="82" spans="2:15" x14ac:dyDescent="0.3">
      <c r="B82" t="s">
        <v>62</v>
      </c>
      <c r="C82" s="17">
        <v>0.150338833468384</v>
      </c>
      <c r="D82" s="17">
        <v>0.20934797095730001</v>
      </c>
      <c r="E82" s="17">
        <v>9.2492402799092197E-2</v>
      </c>
      <c r="F82" s="17"/>
      <c r="G82" s="17">
        <v>0.20127472926149001</v>
      </c>
      <c r="H82" s="17">
        <v>0.109785985002361</v>
      </c>
      <c r="I82" s="17">
        <v>0.15549693323549901</v>
      </c>
      <c r="J82" s="17">
        <v>0.126554061614672</v>
      </c>
      <c r="K82" s="17"/>
      <c r="L82" s="17">
        <v>7.5547189902733194E-2</v>
      </c>
      <c r="M82" s="17">
        <v>0.127050266097677</v>
      </c>
      <c r="N82" s="17">
        <v>0.209929655599815</v>
      </c>
      <c r="O82" s="17">
        <v>0.18562660583589399</v>
      </c>
    </row>
    <row r="83" spans="2:15" x14ac:dyDescent="0.3">
      <c r="B83" t="s">
        <v>63</v>
      </c>
      <c r="C83" s="17">
        <v>0.32756823563759901</v>
      </c>
      <c r="D83" s="17">
        <v>0.360614369724166</v>
      </c>
      <c r="E83" s="17">
        <v>0.29400511827760001</v>
      </c>
      <c r="F83" s="17"/>
      <c r="G83" s="17">
        <v>0.38432846966371498</v>
      </c>
      <c r="H83" s="17">
        <v>0.273061122737353</v>
      </c>
      <c r="I83" s="17">
        <v>0.31691641969545897</v>
      </c>
      <c r="J83" s="17">
        <v>0.31994223265447103</v>
      </c>
      <c r="K83" s="17"/>
      <c r="L83" s="17">
        <v>0.34070911669716403</v>
      </c>
      <c r="M83" s="17">
        <v>0.38320852270428502</v>
      </c>
      <c r="N83" s="17">
        <v>0.30632921165708799</v>
      </c>
      <c r="O83" s="17">
        <v>0.27758083689427498</v>
      </c>
    </row>
    <row r="84" spans="2:15" x14ac:dyDescent="0.3">
      <c r="B84" t="s">
        <v>64</v>
      </c>
      <c r="C84" s="17">
        <v>0.20923478905059401</v>
      </c>
      <c r="D84" s="17">
        <v>0.14491559813931701</v>
      </c>
      <c r="E84" s="17">
        <v>0.27500554318977299</v>
      </c>
      <c r="F84" s="17"/>
      <c r="G84" s="17">
        <v>0.17273603116226199</v>
      </c>
      <c r="H84" s="17">
        <v>0.22669861683793799</v>
      </c>
      <c r="I84" s="17">
        <v>0.23139381958927699</v>
      </c>
      <c r="J84" s="17">
        <v>0.21835662347050699</v>
      </c>
      <c r="K84" s="17"/>
      <c r="L84" s="17">
        <v>0.30586089832625102</v>
      </c>
      <c r="M84" s="17">
        <v>0.18649379840531899</v>
      </c>
      <c r="N84" s="17">
        <v>0.15196878929168101</v>
      </c>
      <c r="O84" s="17">
        <v>0.199110639147312</v>
      </c>
    </row>
    <row r="85" spans="2:15" x14ac:dyDescent="0.3">
      <c r="B85" t="s">
        <v>65</v>
      </c>
      <c r="C85" s="17">
        <v>0.20559561237054599</v>
      </c>
      <c r="D85" s="17">
        <v>0.148707813502194</v>
      </c>
      <c r="E85" s="17">
        <v>0.25957130118259703</v>
      </c>
      <c r="F85" s="17"/>
      <c r="G85" s="17">
        <v>0.132464991276316</v>
      </c>
      <c r="H85" s="17">
        <v>0.2526130058469</v>
      </c>
      <c r="I85" s="17">
        <v>0.20344947423550799</v>
      </c>
      <c r="J85" s="17">
        <v>0.25100539966108498</v>
      </c>
      <c r="K85" s="17"/>
      <c r="L85" s="17">
        <v>0.22221436259509</v>
      </c>
      <c r="M85" s="17">
        <v>0.188052328256129</v>
      </c>
      <c r="N85" s="17">
        <v>0.16029787129048201</v>
      </c>
      <c r="O85" s="17">
        <v>0.256921735772488</v>
      </c>
    </row>
    <row r="86" spans="2:15" x14ac:dyDescent="0.3">
      <c r="B86" t="s">
        <v>66</v>
      </c>
      <c r="C86" s="17">
        <v>9.8267963469705396E-3</v>
      </c>
      <c r="D86" s="17">
        <v>8.76856188852735E-3</v>
      </c>
      <c r="E86" s="17">
        <v>1.09554372256279E-2</v>
      </c>
      <c r="F86" s="17"/>
      <c r="G86" s="17">
        <v>0</v>
      </c>
      <c r="H86" s="17">
        <v>1.3451979423998501E-2</v>
      </c>
      <c r="I86" s="17">
        <v>0</v>
      </c>
      <c r="J86" s="17">
        <v>2.75481753532258E-2</v>
      </c>
      <c r="K86" s="17"/>
      <c r="L86" s="17">
        <v>8.69090990718226E-3</v>
      </c>
      <c r="M86" s="17">
        <v>0</v>
      </c>
      <c r="N86" s="17">
        <v>1.31721273108558E-2</v>
      </c>
      <c r="O86" s="17">
        <v>1.79098248582302E-2</v>
      </c>
    </row>
    <row r="87" spans="2:15" x14ac:dyDescent="0.3">
      <c r="C87" s="17"/>
      <c r="D87" s="17"/>
      <c r="E87" s="17"/>
      <c r="F87" s="17"/>
      <c r="G87" s="17"/>
      <c r="H87" s="17"/>
      <c r="I87" s="17"/>
      <c r="J87" s="17"/>
      <c r="K87" s="17"/>
      <c r="L87" s="17"/>
      <c r="M87" s="17"/>
      <c r="N87" s="17"/>
      <c r="O87" s="17"/>
    </row>
    <row r="88" spans="2:15" x14ac:dyDescent="0.3">
      <c r="B88" s="6" t="s">
        <v>73</v>
      </c>
      <c r="C88" s="17"/>
      <c r="D88" s="17"/>
      <c r="E88" s="17"/>
      <c r="F88" s="17"/>
      <c r="G88" s="17"/>
      <c r="H88" s="17"/>
      <c r="I88" s="17"/>
      <c r="J88" s="17"/>
      <c r="K88" s="17"/>
      <c r="L88" s="17"/>
      <c r="M88" s="17"/>
      <c r="N88" s="17"/>
      <c r="O88" s="17"/>
    </row>
    <row r="89" spans="2:15" x14ac:dyDescent="0.3">
      <c r="B89" s="23" t="s">
        <v>46</v>
      </c>
      <c r="C89" s="17"/>
      <c r="D89" s="17"/>
      <c r="E89" s="17"/>
      <c r="F89" s="17"/>
      <c r="G89" s="17"/>
      <c r="H89" s="17"/>
      <c r="I89" s="17"/>
      <c r="J89" s="17"/>
      <c r="K89" s="17"/>
      <c r="L89" s="17"/>
      <c r="M89" s="17"/>
      <c r="N89" s="17"/>
      <c r="O89" s="17"/>
    </row>
    <row r="90" spans="2:15" x14ac:dyDescent="0.3">
      <c r="B90" t="s">
        <v>58</v>
      </c>
      <c r="C90" s="17">
        <v>9.0480607248471807E-3</v>
      </c>
      <c r="D90" s="17">
        <v>1.36929603031298E-2</v>
      </c>
      <c r="E90" s="17">
        <v>4.4743822730248699E-3</v>
      </c>
      <c r="F90" s="17"/>
      <c r="G90" s="17">
        <v>7.1759159541977804E-3</v>
      </c>
      <c r="H90" s="17">
        <v>5.2002403157028598E-3</v>
      </c>
      <c r="I90" s="17">
        <v>1.7805579577859401E-2</v>
      </c>
      <c r="J90" s="17">
        <v>0</v>
      </c>
      <c r="K90" s="17"/>
      <c r="L90" s="17">
        <v>0</v>
      </c>
      <c r="M90" s="17">
        <v>8.2876663203417505E-3</v>
      </c>
      <c r="N90" s="17">
        <v>2.6507249793374599E-2</v>
      </c>
      <c r="O90" s="17">
        <v>0</v>
      </c>
    </row>
    <row r="91" spans="2:15" x14ac:dyDescent="0.3">
      <c r="B91" t="s">
        <v>59</v>
      </c>
      <c r="C91" s="17">
        <v>1.51757028994628E-2</v>
      </c>
      <c r="D91" s="17">
        <v>1.42204240235256E-2</v>
      </c>
      <c r="E91" s="17">
        <v>1.62404843081131E-2</v>
      </c>
      <c r="F91" s="17"/>
      <c r="G91" s="17">
        <v>2.1257774798135998E-2</v>
      </c>
      <c r="H91" s="17">
        <v>1.6554336295954899E-2</v>
      </c>
      <c r="I91" s="17">
        <v>1.0025231234775001E-2</v>
      </c>
      <c r="J91" s="17">
        <v>1.05155280745839E-2</v>
      </c>
      <c r="K91" s="17"/>
      <c r="L91" s="17">
        <v>6.7965423856307002E-3</v>
      </c>
      <c r="M91" s="17">
        <v>1.7942863444233501E-2</v>
      </c>
      <c r="N91" s="17">
        <v>1.7615577978064199E-2</v>
      </c>
      <c r="O91" s="17">
        <v>1.79348714921021E-2</v>
      </c>
    </row>
    <row r="92" spans="2:15" x14ac:dyDescent="0.3">
      <c r="B92" t="s">
        <v>60</v>
      </c>
      <c r="C92" s="17">
        <v>2.79748315832202E-2</v>
      </c>
      <c r="D92" s="17">
        <v>1.9374346242254301E-2</v>
      </c>
      <c r="E92" s="17">
        <v>3.6769390801344698E-2</v>
      </c>
      <c r="F92" s="17"/>
      <c r="G92" s="17">
        <v>4.7532897125880699E-2</v>
      </c>
      <c r="H92" s="17">
        <v>4.6433732058014703E-2</v>
      </c>
      <c r="I92" s="17">
        <v>0</v>
      </c>
      <c r="J92" s="17">
        <v>7.3204352072063598E-3</v>
      </c>
      <c r="K92" s="17"/>
      <c r="L92" s="17">
        <v>3.2657398427515999E-2</v>
      </c>
      <c r="M92" s="17">
        <v>3.8537913495566303E-2</v>
      </c>
      <c r="N92" s="17">
        <v>2.3364216066349801E-2</v>
      </c>
      <c r="O92" s="17">
        <v>1.69237828249801E-2</v>
      </c>
    </row>
    <row r="93" spans="2:15" x14ac:dyDescent="0.3">
      <c r="B93" t="s">
        <v>61</v>
      </c>
      <c r="C93" s="17">
        <v>6.2360876784831702E-2</v>
      </c>
      <c r="D93" s="17">
        <v>5.5763022546941599E-2</v>
      </c>
      <c r="E93" s="17">
        <v>6.9405664295480105E-2</v>
      </c>
      <c r="F93" s="17"/>
      <c r="G93" s="17">
        <v>0.106485253590538</v>
      </c>
      <c r="H93" s="17">
        <v>8.1550836128617604E-2</v>
      </c>
      <c r="I93" s="17">
        <v>1.1347384769979599E-2</v>
      </c>
      <c r="J93" s="17">
        <v>3.0200025705252501E-2</v>
      </c>
      <c r="K93" s="17"/>
      <c r="L93" s="17">
        <v>7.2997841790310394E-2</v>
      </c>
      <c r="M93" s="17">
        <v>8.53054410838123E-2</v>
      </c>
      <c r="N93" s="17">
        <v>3.6562644927010501E-2</v>
      </c>
      <c r="O93" s="17">
        <v>5.49892074249076E-2</v>
      </c>
    </row>
    <row r="94" spans="2:15" x14ac:dyDescent="0.3">
      <c r="B94" t="s">
        <v>62</v>
      </c>
      <c r="C94" s="17">
        <v>0.189966288588576</v>
      </c>
      <c r="D94" s="17">
        <v>0.180510982153892</v>
      </c>
      <c r="E94" s="17">
        <v>0.20079517270622699</v>
      </c>
      <c r="F94" s="17"/>
      <c r="G94" s="17">
        <v>0.262456087925235</v>
      </c>
      <c r="H94" s="17">
        <v>0.16393826764819</v>
      </c>
      <c r="I94" s="17">
        <v>0.117236519171149</v>
      </c>
      <c r="J94" s="17">
        <v>0.19303678758168399</v>
      </c>
      <c r="K94" s="17"/>
      <c r="L94" s="17">
        <v>0.18589918223325899</v>
      </c>
      <c r="M94" s="17">
        <v>0.20071150125419901</v>
      </c>
      <c r="N94" s="17">
        <v>0.18216019347944901</v>
      </c>
      <c r="O94" s="17">
        <v>0.19093075405061299</v>
      </c>
    </row>
    <row r="95" spans="2:15" x14ac:dyDescent="0.3">
      <c r="B95" t="s">
        <v>63</v>
      </c>
      <c r="C95" s="17">
        <v>0.360763562072074</v>
      </c>
      <c r="D95" s="17">
        <v>0.32829173668382799</v>
      </c>
      <c r="E95" s="17">
        <v>0.39288575514142698</v>
      </c>
      <c r="F95" s="17"/>
      <c r="G95" s="17">
        <v>0.36408043644379501</v>
      </c>
      <c r="H95" s="17">
        <v>0.36995545258333801</v>
      </c>
      <c r="I95" s="17">
        <v>0.39459642101029602</v>
      </c>
      <c r="J95" s="17">
        <v>0.31800018303709199</v>
      </c>
      <c r="K95" s="17"/>
      <c r="L95" s="17">
        <v>0.38244997853587398</v>
      </c>
      <c r="M95" s="17">
        <v>0.32358598754358903</v>
      </c>
      <c r="N95" s="17">
        <v>0.381660111588218</v>
      </c>
      <c r="O95" s="17">
        <v>0.35643327441309602</v>
      </c>
    </row>
    <row r="96" spans="2:15" x14ac:dyDescent="0.3">
      <c r="B96" t="s">
        <v>64</v>
      </c>
      <c r="C96" s="17">
        <v>0.19386863181203301</v>
      </c>
      <c r="D96" s="17">
        <v>0.20822536372712999</v>
      </c>
      <c r="E96" s="17">
        <v>0.176595400890838</v>
      </c>
      <c r="F96" s="17"/>
      <c r="G96" s="17">
        <v>0.124241103394879</v>
      </c>
      <c r="H96" s="17">
        <v>0.20597117680919499</v>
      </c>
      <c r="I96" s="17">
        <v>0.24492249182839701</v>
      </c>
      <c r="J96" s="17">
        <v>0.225703053828646</v>
      </c>
      <c r="K96" s="17"/>
      <c r="L96" s="17">
        <v>0.26211700138590499</v>
      </c>
      <c r="M96" s="17">
        <v>0.17485952517564901</v>
      </c>
      <c r="N96" s="17">
        <v>0.16843627971626501</v>
      </c>
      <c r="O96" s="17">
        <v>0.173621167481048</v>
      </c>
    </row>
    <row r="97" spans="2:15" x14ac:dyDescent="0.3">
      <c r="B97" t="s">
        <v>65</v>
      </c>
      <c r="C97" s="17">
        <v>0.124832023809193</v>
      </c>
      <c r="D97" s="17">
        <v>0.15925232248791901</v>
      </c>
      <c r="E97" s="17">
        <v>9.1360577263567402E-2</v>
      </c>
      <c r="F97" s="17"/>
      <c r="G97" s="17">
        <v>5.7563481863539503E-2</v>
      </c>
      <c r="H97" s="17">
        <v>0.103784524495508</v>
      </c>
      <c r="I97" s="17">
        <v>0.17492997018586701</v>
      </c>
      <c r="J97" s="17">
        <v>0.19154459151738801</v>
      </c>
      <c r="K97" s="17"/>
      <c r="L97" s="17">
        <v>5.0456923707138203E-2</v>
      </c>
      <c r="M97" s="17">
        <v>0.14344267019589399</v>
      </c>
      <c r="N97" s="17">
        <v>0.13124435286470601</v>
      </c>
      <c r="O97" s="17">
        <v>0.17223989026087</v>
      </c>
    </row>
    <row r="98" spans="2:15" x14ac:dyDescent="0.3">
      <c r="B98" t="s">
        <v>66</v>
      </c>
      <c r="C98" s="17">
        <v>1.6010021725761599E-2</v>
      </c>
      <c r="D98" s="17">
        <v>2.0668841831380201E-2</v>
      </c>
      <c r="E98" s="17">
        <v>1.1473172319978599E-2</v>
      </c>
      <c r="F98" s="17"/>
      <c r="G98" s="17">
        <v>9.2070489037991195E-3</v>
      </c>
      <c r="H98" s="17">
        <v>6.6114336654788603E-3</v>
      </c>
      <c r="I98" s="17">
        <v>2.9136402221678001E-2</v>
      </c>
      <c r="J98" s="17">
        <v>2.3679395048147801E-2</v>
      </c>
      <c r="K98" s="17"/>
      <c r="L98" s="17">
        <v>6.6251315343664697E-3</v>
      </c>
      <c r="M98" s="17">
        <v>7.3264314867156604E-3</v>
      </c>
      <c r="N98" s="17">
        <v>3.24493735865636E-2</v>
      </c>
      <c r="O98" s="17">
        <v>1.69270520523827E-2</v>
      </c>
    </row>
    <row r="99" spans="2:15" x14ac:dyDescent="0.3">
      <c r="C99" s="17"/>
      <c r="D99" s="17"/>
      <c r="E99" s="17"/>
      <c r="F99" s="17"/>
      <c r="G99" s="17"/>
      <c r="H99" s="17"/>
      <c r="I99" s="17"/>
      <c r="J99" s="17"/>
      <c r="K99" s="17"/>
      <c r="L99" s="17"/>
      <c r="M99" s="17"/>
      <c r="N99" s="17"/>
      <c r="O99" s="17"/>
    </row>
    <row r="100" spans="2:15" x14ac:dyDescent="0.3">
      <c r="B100" s="6" t="s">
        <v>74</v>
      </c>
      <c r="C100" s="17"/>
      <c r="D100" s="17"/>
      <c r="E100" s="17"/>
      <c r="F100" s="17"/>
      <c r="G100" s="17"/>
      <c r="H100" s="17"/>
      <c r="I100" s="17"/>
      <c r="J100" s="17"/>
      <c r="K100" s="17"/>
      <c r="L100" s="17"/>
      <c r="M100" s="17"/>
      <c r="N100" s="17"/>
      <c r="O100" s="17"/>
    </row>
    <row r="101" spans="2:15" x14ac:dyDescent="0.3">
      <c r="B101" s="23" t="s">
        <v>46</v>
      </c>
      <c r="C101" s="17"/>
      <c r="D101" s="17"/>
      <c r="E101" s="17"/>
      <c r="F101" s="17"/>
      <c r="G101" s="17"/>
      <c r="H101" s="17"/>
      <c r="I101" s="17"/>
      <c r="J101" s="17"/>
      <c r="K101" s="17"/>
      <c r="L101" s="17"/>
      <c r="M101" s="17"/>
      <c r="N101" s="17"/>
      <c r="O101" s="17"/>
    </row>
    <row r="102" spans="2:15" x14ac:dyDescent="0.3">
      <c r="B102" t="s">
        <v>58</v>
      </c>
      <c r="C102" s="17">
        <v>3.0176244629577099E-3</v>
      </c>
      <c r="D102" s="17">
        <v>4.3018508425587297E-3</v>
      </c>
      <c r="E102" s="17">
        <v>1.75684966134739E-3</v>
      </c>
      <c r="F102" s="17"/>
      <c r="G102" s="17">
        <v>5.62720113200736E-3</v>
      </c>
      <c r="H102" s="17">
        <v>0</v>
      </c>
      <c r="I102" s="17">
        <v>0</v>
      </c>
      <c r="J102" s="17">
        <v>5.8237694911548099E-3</v>
      </c>
      <c r="K102" s="17"/>
      <c r="L102" s="17">
        <v>0</v>
      </c>
      <c r="M102" s="17">
        <v>3.3857534614847098E-3</v>
      </c>
      <c r="N102" s="17">
        <v>8.2230688016290496E-3</v>
      </c>
      <c r="O102" s="17">
        <v>0</v>
      </c>
    </row>
    <row r="103" spans="2:15" x14ac:dyDescent="0.3">
      <c r="B103" t="s">
        <v>59</v>
      </c>
      <c r="C103" s="17">
        <v>1.63237824103242E-2</v>
      </c>
      <c r="D103" s="17">
        <v>1.4896062595194401E-2</v>
      </c>
      <c r="E103" s="17">
        <v>1.7868833542559501E-2</v>
      </c>
      <c r="F103" s="17"/>
      <c r="G103" s="17">
        <v>1.6746558759751E-2</v>
      </c>
      <c r="H103" s="17">
        <v>2.0811304975127301E-2</v>
      </c>
      <c r="I103" s="17">
        <v>9.8343548105473307E-3</v>
      </c>
      <c r="J103" s="17">
        <v>1.6732032180613102E-2</v>
      </c>
      <c r="K103" s="17"/>
      <c r="L103" s="17">
        <v>1.49598724848111E-2</v>
      </c>
      <c r="M103" s="17">
        <v>6.1658826325353203E-3</v>
      </c>
      <c r="N103" s="17">
        <v>3.01085600938449E-2</v>
      </c>
      <c r="O103" s="17">
        <v>1.36816208184323E-2</v>
      </c>
    </row>
    <row r="104" spans="2:15" x14ac:dyDescent="0.3">
      <c r="B104" t="s">
        <v>60</v>
      </c>
      <c r="C104" s="17">
        <v>3.76227938732724E-2</v>
      </c>
      <c r="D104" s="17">
        <v>4.03813899759237E-2</v>
      </c>
      <c r="E104" s="17">
        <v>3.5141504456861601E-2</v>
      </c>
      <c r="F104" s="17"/>
      <c r="G104" s="17">
        <v>3.6571789817303302E-2</v>
      </c>
      <c r="H104" s="17">
        <v>2.86447565815264E-2</v>
      </c>
      <c r="I104" s="17">
        <v>2.15253034970871E-2</v>
      </c>
      <c r="J104" s="17">
        <v>6.4169118434508399E-2</v>
      </c>
      <c r="K104" s="17"/>
      <c r="L104" s="17">
        <v>3.6421768111928897E-2</v>
      </c>
      <c r="M104" s="17">
        <v>3.7406155682028999E-2</v>
      </c>
      <c r="N104" s="17">
        <v>5.75317144426662E-2</v>
      </c>
      <c r="O104" s="17">
        <v>1.74888725265346E-2</v>
      </c>
    </row>
    <row r="105" spans="2:15" x14ac:dyDescent="0.3">
      <c r="B105" t="s">
        <v>61</v>
      </c>
      <c r="C105" s="17">
        <v>8.6259132559570906E-2</v>
      </c>
      <c r="D105" s="17">
        <v>9.4573646975634196E-2</v>
      </c>
      <c r="E105" s="17">
        <v>7.8582673318923102E-2</v>
      </c>
      <c r="F105" s="17"/>
      <c r="G105" s="17">
        <v>8.9869732216659295E-2</v>
      </c>
      <c r="H105" s="17">
        <v>0.104316570334863</v>
      </c>
      <c r="I105" s="17">
        <v>8.6168195487740906E-2</v>
      </c>
      <c r="J105" s="17">
        <v>5.3900992653063799E-2</v>
      </c>
      <c r="K105" s="17"/>
      <c r="L105" s="17">
        <v>9.1412892060440704E-2</v>
      </c>
      <c r="M105" s="17">
        <v>6.4535518803213496E-2</v>
      </c>
      <c r="N105" s="17">
        <v>0.13343417487589801</v>
      </c>
      <c r="O105" s="17">
        <v>5.3368419287246699E-2</v>
      </c>
    </row>
    <row r="106" spans="2:15" x14ac:dyDescent="0.3">
      <c r="B106" t="s">
        <v>62</v>
      </c>
      <c r="C106" s="17">
        <v>0.248734778187958</v>
      </c>
      <c r="D106" s="17">
        <v>0.249203310647337</v>
      </c>
      <c r="E106" s="17">
        <v>0.25007937791887203</v>
      </c>
      <c r="F106" s="17"/>
      <c r="G106" s="17">
        <v>0.29511621567306101</v>
      </c>
      <c r="H106" s="17">
        <v>0.233093881341086</v>
      </c>
      <c r="I106" s="17">
        <v>0.24500718563461901</v>
      </c>
      <c r="J106" s="17">
        <v>0.21149338852706701</v>
      </c>
      <c r="K106" s="17"/>
      <c r="L106" s="17">
        <v>0.194148270420367</v>
      </c>
      <c r="M106" s="17">
        <v>0.27425772078601102</v>
      </c>
      <c r="N106" s="17">
        <v>0.24845613036473499</v>
      </c>
      <c r="O106" s="17">
        <v>0.27616665557522702</v>
      </c>
    </row>
    <row r="107" spans="2:15" x14ac:dyDescent="0.3">
      <c r="B107" t="s">
        <v>63</v>
      </c>
      <c r="C107" s="17">
        <v>0.47132287896313002</v>
      </c>
      <c r="D107" s="17">
        <v>0.47707619309129201</v>
      </c>
      <c r="E107" s="17">
        <v>0.46172349525768402</v>
      </c>
      <c r="F107" s="17"/>
      <c r="G107" s="17">
        <v>0.44876392406256599</v>
      </c>
      <c r="H107" s="17">
        <v>0.435875912193188</v>
      </c>
      <c r="I107" s="17">
        <v>0.53684699548352399</v>
      </c>
      <c r="J107" s="17">
        <v>0.48485699601926702</v>
      </c>
      <c r="K107" s="17"/>
      <c r="L107" s="17">
        <v>0.54204539972694599</v>
      </c>
      <c r="M107" s="17">
        <v>0.50360718575293795</v>
      </c>
      <c r="N107" s="17">
        <v>0.41969791793251199</v>
      </c>
      <c r="O107" s="17">
        <v>0.42179731170860002</v>
      </c>
    </row>
    <row r="108" spans="2:15" x14ac:dyDescent="0.3">
      <c r="B108" t="s">
        <v>64</v>
      </c>
      <c r="C108" s="17">
        <v>8.7016090860552994E-2</v>
      </c>
      <c r="D108" s="17">
        <v>7.4938305186073806E-2</v>
      </c>
      <c r="E108" s="17">
        <v>9.9714243577800399E-2</v>
      </c>
      <c r="F108" s="17"/>
      <c r="G108" s="17">
        <v>7.3622472071846398E-2</v>
      </c>
      <c r="H108" s="17">
        <v>8.3868779585363998E-2</v>
      </c>
      <c r="I108" s="17">
        <v>6.9522687321553395E-2</v>
      </c>
      <c r="J108" s="17">
        <v>0.12467498847285</v>
      </c>
      <c r="K108" s="17"/>
      <c r="L108" s="17">
        <v>8.3934943581103399E-2</v>
      </c>
      <c r="M108" s="17">
        <v>8.0700620321795702E-2</v>
      </c>
      <c r="N108" s="17">
        <v>6.2612738131951104E-2</v>
      </c>
      <c r="O108" s="17">
        <v>0.12332811887252999</v>
      </c>
    </row>
    <row r="109" spans="2:15" x14ac:dyDescent="0.3">
      <c r="B109" t="s">
        <v>65</v>
      </c>
      <c r="C109" s="17">
        <v>4.2047219566384998E-2</v>
      </c>
      <c r="D109" s="17">
        <v>3.60271729255741E-2</v>
      </c>
      <c r="E109" s="17">
        <v>4.8366825731903401E-2</v>
      </c>
      <c r="F109" s="17"/>
      <c r="G109" s="17">
        <v>2.8640053526938099E-2</v>
      </c>
      <c r="H109" s="17">
        <v>9.33887949888456E-2</v>
      </c>
      <c r="I109" s="17">
        <v>1.7837891907184201E-2</v>
      </c>
      <c r="J109" s="17">
        <v>2.3653679162646001E-2</v>
      </c>
      <c r="K109" s="17"/>
      <c r="L109" s="17">
        <v>2.5527948139286501E-2</v>
      </c>
      <c r="M109" s="17">
        <v>2.3277313686836502E-2</v>
      </c>
      <c r="N109" s="17">
        <v>2.7822011777063099E-2</v>
      </c>
      <c r="O109" s="17">
        <v>9.4169001211429598E-2</v>
      </c>
    </row>
    <row r="110" spans="2:15" x14ac:dyDescent="0.3">
      <c r="B110" t="s">
        <v>66</v>
      </c>
      <c r="C110" s="17">
        <v>7.6556991158485098E-3</v>
      </c>
      <c r="D110" s="17">
        <v>8.6020677604126908E-3</v>
      </c>
      <c r="E110" s="17">
        <v>6.7661965340485497E-3</v>
      </c>
      <c r="F110" s="17"/>
      <c r="G110" s="17">
        <v>5.0420527398669498E-3</v>
      </c>
      <c r="H110" s="17">
        <v>0</v>
      </c>
      <c r="I110" s="17">
        <v>1.3257385857743401E-2</v>
      </c>
      <c r="J110" s="17">
        <v>1.469503505883E-2</v>
      </c>
      <c r="K110" s="17"/>
      <c r="L110" s="17">
        <v>1.15489054751163E-2</v>
      </c>
      <c r="M110" s="17">
        <v>6.6638488731567804E-3</v>
      </c>
      <c r="N110" s="17">
        <v>1.21136835797008E-2</v>
      </c>
      <c r="O110" s="17">
        <v>0</v>
      </c>
    </row>
    <row r="111" spans="2:15" x14ac:dyDescent="0.3">
      <c r="C111" s="17"/>
      <c r="D111" s="17"/>
      <c r="E111" s="17"/>
      <c r="F111" s="17"/>
      <c r="G111" s="17"/>
      <c r="H111" s="17"/>
      <c r="I111" s="17"/>
      <c r="J111" s="17"/>
      <c r="K111" s="17"/>
      <c r="L111" s="17"/>
      <c r="M111" s="17"/>
      <c r="N111" s="17"/>
      <c r="O111" s="17"/>
    </row>
    <row r="112" spans="2:15" x14ac:dyDescent="0.3">
      <c r="B112" s="6" t="s">
        <v>81</v>
      </c>
      <c r="C112" s="17"/>
      <c r="D112" s="17"/>
      <c r="E112" s="17"/>
      <c r="F112" s="17"/>
      <c r="G112" s="17"/>
      <c r="H112" s="17"/>
      <c r="I112" s="17"/>
      <c r="J112" s="17"/>
      <c r="K112" s="17"/>
      <c r="L112" s="17"/>
      <c r="M112" s="17"/>
      <c r="N112" s="17"/>
      <c r="O112" s="17"/>
    </row>
    <row r="113" spans="2:15" x14ac:dyDescent="0.3">
      <c r="B113" s="23" t="s">
        <v>46</v>
      </c>
      <c r="C113" s="17"/>
      <c r="D113" s="17"/>
      <c r="E113" s="17"/>
      <c r="F113" s="17"/>
      <c r="G113" s="17"/>
      <c r="H113" s="17"/>
      <c r="I113" s="17"/>
      <c r="J113" s="17"/>
      <c r="K113" s="17"/>
      <c r="L113" s="17"/>
      <c r="M113" s="17"/>
      <c r="N113" s="17"/>
      <c r="O113" s="17"/>
    </row>
    <row r="114" spans="2:15" x14ac:dyDescent="0.3">
      <c r="B114" t="s">
        <v>75</v>
      </c>
      <c r="C114" s="17">
        <v>0.26988859254126901</v>
      </c>
      <c r="D114" s="17">
        <v>0.28639333908007703</v>
      </c>
      <c r="E114" s="17">
        <v>0.25536937941065802</v>
      </c>
      <c r="F114" s="17"/>
      <c r="G114" s="17">
        <v>0.35301942436784101</v>
      </c>
      <c r="H114" s="17">
        <v>0.21883160753970499</v>
      </c>
      <c r="I114" s="17">
        <v>0.26339442903427701</v>
      </c>
      <c r="J114" s="17">
        <v>0.219772553385402</v>
      </c>
      <c r="K114" s="17"/>
      <c r="L114" s="17">
        <v>0.27557580221880001</v>
      </c>
      <c r="M114" s="17">
        <v>0.21996002721301</v>
      </c>
      <c r="N114" s="17">
        <v>0.31822703073340097</v>
      </c>
      <c r="O114" s="17">
        <v>0.26554577388751099</v>
      </c>
    </row>
    <row r="115" spans="2:15" x14ac:dyDescent="0.3">
      <c r="B115" t="s">
        <v>76</v>
      </c>
      <c r="C115" s="17">
        <v>0.430094445302659</v>
      </c>
      <c r="D115" s="17">
        <v>0.44048190198198101</v>
      </c>
      <c r="E115" s="17">
        <v>0.415565749227082</v>
      </c>
      <c r="F115" s="17"/>
      <c r="G115" s="17">
        <v>0.42469758277393199</v>
      </c>
      <c r="H115" s="17">
        <v>0.50850843467543905</v>
      </c>
      <c r="I115" s="17">
        <v>0.38995371299730303</v>
      </c>
      <c r="J115" s="17">
        <v>0.38816584630422502</v>
      </c>
      <c r="K115" s="17"/>
      <c r="L115" s="17">
        <v>0.449689534639998</v>
      </c>
      <c r="M115" s="17">
        <v>0.53279767947329104</v>
      </c>
      <c r="N115" s="17">
        <v>0.35354297169932403</v>
      </c>
      <c r="O115" s="17">
        <v>0.38294633682174101</v>
      </c>
    </row>
    <row r="116" spans="2:15" x14ac:dyDescent="0.3">
      <c r="B116" t="s">
        <v>77</v>
      </c>
      <c r="C116" s="17">
        <v>0.241904319145439</v>
      </c>
      <c r="D116" s="17">
        <v>0.20857298817890199</v>
      </c>
      <c r="E116" s="17">
        <v>0.27696054616349203</v>
      </c>
      <c r="F116" s="17"/>
      <c r="G116" s="17">
        <v>0.19015640079212201</v>
      </c>
      <c r="H116" s="17">
        <v>0.23166429970688501</v>
      </c>
      <c r="I116" s="17">
        <v>0.27702839442794303</v>
      </c>
      <c r="J116" s="17">
        <v>0.29074359981815701</v>
      </c>
      <c r="K116" s="17"/>
      <c r="L116" s="17">
        <v>0.220594956174126</v>
      </c>
      <c r="M116" s="17">
        <v>0.17600173650877099</v>
      </c>
      <c r="N116" s="17">
        <v>0.267374326294329</v>
      </c>
      <c r="O116" s="17">
        <v>0.30651637690550498</v>
      </c>
    </row>
    <row r="117" spans="2:15" x14ac:dyDescent="0.3">
      <c r="B117" t="s">
        <v>78</v>
      </c>
      <c r="C117" s="17">
        <v>4.46391787357188E-2</v>
      </c>
      <c r="D117" s="17">
        <v>4.4800379242155901E-2</v>
      </c>
      <c r="E117" s="17">
        <v>4.4803459686974398E-2</v>
      </c>
      <c r="F117" s="17"/>
      <c r="G117" s="17">
        <v>2.6194513886476301E-2</v>
      </c>
      <c r="H117" s="17">
        <v>3.4829572519717397E-2</v>
      </c>
      <c r="I117" s="17">
        <v>2.7806852487771299E-2</v>
      </c>
      <c r="J117" s="17">
        <v>9.5494231001059998E-2</v>
      </c>
      <c r="K117" s="17"/>
      <c r="L117" s="17">
        <v>3.6202052341288198E-2</v>
      </c>
      <c r="M117" s="17">
        <v>4.7201503116861797E-2</v>
      </c>
      <c r="N117" s="17">
        <v>4.9557658317573597E-2</v>
      </c>
      <c r="O117" s="17">
        <v>4.49915123852438E-2</v>
      </c>
    </row>
    <row r="118" spans="2:15" x14ac:dyDescent="0.3">
      <c r="B118" t="s">
        <v>79</v>
      </c>
      <c r="C118" s="17">
        <v>1.3473464274913799E-2</v>
      </c>
      <c r="D118" s="17">
        <v>1.9751391516883501E-2</v>
      </c>
      <c r="E118" s="17">
        <v>7.3008655117941497E-3</v>
      </c>
      <c r="F118" s="17"/>
      <c r="G118" s="17">
        <v>5.9320781796289596E-3</v>
      </c>
      <c r="H118" s="17">
        <v>6.1660855582537696E-3</v>
      </c>
      <c r="I118" s="17">
        <v>4.1816611052706197E-2</v>
      </c>
      <c r="J118" s="17">
        <v>5.8237694911548099E-3</v>
      </c>
      <c r="K118" s="17"/>
      <c r="L118" s="17">
        <v>1.7937654625787201E-2</v>
      </c>
      <c r="M118" s="17">
        <v>2.40390536880663E-2</v>
      </c>
      <c r="N118" s="17">
        <v>1.12980129553731E-2</v>
      </c>
      <c r="O118" s="17">
        <v>0</v>
      </c>
    </row>
    <row r="119" spans="2:15" x14ac:dyDescent="0.3">
      <c r="B119" t="s">
        <v>80</v>
      </c>
      <c r="C119" s="17">
        <v>0</v>
      </c>
      <c r="D119" s="17">
        <v>0</v>
      </c>
      <c r="E119" s="17">
        <v>0</v>
      </c>
      <c r="F119" s="17"/>
      <c r="G119" s="17">
        <v>0</v>
      </c>
      <c r="H119" s="17">
        <v>0</v>
      </c>
      <c r="I119" s="17">
        <v>0</v>
      </c>
      <c r="J119" s="17">
        <v>0</v>
      </c>
      <c r="K119" s="17"/>
      <c r="L119" s="17">
        <v>0</v>
      </c>
      <c r="M119" s="17">
        <v>0</v>
      </c>
      <c r="N119" s="17">
        <v>0</v>
      </c>
      <c r="O119" s="17">
        <v>0</v>
      </c>
    </row>
    <row r="120" spans="2:15" x14ac:dyDescent="0.3">
      <c r="C120" s="17"/>
      <c r="D120" s="17"/>
      <c r="E120" s="17"/>
      <c r="F120" s="17"/>
      <c r="G120" s="17"/>
      <c r="H120" s="17"/>
      <c r="I120" s="17"/>
      <c r="J120" s="17"/>
      <c r="K120" s="17"/>
      <c r="L120" s="17"/>
      <c r="M120" s="17"/>
      <c r="N120" s="17"/>
      <c r="O120" s="17"/>
    </row>
    <row r="121" spans="2:15" x14ac:dyDescent="0.3">
      <c r="B121" s="6" t="s">
        <v>92</v>
      </c>
      <c r="C121" s="17"/>
      <c r="D121" s="17"/>
      <c r="E121" s="17"/>
      <c r="F121" s="17"/>
      <c r="G121" s="17"/>
      <c r="H121" s="17"/>
      <c r="I121" s="17"/>
      <c r="J121" s="17"/>
      <c r="K121" s="17"/>
      <c r="L121" s="17"/>
      <c r="M121" s="17"/>
      <c r="N121" s="17"/>
      <c r="O121" s="17"/>
    </row>
    <row r="122" spans="2:15" x14ac:dyDescent="0.3">
      <c r="B122" s="23" t="s">
        <v>46</v>
      </c>
      <c r="C122" s="17"/>
      <c r="D122" s="17"/>
      <c r="E122" s="17"/>
      <c r="F122" s="17"/>
      <c r="G122" s="17"/>
      <c r="H122" s="17"/>
      <c r="I122" s="17"/>
      <c r="J122" s="17"/>
      <c r="K122" s="17"/>
      <c r="L122" s="17"/>
      <c r="M122" s="17"/>
      <c r="N122" s="17"/>
      <c r="O122" s="17"/>
    </row>
    <row r="123" spans="2:15" x14ac:dyDescent="0.3">
      <c r="B123" t="s">
        <v>87</v>
      </c>
      <c r="C123" s="17">
        <v>0.72000463991182295</v>
      </c>
      <c r="D123" s="17">
        <v>0.74761673334408796</v>
      </c>
      <c r="E123" s="17">
        <v>0.69038356259686795</v>
      </c>
      <c r="F123" s="17"/>
      <c r="G123" s="17">
        <v>0.72812306340631106</v>
      </c>
      <c r="H123" s="17">
        <v>0.741929599765909</v>
      </c>
      <c r="I123" s="17">
        <v>0.73739688004313897</v>
      </c>
      <c r="J123" s="17">
        <v>0.66646162197276004</v>
      </c>
      <c r="K123" s="17"/>
      <c r="L123" s="17">
        <v>0.64055587625278498</v>
      </c>
      <c r="M123" s="17">
        <v>0.78806946586939597</v>
      </c>
      <c r="N123" s="17">
        <v>0.68139508975297203</v>
      </c>
      <c r="O123" s="17">
        <v>0.76805916407647101</v>
      </c>
    </row>
    <row r="124" spans="2:15" x14ac:dyDescent="0.3">
      <c r="B124" t="s">
        <v>88</v>
      </c>
      <c r="C124" s="17">
        <v>0.17521965537947801</v>
      </c>
      <c r="D124" s="17">
        <v>0.15814249442974901</v>
      </c>
      <c r="E124" s="17">
        <v>0.19355425835138099</v>
      </c>
      <c r="F124" s="17"/>
      <c r="G124" s="17">
        <v>0.16909500115425199</v>
      </c>
      <c r="H124" s="17">
        <v>0.14446463539068299</v>
      </c>
      <c r="I124" s="17">
        <v>0.15447672709982199</v>
      </c>
      <c r="J124" s="17">
        <v>0.23841612902964299</v>
      </c>
      <c r="K124" s="17"/>
      <c r="L124" s="17">
        <v>0.279463534003074</v>
      </c>
      <c r="M124" s="17">
        <v>0.105110092427796</v>
      </c>
      <c r="N124" s="17">
        <v>0.16366514728065901</v>
      </c>
      <c r="O124" s="17">
        <v>0.15891405400792499</v>
      </c>
    </row>
    <row r="125" spans="2:15" x14ac:dyDescent="0.3">
      <c r="B125" t="s">
        <v>89</v>
      </c>
      <c r="C125" s="17">
        <v>7.1533350223268094E-2</v>
      </c>
      <c r="D125" s="17">
        <v>6.8415989329284804E-2</v>
      </c>
      <c r="E125" s="17">
        <v>7.5168447174219999E-2</v>
      </c>
      <c r="F125" s="17"/>
      <c r="G125" s="17">
        <v>7.1473678613103997E-2</v>
      </c>
      <c r="H125" s="17">
        <v>8.0194607022183506E-2</v>
      </c>
      <c r="I125" s="17">
        <v>7.2373188251663001E-2</v>
      </c>
      <c r="J125" s="17">
        <v>6.1581858292363498E-2</v>
      </c>
      <c r="K125" s="17"/>
      <c r="L125" s="17">
        <v>7.1289679836958997E-2</v>
      </c>
      <c r="M125" s="17">
        <v>5.7969087868973597E-2</v>
      </c>
      <c r="N125" s="17">
        <v>0.108417818517477</v>
      </c>
      <c r="O125" s="17">
        <v>4.6410704611379403E-2</v>
      </c>
    </row>
    <row r="126" spans="2:15" x14ac:dyDescent="0.3">
      <c r="B126" t="s">
        <v>90</v>
      </c>
      <c r="C126" s="17">
        <v>1.2138154042360899E-2</v>
      </c>
      <c r="D126" s="17">
        <v>1.1268593608296001E-2</v>
      </c>
      <c r="E126" s="17">
        <v>1.30951790899869E-2</v>
      </c>
      <c r="F126" s="17"/>
      <c r="G126" s="17">
        <v>1.45269045723021E-2</v>
      </c>
      <c r="H126" s="17">
        <v>1.51767231901312E-2</v>
      </c>
      <c r="I126" s="17">
        <v>1.8358637911234401E-2</v>
      </c>
      <c r="J126" s="17">
        <v>0</v>
      </c>
      <c r="K126" s="17"/>
      <c r="L126" s="17">
        <v>0</v>
      </c>
      <c r="M126" s="17">
        <v>2.1855928432041101E-2</v>
      </c>
      <c r="N126" s="17">
        <v>1.5984068594349199E-2</v>
      </c>
      <c r="O126" s="17">
        <v>9.6559312341997997E-3</v>
      </c>
    </row>
    <row r="127" spans="2:15" x14ac:dyDescent="0.3">
      <c r="B127" t="s">
        <v>80</v>
      </c>
      <c r="C127" s="17">
        <v>2.1104200443070101E-2</v>
      </c>
      <c r="D127" s="17">
        <v>1.45561892885821E-2</v>
      </c>
      <c r="E127" s="17">
        <v>2.77985527875441E-2</v>
      </c>
      <c r="F127" s="17"/>
      <c r="G127" s="17">
        <v>1.6781352254030799E-2</v>
      </c>
      <c r="H127" s="17">
        <v>1.8234434631093501E-2</v>
      </c>
      <c r="I127" s="17">
        <v>1.7394566694142001E-2</v>
      </c>
      <c r="J127" s="17">
        <v>3.3540390705232903E-2</v>
      </c>
      <c r="K127" s="17"/>
      <c r="L127" s="17">
        <v>8.69090990718226E-3</v>
      </c>
      <c r="M127" s="17">
        <v>2.6995425401793002E-2</v>
      </c>
      <c r="N127" s="17">
        <v>3.0537875854542301E-2</v>
      </c>
      <c r="O127" s="17">
        <v>1.6960146070024801E-2</v>
      </c>
    </row>
    <row r="128" spans="2:15" x14ac:dyDescent="0.3">
      <c r="C128" s="17"/>
      <c r="D128" s="17"/>
      <c r="E128" s="17"/>
      <c r="F128" s="17"/>
      <c r="G128" s="17"/>
      <c r="H128" s="17"/>
      <c r="I128" s="17"/>
      <c r="J128" s="17"/>
      <c r="K128" s="17"/>
      <c r="L128" s="17"/>
      <c r="M128" s="17"/>
      <c r="N128" s="17"/>
      <c r="O128" s="17"/>
    </row>
    <row r="129" spans="2:15" x14ac:dyDescent="0.3">
      <c r="B129" s="6" t="s">
        <v>93</v>
      </c>
      <c r="C129" s="17"/>
      <c r="D129" s="17"/>
      <c r="E129" s="17"/>
      <c r="F129" s="17"/>
      <c r="G129" s="17"/>
      <c r="H129" s="17"/>
      <c r="I129" s="17"/>
      <c r="J129" s="17"/>
      <c r="K129" s="17"/>
      <c r="L129" s="17"/>
      <c r="M129" s="17"/>
      <c r="N129" s="17"/>
      <c r="O129" s="17"/>
    </row>
    <row r="130" spans="2:15" x14ac:dyDescent="0.3">
      <c r="B130" s="23" t="s">
        <v>46</v>
      </c>
      <c r="C130" s="17"/>
      <c r="D130" s="17"/>
      <c r="E130" s="17"/>
      <c r="F130" s="17"/>
      <c r="G130" s="17"/>
      <c r="H130" s="17"/>
      <c r="I130" s="17"/>
      <c r="J130" s="17"/>
      <c r="K130" s="17"/>
      <c r="L130" s="17"/>
      <c r="M130" s="17"/>
      <c r="N130" s="17"/>
      <c r="O130" s="17"/>
    </row>
    <row r="131" spans="2:15" x14ac:dyDescent="0.3">
      <c r="B131" t="s">
        <v>87</v>
      </c>
      <c r="C131" s="17">
        <v>8.1069162949982898E-2</v>
      </c>
      <c r="D131" s="17">
        <v>5.2054007843802902E-2</v>
      </c>
      <c r="E131" s="17">
        <v>0.11064207524372401</v>
      </c>
      <c r="F131" s="17"/>
      <c r="G131" s="17">
        <v>4.8536825308362598E-2</v>
      </c>
      <c r="H131" s="17">
        <v>7.3507083371501497E-2</v>
      </c>
      <c r="I131" s="17">
        <v>0.128959943973318</v>
      </c>
      <c r="J131" s="17">
        <v>8.8932710725236994E-2</v>
      </c>
      <c r="K131" s="17"/>
      <c r="L131" s="17">
        <v>9.3305782930882902E-2</v>
      </c>
      <c r="M131" s="17">
        <v>6.3082088501532907E-2</v>
      </c>
      <c r="N131" s="17">
        <v>9.1606383583432496E-2</v>
      </c>
      <c r="O131" s="17">
        <v>7.6766952219814805E-2</v>
      </c>
    </row>
    <row r="132" spans="2:15" x14ac:dyDescent="0.3">
      <c r="B132" t="s">
        <v>88</v>
      </c>
      <c r="C132" s="17">
        <v>0.16109055642737399</v>
      </c>
      <c r="D132" s="17">
        <v>0.123847410944363</v>
      </c>
      <c r="E132" s="17">
        <v>0.19946523451131101</v>
      </c>
      <c r="F132" s="17"/>
      <c r="G132" s="17">
        <v>0.11215984475631501</v>
      </c>
      <c r="H132" s="17">
        <v>0.16841868223659301</v>
      </c>
      <c r="I132" s="17">
        <v>0.17519813446907301</v>
      </c>
      <c r="J132" s="17">
        <v>0.20486248911751601</v>
      </c>
      <c r="K132" s="17"/>
      <c r="L132" s="17">
        <v>0.18054485520243899</v>
      </c>
      <c r="M132" s="17">
        <v>0.12890164825141401</v>
      </c>
      <c r="N132" s="17">
        <v>0.19849834725229601</v>
      </c>
      <c r="O132" s="17">
        <v>0.13573861275096299</v>
      </c>
    </row>
    <row r="133" spans="2:15" x14ac:dyDescent="0.3">
      <c r="B133" t="s">
        <v>89</v>
      </c>
      <c r="C133" s="17">
        <v>0.30835893937762499</v>
      </c>
      <c r="D133" s="17">
        <v>0.351116261123537</v>
      </c>
      <c r="E133" s="17">
        <v>0.26061009147906</v>
      </c>
      <c r="F133" s="17"/>
      <c r="G133" s="17">
        <v>0.25878553847075803</v>
      </c>
      <c r="H133" s="17">
        <v>0.25810292690724501</v>
      </c>
      <c r="I133" s="17">
        <v>0.369545008232189</v>
      </c>
      <c r="J133" s="17">
        <v>0.37652748117881502</v>
      </c>
      <c r="K133" s="17"/>
      <c r="L133" s="17">
        <v>0.205720794382622</v>
      </c>
      <c r="M133" s="17">
        <v>0.41289215950571201</v>
      </c>
      <c r="N133" s="17">
        <v>0.29780467521403697</v>
      </c>
      <c r="O133" s="17">
        <v>0.30997846707872601</v>
      </c>
    </row>
    <row r="134" spans="2:15" x14ac:dyDescent="0.3">
      <c r="B134" t="s">
        <v>90</v>
      </c>
      <c r="C134" s="17">
        <v>0.43292713291261198</v>
      </c>
      <c r="D134" s="17">
        <v>0.45954828094678501</v>
      </c>
      <c r="E134" s="17">
        <v>0.409491136577877</v>
      </c>
      <c r="F134" s="17"/>
      <c r="G134" s="17">
        <v>0.57685115597549297</v>
      </c>
      <c r="H134" s="17">
        <v>0.46817480697768099</v>
      </c>
      <c r="I134" s="17">
        <v>0.32629691332541999</v>
      </c>
      <c r="J134" s="17">
        <v>0.29841014015641398</v>
      </c>
      <c r="K134" s="17"/>
      <c r="L134" s="17">
        <v>0.50317224709215602</v>
      </c>
      <c r="M134" s="17">
        <v>0.36930654227030901</v>
      </c>
      <c r="N134" s="17">
        <v>0.39010225581125901</v>
      </c>
      <c r="O134" s="17">
        <v>0.477515967950496</v>
      </c>
    </row>
    <row r="135" spans="2:15" x14ac:dyDescent="0.3">
      <c r="B135" t="s">
        <v>80</v>
      </c>
      <c r="C135" s="17">
        <v>1.6554208332405999E-2</v>
      </c>
      <c r="D135" s="17">
        <v>1.34340391415129E-2</v>
      </c>
      <c r="E135" s="17">
        <v>1.9791462188028401E-2</v>
      </c>
      <c r="F135" s="17"/>
      <c r="G135" s="17">
        <v>3.6666354890711201E-3</v>
      </c>
      <c r="H135" s="17">
        <v>3.17965005069792E-2</v>
      </c>
      <c r="I135" s="17">
        <v>0</v>
      </c>
      <c r="J135" s="17">
        <v>3.1267178822018099E-2</v>
      </c>
      <c r="K135" s="17"/>
      <c r="L135" s="17">
        <v>1.72563203918999E-2</v>
      </c>
      <c r="M135" s="17">
        <v>2.5817561471033E-2</v>
      </c>
      <c r="N135" s="17">
        <v>2.1988338138975001E-2</v>
      </c>
      <c r="O135" s="17">
        <v>0</v>
      </c>
    </row>
    <row r="136" spans="2:15" x14ac:dyDescent="0.3">
      <c r="C136" s="17"/>
      <c r="D136" s="17"/>
      <c r="E136" s="17"/>
      <c r="F136" s="17"/>
      <c r="G136" s="17"/>
      <c r="H136" s="17"/>
      <c r="I136" s="17"/>
      <c r="J136" s="17"/>
      <c r="K136" s="17"/>
      <c r="L136" s="17"/>
      <c r="M136" s="17"/>
      <c r="N136" s="17"/>
      <c r="O136" s="17"/>
    </row>
    <row r="137" spans="2:15" x14ac:dyDescent="0.3">
      <c r="B137" s="6" t="s">
        <v>94</v>
      </c>
      <c r="C137" s="17"/>
      <c r="D137" s="17"/>
      <c r="E137" s="17"/>
      <c r="F137" s="17"/>
      <c r="G137" s="17"/>
      <c r="H137" s="17"/>
      <c r="I137" s="17"/>
      <c r="J137" s="17"/>
      <c r="K137" s="17"/>
      <c r="L137" s="17"/>
      <c r="M137" s="17"/>
      <c r="N137" s="17"/>
      <c r="O137" s="17"/>
    </row>
    <row r="138" spans="2:15" x14ac:dyDescent="0.3">
      <c r="B138" s="23" t="s">
        <v>46</v>
      </c>
      <c r="C138" s="17"/>
      <c r="D138" s="17"/>
      <c r="E138" s="17"/>
      <c r="F138" s="17"/>
      <c r="G138" s="17"/>
      <c r="H138" s="17"/>
      <c r="I138" s="17"/>
      <c r="J138" s="17"/>
      <c r="K138" s="17"/>
      <c r="L138" s="17"/>
      <c r="M138" s="17"/>
      <c r="N138" s="17"/>
      <c r="O138" s="17"/>
    </row>
    <row r="139" spans="2:15" x14ac:dyDescent="0.3">
      <c r="B139" t="s">
        <v>87</v>
      </c>
      <c r="C139" s="17">
        <v>2.3381795555968601E-2</v>
      </c>
      <c r="D139" s="17">
        <v>1.8588387878800801E-2</v>
      </c>
      <c r="E139" s="17">
        <v>2.83401384425442E-2</v>
      </c>
      <c r="F139" s="17"/>
      <c r="G139" s="17">
        <v>1.23374089378003E-2</v>
      </c>
      <c r="H139" s="17">
        <v>2.5755690645707201E-2</v>
      </c>
      <c r="I139" s="17">
        <v>2.7812394817275501E-2</v>
      </c>
      <c r="J139" s="17">
        <v>3.1204491529634899E-2</v>
      </c>
      <c r="K139" s="17"/>
      <c r="L139" s="17">
        <v>1.1788728933522201E-2</v>
      </c>
      <c r="M139" s="17">
        <v>3.7822298539435202E-2</v>
      </c>
      <c r="N139" s="17">
        <v>3.7122875773583301E-2</v>
      </c>
      <c r="O139" s="17">
        <v>4.5542114604515804E-3</v>
      </c>
    </row>
    <row r="140" spans="2:15" x14ac:dyDescent="0.3">
      <c r="B140" t="s">
        <v>88</v>
      </c>
      <c r="C140" s="17">
        <v>8.9456431938676501E-2</v>
      </c>
      <c r="D140" s="17">
        <v>7.3074525781303204E-2</v>
      </c>
      <c r="E140" s="17">
        <v>0.10647159094117099</v>
      </c>
      <c r="F140" s="17"/>
      <c r="G140" s="17">
        <v>5.3259918138989899E-2</v>
      </c>
      <c r="H140" s="17">
        <v>8.9177933839862E-2</v>
      </c>
      <c r="I140" s="17">
        <v>0.109036572063213</v>
      </c>
      <c r="J140" s="17">
        <v>0.11972498719651201</v>
      </c>
      <c r="K140" s="17"/>
      <c r="L140" s="17">
        <v>0.117656721012867</v>
      </c>
      <c r="M140" s="17">
        <v>5.3788290513105901E-2</v>
      </c>
      <c r="N140" s="17">
        <v>0.11708777545148601</v>
      </c>
      <c r="O140" s="17">
        <v>6.9692460744026005E-2</v>
      </c>
    </row>
    <row r="141" spans="2:15" x14ac:dyDescent="0.3">
      <c r="B141" t="s">
        <v>89</v>
      </c>
      <c r="C141" s="17">
        <v>0.22385013284402799</v>
      </c>
      <c r="D141" s="17">
        <v>0.21065752725612799</v>
      </c>
      <c r="E141" s="17">
        <v>0.23571731785595801</v>
      </c>
      <c r="F141" s="17"/>
      <c r="G141" s="17">
        <v>0.21089969293927699</v>
      </c>
      <c r="H141" s="17">
        <v>0.21709082077059799</v>
      </c>
      <c r="I141" s="17">
        <v>0.22912961630283399</v>
      </c>
      <c r="J141" s="17">
        <v>0.23740314119408501</v>
      </c>
      <c r="K141" s="17"/>
      <c r="L141" s="17">
        <v>0.22917685652285599</v>
      </c>
      <c r="M141" s="17">
        <v>0.22572453515261001</v>
      </c>
      <c r="N141" s="17">
        <v>0.23800904073519499</v>
      </c>
      <c r="O141" s="17">
        <v>0.201168189799629</v>
      </c>
    </row>
    <row r="142" spans="2:15" x14ac:dyDescent="0.3">
      <c r="B142" t="s">
        <v>90</v>
      </c>
      <c r="C142" s="17">
        <v>0.65315889361436597</v>
      </c>
      <c r="D142" s="17">
        <v>0.69474851638663004</v>
      </c>
      <c r="E142" s="17">
        <v>0.61203073503842997</v>
      </c>
      <c r="F142" s="17"/>
      <c r="G142" s="17">
        <v>0.71973355839740205</v>
      </c>
      <c r="H142" s="17">
        <v>0.65562183446996403</v>
      </c>
      <c r="I142" s="17">
        <v>0.62449420988646298</v>
      </c>
      <c r="J142" s="17">
        <v>0.59505304411719195</v>
      </c>
      <c r="K142" s="17"/>
      <c r="L142" s="17">
        <v>0.632686783623573</v>
      </c>
      <c r="M142" s="17">
        <v>0.66484839856354605</v>
      </c>
      <c r="N142" s="17">
        <v>0.59451654786359398</v>
      </c>
      <c r="O142" s="17">
        <v>0.72458513799589397</v>
      </c>
    </row>
    <row r="143" spans="2:15" x14ac:dyDescent="0.3">
      <c r="B143" t="s">
        <v>80</v>
      </c>
      <c r="C143" s="17">
        <v>1.01527460469605E-2</v>
      </c>
      <c r="D143" s="17">
        <v>2.93104269713806E-3</v>
      </c>
      <c r="E143" s="17">
        <v>1.74402177218967E-2</v>
      </c>
      <c r="F143" s="17"/>
      <c r="G143" s="17">
        <v>3.76942158653074E-3</v>
      </c>
      <c r="H143" s="17">
        <v>1.23537202738683E-2</v>
      </c>
      <c r="I143" s="17">
        <v>9.5272069302143794E-3</v>
      </c>
      <c r="J143" s="17">
        <v>1.66143359625762E-2</v>
      </c>
      <c r="K143" s="17"/>
      <c r="L143" s="17">
        <v>8.69090990718226E-3</v>
      </c>
      <c r="M143" s="17">
        <v>1.7816477231302599E-2</v>
      </c>
      <c r="N143" s="17">
        <v>1.32637601761417E-2</v>
      </c>
      <c r="O143" s="17">
        <v>0</v>
      </c>
    </row>
    <row r="144" spans="2:15" x14ac:dyDescent="0.3">
      <c r="C144" s="17"/>
      <c r="D144" s="17"/>
      <c r="E144" s="17"/>
      <c r="F144" s="17"/>
      <c r="G144" s="17"/>
      <c r="H144" s="17"/>
      <c r="I144" s="17"/>
      <c r="J144" s="17"/>
      <c r="K144" s="17"/>
      <c r="L144" s="17"/>
      <c r="M144" s="17"/>
      <c r="N144" s="17"/>
      <c r="O144" s="17"/>
    </row>
    <row r="145" spans="2:15" x14ac:dyDescent="0.3">
      <c r="B145" s="6" t="s">
        <v>95</v>
      </c>
      <c r="C145" s="17"/>
      <c r="D145" s="17"/>
      <c r="E145" s="17"/>
      <c r="F145" s="17"/>
      <c r="G145" s="17"/>
      <c r="H145" s="17"/>
      <c r="I145" s="17"/>
      <c r="J145" s="17"/>
      <c r="K145" s="17"/>
      <c r="L145" s="17"/>
      <c r="M145" s="17"/>
      <c r="N145" s="17"/>
      <c r="O145" s="17"/>
    </row>
    <row r="146" spans="2:15" x14ac:dyDescent="0.3">
      <c r="B146" s="23" t="s">
        <v>46</v>
      </c>
      <c r="C146" s="17"/>
      <c r="D146" s="17"/>
      <c r="E146" s="17"/>
      <c r="F146" s="17"/>
      <c r="G146" s="17"/>
      <c r="H146" s="17"/>
      <c r="I146" s="17"/>
      <c r="J146" s="17"/>
      <c r="K146" s="17"/>
      <c r="L146" s="17"/>
      <c r="M146" s="17"/>
      <c r="N146" s="17"/>
      <c r="O146" s="17"/>
    </row>
    <row r="147" spans="2:15" x14ac:dyDescent="0.3">
      <c r="B147" t="s">
        <v>87</v>
      </c>
      <c r="C147" s="17">
        <v>0.65144720169831405</v>
      </c>
      <c r="D147" s="17">
        <v>0.68798262968351698</v>
      </c>
      <c r="E147" s="17">
        <v>0.61675895639739498</v>
      </c>
      <c r="F147" s="17"/>
      <c r="G147" s="17">
        <v>0.67675459402407701</v>
      </c>
      <c r="H147" s="17">
        <v>0.58869257069049696</v>
      </c>
      <c r="I147" s="17">
        <v>0.68715675181868496</v>
      </c>
      <c r="J147" s="17">
        <v>0.65437926656499601</v>
      </c>
      <c r="K147" s="17"/>
      <c r="L147" s="17">
        <v>0.57129590344895997</v>
      </c>
      <c r="M147" s="17">
        <v>0.66570682355386901</v>
      </c>
      <c r="N147" s="17">
        <v>0.63557063985360795</v>
      </c>
      <c r="O147" s="17">
        <v>0.73345821237421205</v>
      </c>
    </row>
    <row r="148" spans="2:15" x14ac:dyDescent="0.3">
      <c r="B148" t="s">
        <v>88</v>
      </c>
      <c r="C148" s="17">
        <v>0.21599925407005799</v>
      </c>
      <c r="D148" s="17">
        <v>0.197699071728487</v>
      </c>
      <c r="E148" s="17">
        <v>0.23585265896615701</v>
      </c>
      <c r="F148" s="17"/>
      <c r="G148" s="17">
        <v>0.21725888303235</v>
      </c>
      <c r="H148" s="17">
        <v>0.27066476782806398</v>
      </c>
      <c r="I148" s="17">
        <v>0.17575519725125399</v>
      </c>
      <c r="J148" s="17">
        <v>0.190756455881605</v>
      </c>
      <c r="K148" s="17"/>
      <c r="L148" s="17">
        <v>0.28731294853133199</v>
      </c>
      <c r="M148" s="17">
        <v>0.182390016495077</v>
      </c>
      <c r="N148" s="17">
        <v>0.23104404712381901</v>
      </c>
      <c r="O148" s="17">
        <v>0.16454242573726299</v>
      </c>
    </row>
    <row r="149" spans="2:15" x14ac:dyDescent="0.3">
      <c r="B149" t="s">
        <v>89</v>
      </c>
      <c r="C149" s="17">
        <v>9.0914500318170499E-2</v>
      </c>
      <c r="D149" s="17">
        <v>8.1465566278185894E-2</v>
      </c>
      <c r="E149" s="17">
        <v>9.6669591802541005E-2</v>
      </c>
      <c r="F149" s="17"/>
      <c r="G149" s="17">
        <v>9.3400164127242905E-2</v>
      </c>
      <c r="H149" s="17">
        <v>8.6047636142382505E-2</v>
      </c>
      <c r="I149" s="17">
        <v>8.6277592415327897E-2</v>
      </c>
      <c r="J149" s="17">
        <v>9.8155621070044996E-2</v>
      </c>
      <c r="K149" s="17"/>
      <c r="L149" s="17">
        <v>9.3577952492438402E-2</v>
      </c>
      <c r="M149" s="17">
        <v>9.4343361556799205E-2</v>
      </c>
      <c r="N149" s="17">
        <v>0.103693547255614</v>
      </c>
      <c r="O149" s="17">
        <v>7.0718457174662699E-2</v>
      </c>
    </row>
    <row r="150" spans="2:15" x14ac:dyDescent="0.3">
      <c r="B150" t="s">
        <v>90</v>
      </c>
      <c r="C150" s="17">
        <v>2.7271463816986901E-2</v>
      </c>
      <c r="D150" s="17">
        <v>2.29123887614603E-2</v>
      </c>
      <c r="E150" s="17">
        <v>3.1824313394115102E-2</v>
      </c>
      <c r="F150" s="17"/>
      <c r="G150" s="17">
        <v>1.25863588163308E-2</v>
      </c>
      <c r="H150" s="17">
        <v>3.6360590707962402E-2</v>
      </c>
      <c r="I150" s="17">
        <v>3.3415891820591202E-2</v>
      </c>
      <c r="J150" s="17">
        <v>3.06781013050011E-2</v>
      </c>
      <c r="K150" s="17"/>
      <c r="L150" s="17">
        <v>3.9122285620087398E-2</v>
      </c>
      <c r="M150" s="17">
        <v>3.7228221865618999E-2</v>
      </c>
      <c r="N150" s="17">
        <v>9.3558959204133301E-3</v>
      </c>
      <c r="O150" s="17">
        <v>2.4118116001039702E-2</v>
      </c>
    </row>
    <row r="151" spans="2:15" x14ac:dyDescent="0.3">
      <c r="B151" t="s">
        <v>80</v>
      </c>
      <c r="C151" s="17">
        <v>1.43675800964714E-2</v>
      </c>
      <c r="D151" s="17">
        <v>9.9403435483498403E-3</v>
      </c>
      <c r="E151" s="17">
        <v>1.8894479439792101E-2</v>
      </c>
      <c r="F151" s="17"/>
      <c r="G151" s="17">
        <v>0</v>
      </c>
      <c r="H151" s="17">
        <v>1.8234434631093501E-2</v>
      </c>
      <c r="I151" s="17">
        <v>1.7394566694142001E-2</v>
      </c>
      <c r="J151" s="17">
        <v>2.6030555178352399E-2</v>
      </c>
      <c r="K151" s="17"/>
      <c r="L151" s="17">
        <v>8.69090990718226E-3</v>
      </c>
      <c r="M151" s="17">
        <v>2.0331576528636298E-2</v>
      </c>
      <c r="N151" s="17">
        <v>2.0335869846545101E-2</v>
      </c>
      <c r="O151" s="17">
        <v>7.1627887128217198E-3</v>
      </c>
    </row>
    <row r="152" spans="2:15" x14ac:dyDescent="0.3">
      <c r="C152" s="17"/>
      <c r="D152" s="17"/>
      <c r="E152" s="17"/>
      <c r="F152" s="17"/>
      <c r="G152" s="17"/>
      <c r="H152" s="17"/>
      <c r="I152" s="17"/>
      <c r="J152" s="17"/>
      <c r="K152" s="17"/>
      <c r="L152" s="17"/>
      <c r="M152" s="17"/>
      <c r="N152" s="17"/>
      <c r="O152" s="17"/>
    </row>
    <row r="153" spans="2:15" x14ac:dyDescent="0.3">
      <c r="B153" s="6" t="s">
        <v>96</v>
      </c>
      <c r="C153" s="17"/>
      <c r="D153" s="17"/>
      <c r="E153" s="17"/>
      <c r="F153" s="17"/>
      <c r="G153" s="17"/>
      <c r="H153" s="17"/>
      <c r="I153" s="17"/>
      <c r="J153" s="17"/>
      <c r="K153" s="17"/>
      <c r="L153" s="17"/>
      <c r="M153" s="17"/>
      <c r="N153" s="17"/>
      <c r="O153" s="17"/>
    </row>
    <row r="154" spans="2:15" x14ac:dyDescent="0.3">
      <c r="B154" s="23" t="s">
        <v>46</v>
      </c>
      <c r="C154" s="17"/>
      <c r="D154" s="17"/>
      <c r="E154" s="17"/>
      <c r="F154" s="17"/>
      <c r="G154" s="17"/>
      <c r="H154" s="17"/>
      <c r="I154" s="17"/>
      <c r="J154" s="17"/>
      <c r="K154" s="17"/>
      <c r="L154" s="17"/>
      <c r="M154" s="17"/>
      <c r="N154" s="17"/>
      <c r="O154" s="17"/>
    </row>
    <row r="155" spans="2:15" x14ac:dyDescent="0.3">
      <c r="B155" t="s">
        <v>87</v>
      </c>
      <c r="C155" s="17">
        <v>0.55668173743666705</v>
      </c>
      <c r="D155" s="17">
        <v>0.59906840963468899</v>
      </c>
      <c r="E155" s="17">
        <v>0.51545832390459501</v>
      </c>
      <c r="F155" s="17"/>
      <c r="G155" s="17">
        <v>0.59656658388475103</v>
      </c>
      <c r="H155" s="17">
        <v>0.53653928164818898</v>
      </c>
      <c r="I155" s="17">
        <v>0.577333470291857</v>
      </c>
      <c r="J155" s="17">
        <v>0.50526769628003698</v>
      </c>
      <c r="K155" s="17"/>
      <c r="L155" s="17">
        <v>0.44007380489717202</v>
      </c>
      <c r="M155" s="17">
        <v>0.54952012759084101</v>
      </c>
      <c r="N155" s="17">
        <v>0.59497300620373506</v>
      </c>
      <c r="O155" s="17">
        <v>0.63951161819143898</v>
      </c>
    </row>
    <row r="156" spans="2:15" x14ac:dyDescent="0.3">
      <c r="B156" t="s">
        <v>88</v>
      </c>
      <c r="C156" s="17">
        <v>0.293264886367883</v>
      </c>
      <c r="D156" s="17">
        <v>0.27028094937002001</v>
      </c>
      <c r="E156" s="17">
        <v>0.318359772308768</v>
      </c>
      <c r="F156" s="17"/>
      <c r="G156" s="17">
        <v>0.26149807067442399</v>
      </c>
      <c r="H156" s="17">
        <v>0.31564946190398901</v>
      </c>
      <c r="I156" s="17">
        <v>0.25553716040723601</v>
      </c>
      <c r="J156" s="17">
        <v>0.34596136986495102</v>
      </c>
      <c r="K156" s="17"/>
      <c r="L156" s="17">
        <v>0.343188431475769</v>
      </c>
      <c r="M156" s="17">
        <v>0.34160716133920899</v>
      </c>
      <c r="N156" s="17">
        <v>0.22326111759953099</v>
      </c>
      <c r="O156" s="17">
        <v>0.26717418889595101</v>
      </c>
    </row>
    <row r="157" spans="2:15" x14ac:dyDescent="0.3">
      <c r="B157" t="s">
        <v>89</v>
      </c>
      <c r="C157" s="17">
        <v>0.10821084906992499</v>
      </c>
      <c r="D157" s="17">
        <v>8.2695208193838202E-2</v>
      </c>
      <c r="E157" s="17">
        <v>0.13014040843656199</v>
      </c>
      <c r="F157" s="17"/>
      <c r="G157" s="17">
        <v>0.126918197928333</v>
      </c>
      <c r="H157" s="17">
        <v>8.5505029420857706E-2</v>
      </c>
      <c r="I157" s="17">
        <v>0.115696455427737</v>
      </c>
      <c r="J157" s="17">
        <v>0.103659371028925</v>
      </c>
      <c r="K157" s="17"/>
      <c r="L157" s="17">
        <v>0.15391614084491101</v>
      </c>
      <c r="M157" s="17">
        <v>7.9293843484795304E-2</v>
      </c>
      <c r="N157" s="17">
        <v>0.12783244157385201</v>
      </c>
      <c r="O157" s="17">
        <v>7.2356519908778394E-2</v>
      </c>
    </row>
    <row r="158" spans="2:15" x14ac:dyDescent="0.3">
      <c r="B158" t="s">
        <v>90</v>
      </c>
      <c r="C158" s="17">
        <v>2.5182952578331599E-2</v>
      </c>
      <c r="D158" s="17">
        <v>3.3210440128153898E-2</v>
      </c>
      <c r="E158" s="17">
        <v>1.7348114599723099E-2</v>
      </c>
      <c r="F158" s="17"/>
      <c r="G158" s="17">
        <v>3.66558981450099E-3</v>
      </c>
      <c r="H158" s="17">
        <v>5.0683226061349902E-2</v>
      </c>
      <c r="I158" s="17">
        <v>3.10629348694214E-2</v>
      </c>
      <c r="J158" s="17">
        <v>1.9081007647734301E-2</v>
      </c>
      <c r="K158" s="17"/>
      <c r="L158" s="17">
        <v>5.4130712874965202E-2</v>
      </c>
      <c r="M158" s="17">
        <v>1.56181432190498E-2</v>
      </c>
      <c r="N158" s="17">
        <v>1.8651712573590801E-2</v>
      </c>
      <c r="O158" s="17">
        <v>1.36001184157582E-2</v>
      </c>
    </row>
    <row r="159" spans="2:15" x14ac:dyDescent="0.3">
      <c r="B159" t="s">
        <v>80</v>
      </c>
      <c r="C159" s="17">
        <v>1.6659574547193499E-2</v>
      </c>
      <c r="D159" s="17">
        <v>1.4744992673299101E-2</v>
      </c>
      <c r="E159" s="17">
        <v>1.86933807503511E-2</v>
      </c>
      <c r="F159" s="17"/>
      <c r="G159" s="17">
        <v>1.1351557697991401E-2</v>
      </c>
      <c r="H159" s="17">
        <v>1.16230009656146E-2</v>
      </c>
      <c r="I159" s="17">
        <v>2.0369979003748501E-2</v>
      </c>
      <c r="J159" s="17">
        <v>2.6030555178352399E-2</v>
      </c>
      <c r="K159" s="17"/>
      <c r="L159" s="17">
        <v>8.69090990718226E-3</v>
      </c>
      <c r="M159" s="17">
        <v>1.3960724366104399E-2</v>
      </c>
      <c r="N159" s="17">
        <v>3.5281722049290601E-2</v>
      </c>
      <c r="O159" s="17">
        <v>7.3575545880741203E-3</v>
      </c>
    </row>
    <row r="160" spans="2:15" x14ac:dyDescent="0.3">
      <c r="C160" s="17"/>
      <c r="D160" s="17"/>
      <c r="E160" s="17"/>
      <c r="F160" s="17"/>
      <c r="G160" s="17"/>
      <c r="H160" s="17"/>
      <c r="I160" s="17"/>
      <c r="J160" s="17"/>
      <c r="K160" s="17"/>
      <c r="L160" s="17"/>
      <c r="M160" s="17"/>
      <c r="N160" s="17"/>
      <c r="O160" s="17"/>
    </row>
    <row r="161" spans="2:15" x14ac:dyDescent="0.3">
      <c r="B161" s="6" t="s">
        <v>109</v>
      </c>
      <c r="C161" s="17"/>
      <c r="D161" s="17"/>
      <c r="E161" s="17"/>
      <c r="F161" s="17"/>
      <c r="G161" s="17"/>
      <c r="H161" s="17"/>
      <c r="I161" s="17"/>
      <c r="J161" s="17"/>
      <c r="K161" s="17"/>
      <c r="L161" s="17"/>
      <c r="M161" s="17"/>
      <c r="N161" s="17"/>
      <c r="O161" s="17"/>
    </row>
    <row r="162" spans="2:15" x14ac:dyDescent="0.3">
      <c r="B162" s="23" t="s">
        <v>46</v>
      </c>
      <c r="C162" s="17"/>
      <c r="D162" s="17"/>
      <c r="E162" s="17"/>
      <c r="F162" s="17"/>
      <c r="G162" s="17"/>
      <c r="H162" s="17"/>
      <c r="I162" s="17"/>
      <c r="J162" s="17"/>
      <c r="K162" s="17"/>
      <c r="L162" s="17"/>
      <c r="M162" s="17"/>
      <c r="N162" s="17"/>
      <c r="O162" s="17"/>
    </row>
    <row r="163" spans="2:15" x14ac:dyDescent="0.3">
      <c r="B163" t="s">
        <v>103</v>
      </c>
      <c r="C163" s="17">
        <v>0.180982180675309</v>
      </c>
      <c r="D163" s="17">
        <v>0.19587866568171799</v>
      </c>
      <c r="E163" s="17">
        <v>0.16447984691842399</v>
      </c>
      <c r="F163" s="17"/>
      <c r="G163" s="17">
        <v>0.29885691768051897</v>
      </c>
      <c r="H163" s="17">
        <v>0.15442865912954701</v>
      </c>
      <c r="I163" s="17">
        <v>0.104412310021796</v>
      </c>
      <c r="J163" s="17">
        <v>0.12107997143675001</v>
      </c>
      <c r="K163" s="17"/>
      <c r="L163" s="17">
        <v>0.16128295788053301</v>
      </c>
      <c r="M163" s="17">
        <v>0.16256861024675701</v>
      </c>
      <c r="N163" s="17">
        <v>0.216894634621352</v>
      </c>
      <c r="O163" s="17">
        <v>0.18158478291379801</v>
      </c>
    </row>
    <row r="164" spans="2:15" x14ac:dyDescent="0.3">
      <c r="B164" t="s">
        <v>104</v>
      </c>
      <c r="C164" s="17">
        <v>0.36996762568167102</v>
      </c>
      <c r="D164" s="17">
        <v>0.38899274080739299</v>
      </c>
      <c r="E164" s="17">
        <v>0.35366021544353898</v>
      </c>
      <c r="F164" s="17"/>
      <c r="G164" s="17">
        <v>0.45635934846299803</v>
      </c>
      <c r="H164" s="17">
        <v>0.33548738329879602</v>
      </c>
      <c r="I164" s="17">
        <v>0.36644071481235102</v>
      </c>
      <c r="J164" s="17">
        <v>0.302811107473893</v>
      </c>
      <c r="K164" s="17"/>
      <c r="L164" s="17">
        <v>0.33044343433631601</v>
      </c>
      <c r="M164" s="17">
        <v>0.34442252617304497</v>
      </c>
      <c r="N164" s="17">
        <v>0.39327501550497701</v>
      </c>
      <c r="O164" s="17">
        <v>0.41172247903832998</v>
      </c>
    </row>
    <row r="165" spans="2:15" x14ac:dyDescent="0.3">
      <c r="B165" t="s">
        <v>105</v>
      </c>
      <c r="C165" s="17">
        <v>0.26400190599624002</v>
      </c>
      <c r="D165" s="17">
        <v>0.25537979477414602</v>
      </c>
      <c r="E165" s="17">
        <v>0.27019245124636299</v>
      </c>
      <c r="F165" s="17"/>
      <c r="G165" s="17">
        <v>0.172475940003187</v>
      </c>
      <c r="H165" s="17">
        <v>0.29685738134218898</v>
      </c>
      <c r="I165" s="17">
        <v>0.274281019025437</v>
      </c>
      <c r="J165" s="17">
        <v>0.33855135677127002</v>
      </c>
      <c r="K165" s="17"/>
      <c r="L165" s="17">
        <v>0.31817186744095399</v>
      </c>
      <c r="M165" s="17">
        <v>0.259595578030894</v>
      </c>
      <c r="N165" s="17">
        <v>0.23651947451517599</v>
      </c>
      <c r="O165" s="17">
        <v>0.24434471934600699</v>
      </c>
    </row>
    <row r="166" spans="2:15" x14ac:dyDescent="0.3">
      <c r="B166" t="s">
        <v>106</v>
      </c>
      <c r="C166" s="17">
        <v>0.120670515892725</v>
      </c>
      <c r="D166" s="17">
        <v>0.10318343488916901</v>
      </c>
      <c r="E166" s="17">
        <v>0.13901705782209201</v>
      </c>
      <c r="F166" s="17"/>
      <c r="G166" s="17">
        <v>4.5356336139330697E-2</v>
      </c>
      <c r="H166" s="17">
        <v>0.11503983590863701</v>
      </c>
      <c r="I166" s="17">
        <v>0.16133210624028099</v>
      </c>
      <c r="J166" s="17">
        <v>0.188936001743503</v>
      </c>
      <c r="K166" s="17"/>
      <c r="L166" s="17">
        <v>0.14456172107456899</v>
      </c>
      <c r="M166" s="17">
        <v>0.12565279773938201</v>
      </c>
      <c r="N166" s="17">
        <v>0.123298090922762</v>
      </c>
      <c r="O166" s="17">
        <v>8.85730436539056E-2</v>
      </c>
    </row>
    <row r="167" spans="2:15" x14ac:dyDescent="0.3">
      <c r="B167" t="s">
        <v>107</v>
      </c>
      <c r="C167" s="17">
        <v>6.4377771754054902E-2</v>
      </c>
      <c r="D167" s="17">
        <v>5.6565363847574601E-2</v>
      </c>
      <c r="E167" s="17">
        <v>7.2650428569582606E-2</v>
      </c>
      <c r="F167" s="17"/>
      <c r="G167" s="17">
        <v>2.6951457713965701E-2</v>
      </c>
      <c r="H167" s="17">
        <v>9.8186740320831495E-2</v>
      </c>
      <c r="I167" s="17">
        <v>9.3533849900134899E-2</v>
      </c>
      <c r="J167" s="17">
        <v>4.8621562574584297E-2</v>
      </c>
      <c r="K167" s="17"/>
      <c r="L167" s="17">
        <v>4.5540019267627803E-2</v>
      </c>
      <c r="M167" s="17">
        <v>0.10776048780992201</v>
      </c>
      <c r="N167" s="17">
        <v>3.00127844357331E-2</v>
      </c>
      <c r="O167" s="17">
        <v>7.3774975047958602E-2</v>
      </c>
    </row>
    <row r="168" spans="2:15" x14ac:dyDescent="0.3">
      <c r="C168" s="17"/>
      <c r="D168" s="17"/>
      <c r="E168" s="17"/>
      <c r="F168" s="17"/>
      <c r="G168" s="17"/>
      <c r="H168" s="17"/>
      <c r="I168" s="17"/>
      <c r="J168" s="17"/>
      <c r="K168" s="17"/>
      <c r="L168" s="17"/>
      <c r="M168" s="17"/>
      <c r="N168" s="17"/>
      <c r="O168" s="17"/>
    </row>
    <row r="169" spans="2:15" x14ac:dyDescent="0.3">
      <c r="B169" s="6" t="s">
        <v>110</v>
      </c>
      <c r="C169" s="17"/>
      <c r="D169" s="17"/>
      <c r="E169" s="17"/>
      <c r="F169" s="17"/>
      <c r="G169" s="17"/>
      <c r="H169" s="17"/>
      <c r="I169" s="17"/>
      <c r="J169" s="17"/>
      <c r="K169" s="17"/>
      <c r="L169" s="17"/>
      <c r="M169" s="17"/>
      <c r="N169" s="17"/>
      <c r="O169" s="17"/>
    </row>
    <row r="170" spans="2:15" x14ac:dyDescent="0.3">
      <c r="B170" s="23" t="s">
        <v>46</v>
      </c>
      <c r="C170" s="17"/>
      <c r="D170" s="17"/>
      <c r="E170" s="17"/>
      <c r="F170" s="17"/>
      <c r="G170" s="17"/>
      <c r="H170" s="17"/>
      <c r="I170" s="17"/>
      <c r="J170" s="17"/>
      <c r="K170" s="17"/>
      <c r="L170" s="17"/>
      <c r="M170" s="17"/>
      <c r="N170" s="17"/>
      <c r="O170" s="17"/>
    </row>
    <row r="171" spans="2:15" x14ac:dyDescent="0.3">
      <c r="B171" t="s">
        <v>103</v>
      </c>
      <c r="C171" s="17">
        <v>0.15920483711591699</v>
      </c>
      <c r="D171" s="17">
        <v>0.17405665010920099</v>
      </c>
      <c r="E171" s="17">
        <v>0.142588427020895</v>
      </c>
      <c r="F171" s="17"/>
      <c r="G171" s="17">
        <v>0.25722578127262902</v>
      </c>
      <c r="H171" s="17">
        <v>0.124227398277702</v>
      </c>
      <c r="I171" s="17">
        <v>0.118275933815054</v>
      </c>
      <c r="J171" s="17">
        <v>0.109937468366803</v>
      </c>
      <c r="K171" s="17"/>
      <c r="L171" s="17">
        <v>0.14267230249693999</v>
      </c>
      <c r="M171" s="17">
        <v>0.14867578048327401</v>
      </c>
      <c r="N171" s="17">
        <v>0.21399192118391999</v>
      </c>
      <c r="O171" s="17">
        <v>0.12771140976603701</v>
      </c>
    </row>
    <row r="172" spans="2:15" x14ac:dyDescent="0.3">
      <c r="B172" t="s">
        <v>104</v>
      </c>
      <c r="C172" s="17">
        <v>0.33752231957060902</v>
      </c>
      <c r="D172" s="17">
        <v>0.382717479767543</v>
      </c>
      <c r="E172" s="17">
        <v>0.294838205115804</v>
      </c>
      <c r="F172" s="17"/>
      <c r="G172" s="17">
        <v>0.43849932509290801</v>
      </c>
      <c r="H172" s="17">
        <v>0.30238639269048001</v>
      </c>
      <c r="I172" s="17">
        <v>0.35609896732894802</v>
      </c>
      <c r="J172" s="17">
        <v>0.22376616980386499</v>
      </c>
      <c r="K172" s="17"/>
      <c r="L172" s="17">
        <v>0.30123714891591302</v>
      </c>
      <c r="M172" s="17">
        <v>0.285778044312678</v>
      </c>
      <c r="N172" s="17">
        <v>0.35446284454863602</v>
      </c>
      <c r="O172" s="17">
        <v>0.41111955094324398</v>
      </c>
    </row>
    <row r="173" spans="2:15" x14ac:dyDescent="0.3">
      <c r="B173" t="s">
        <v>105</v>
      </c>
      <c r="C173" s="17">
        <v>0.30620065153384901</v>
      </c>
      <c r="D173" s="17">
        <v>0.30246706037432503</v>
      </c>
      <c r="E173" s="17">
        <v>0.30781575326156002</v>
      </c>
      <c r="F173" s="17"/>
      <c r="G173" s="17">
        <v>0.22388976217488701</v>
      </c>
      <c r="H173" s="17">
        <v>0.28745166491496998</v>
      </c>
      <c r="I173" s="17">
        <v>0.321256254995059</v>
      </c>
      <c r="J173" s="17">
        <v>0.42330055366047298</v>
      </c>
      <c r="K173" s="17"/>
      <c r="L173" s="17">
        <v>0.30406690445263601</v>
      </c>
      <c r="M173" s="17">
        <v>0.35709448303847602</v>
      </c>
      <c r="N173" s="17">
        <v>0.253530492982387</v>
      </c>
      <c r="O173" s="17">
        <v>0.31064431224538303</v>
      </c>
    </row>
    <row r="174" spans="2:15" x14ac:dyDescent="0.3">
      <c r="B174" t="s">
        <v>106</v>
      </c>
      <c r="C174" s="17">
        <v>0.13318823088439899</v>
      </c>
      <c r="D174" s="17">
        <v>9.1940162659476896E-2</v>
      </c>
      <c r="E174" s="17">
        <v>0.17535994257342899</v>
      </c>
      <c r="F174" s="17"/>
      <c r="G174" s="17">
        <v>4.66805187612995E-2</v>
      </c>
      <c r="H174" s="17">
        <v>0.17256287112591701</v>
      </c>
      <c r="I174" s="17">
        <v>0.16500889997188201</v>
      </c>
      <c r="J174" s="17">
        <v>0.173111160020406</v>
      </c>
      <c r="K174" s="17"/>
      <c r="L174" s="17">
        <v>0.17887321706345799</v>
      </c>
      <c r="M174" s="17">
        <v>0.15294654832156601</v>
      </c>
      <c r="N174" s="17">
        <v>0.115092203963128</v>
      </c>
      <c r="O174" s="17">
        <v>8.5852114202795496E-2</v>
      </c>
    </row>
    <row r="175" spans="2:15" x14ac:dyDescent="0.3">
      <c r="B175" t="s">
        <v>107</v>
      </c>
      <c r="C175" s="17">
        <v>6.3883960895225994E-2</v>
      </c>
      <c r="D175" s="17">
        <v>4.8818647089453798E-2</v>
      </c>
      <c r="E175" s="17">
        <v>7.93976720283113E-2</v>
      </c>
      <c r="F175" s="17"/>
      <c r="G175" s="17">
        <v>3.37046126982763E-2</v>
      </c>
      <c r="H175" s="17">
        <v>0.113371672990931</v>
      </c>
      <c r="I175" s="17">
        <v>3.9359943889057197E-2</v>
      </c>
      <c r="J175" s="17">
        <v>6.9884648148452494E-2</v>
      </c>
      <c r="K175" s="17"/>
      <c r="L175" s="17">
        <v>7.3150427071052099E-2</v>
      </c>
      <c r="M175" s="17">
        <v>5.5505143844006399E-2</v>
      </c>
      <c r="N175" s="17">
        <v>6.2922537321929706E-2</v>
      </c>
      <c r="O175" s="17">
        <v>6.4672612842540306E-2</v>
      </c>
    </row>
    <row r="176" spans="2:15" x14ac:dyDescent="0.3">
      <c r="C176" s="17"/>
      <c r="D176" s="17"/>
      <c r="E176" s="17"/>
      <c r="F176" s="17"/>
      <c r="G176" s="17"/>
      <c r="H176" s="17"/>
      <c r="I176" s="17"/>
      <c r="J176" s="17"/>
      <c r="K176" s="17"/>
      <c r="L176" s="17"/>
      <c r="M176" s="17"/>
      <c r="N176" s="17"/>
      <c r="O176" s="17"/>
    </row>
    <row r="177" spans="2:15" x14ac:dyDescent="0.3">
      <c r="B177" s="6" t="s">
        <v>111</v>
      </c>
      <c r="C177" s="17"/>
      <c r="D177" s="17"/>
      <c r="E177" s="17"/>
      <c r="F177" s="17"/>
      <c r="G177" s="17"/>
      <c r="H177" s="17"/>
      <c r="I177" s="17"/>
      <c r="J177" s="17"/>
      <c r="K177" s="17"/>
      <c r="L177" s="17"/>
      <c r="M177" s="17"/>
      <c r="N177" s="17"/>
      <c r="O177" s="17"/>
    </row>
    <row r="178" spans="2:15" x14ac:dyDescent="0.3">
      <c r="B178" s="23" t="s">
        <v>46</v>
      </c>
      <c r="C178" s="17"/>
      <c r="D178" s="17"/>
      <c r="E178" s="17"/>
      <c r="F178" s="17"/>
      <c r="G178" s="17"/>
      <c r="H178" s="17"/>
      <c r="I178" s="17"/>
      <c r="J178" s="17"/>
      <c r="K178" s="17"/>
      <c r="L178" s="17"/>
      <c r="M178" s="17"/>
      <c r="N178" s="17"/>
      <c r="O178" s="17"/>
    </row>
    <row r="179" spans="2:15" x14ac:dyDescent="0.3">
      <c r="B179" t="s">
        <v>103</v>
      </c>
      <c r="C179" s="17">
        <v>0.151241086908429</v>
      </c>
      <c r="D179" s="17">
        <v>0.16818881796360699</v>
      </c>
      <c r="E179" s="17">
        <v>0.13247310963825901</v>
      </c>
      <c r="F179" s="17"/>
      <c r="G179" s="17">
        <v>0.27415800867889201</v>
      </c>
      <c r="H179" s="17">
        <v>0.127332624288683</v>
      </c>
      <c r="I179" s="17">
        <v>9.6987731667113095E-2</v>
      </c>
      <c r="J179" s="17">
        <v>6.11725834963266E-2</v>
      </c>
      <c r="K179" s="17"/>
      <c r="L179" s="17">
        <v>0.13231421815000499</v>
      </c>
      <c r="M179" s="17">
        <v>0.171291362102686</v>
      </c>
      <c r="N179" s="17">
        <v>0.17216060090747201</v>
      </c>
      <c r="O179" s="17">
        <v>0.125935913398313</v>
      </c>
    </row>
    <row r="180" spans="2:15" x14ac:dyDescent="0.3">
      <c r="B180" t="s">
        <v>104</v>
      </c>
      <c r="C180" s="17">
        <v>0.32211305645004501</v>
      </c>
      <c r="D180" s="17">
        <v>0.37900963064784998</v>
      </c>
      <c r="E180" s="17">
        <v>0.26762855141754599</v>
      </c>
      <c r="F180" s="17"/>
      <c r="G180" s="17">
        <v>0.42166615041552002</v>
      </c>
      <c r="H180" s="17">
        <v>0.25972726449734601</v>
      </c>
      <c r="I180" s="17">
        <v>0.33662931075257402</v>
      </c>
      <c r="J180" s="17">
        <v>0.25265232766172502</v>
      </c>
      <c r="K180" s="17"/>
      <c r="L180" s="17">
        <v>0.28642246437074698</v>
      </c>
      <c r="M180" s="17">
        <v>0.25106624105580699</v>
      </c>
      <c r="N180" s="17">
        <v>0.362647138835272</v>
      </c>
      <c r="O180" s="17">
        <v>0.39032087583914699</v>
      </c>
    </row>
    <row r="181" spans="2:15" x14ac:dyDescent="0.3">
      <c r="B181" t="s">
        <v>105</v>
      </c>
      <c r="C181" s="17">
        <v>0.31455077609257998</v>
      </c>
      <c r="D181" s="17">
        <v>0.27171622783444699</v>
      </c>
      <c r="E181" s="17">
        <v>0.35528319179880102</v>
      </c>
      <c r="F181" s="17"/>
      <c r="G181" s="17">
        <v>0.198787427860107</v>
      </c>
      <c r="H181" s="17">
        <v>0.33753505103549603</v>
      </c>
      <c r="I181" s="17">
        <v>0.27909729110548798</v>
      </c>
      <c r="J181" s="17">
        <v>0.47398554235729701</v>
      </c>
      <c r="K181" s="17"/>
      <c r="L181" s="17">
        <v>0.31520501752917002</v>
      </c>
      <c r="M181" s="17">
        <v>0.31204678210119802</v>
      </c>
      <c r="N181" s="17">
        <v>0.31949693655551797</v>
      </c>
      <c r="O181" s="17">
        <v>0.31123188466035401</v>
      </c>
    </row>
    <row r="182" spans="2:15" x14ac:dyDescent="0.3">
      <c r="B182" t="s">
        <v>106</v>
      </c>
      <c r="C182" s="17">
        <v>0.16094424905260199</v>
      </c>
      <c r="D182" s="17">
        <v>0.13075963629234399</v>
      </c>
      <c r="E182" s="17">
        <v>0.19226736010082601</v>
      </c>
      <c r="F182" s="17"/>
      <c r="G182" s="17">
        <v>7.0591366045646295E-2</v>
      </c>
      <c r="H182" s="17">
        <v>0.18383261903495299</v>
      </c>
      <c r="I182" s="17">
        <v>0.235638454342569</v>
      </c>
      <c r="J182" s="17">
        <v>0.185677333769391</v>
      </c>
      <c r="K182" s="17"/>
      <c r="L182" s="17">
        <v>0.215808873306125</v>
      </c>
      <c r="M182" s="17">
        <v>0.190202831114403</v>
      </c>
      <c r="N182" s="17">
        <v>0.108954269283677</v>
      </c>
      <c r="O182" s="17">
        <v>0.13092696157317299</v>
      </c>
    </row>
    <row r="183" spans="2:15" x14ac:dyDescent="0.3">
      <c r="B183" t="s">
        <v>107</v>
      </c>
      <c r="C183" s="17">
        <v>5.1150831496344203E-2</v>
      </c>
      <c r="D183" s="17">
        <v>5.03256872617526E-2</v>
      </c>
      <c r="E183" s="17">
        <v>5.2347787044567398E-2</v>
      </c>
      <c r="F183" s="17"/>
      <c r="G183" s="17">
        <v>3.4797046999834498E-2</v>
      </c>
      <c r="H183" s="17">
        <v>9.1572441143521893E-2</v>
      </c>
      <c r="I183" s="17">
        <v>5.16472121322556E-2</v>
      </c>
      <c r="J183" s="17">
        <v>2.6512212715260101E-2</v>
      </c>
      <c r="K183" s="17"/>
      <c r="L183" s="17">
        <v>5.0249426643952697E-2</v>
      </c>
      <c r="M183" s="17">
        <v>7.5392783625906207E-2</v>
      </c>
      <c r="N183" s="17">
        <v>3.6741054418061199E-2</v>
      </c>
      <c r="O183" s="17">
        <v>4.1584364529013401E-2</v>
      </c>
    </row>
    <row r="184" spans="2:15" x14ac:dyDescent="0.3">
      <c r="C184" s="17"/>
      <c r="D184" s="17"/>
      <c r="E184" s="17"/>
      <c r="F184" s="17"/>
      <c r="G184" s="17"/>
      <c r="H184" s="17"/>
      <c r="I184" s="17"/>
      <c r="J184" s="17"/>
      <c r="K184" s="17"/>
      <c r="L184" s="17"/>
      <c r="M184" s="17"/>
      <c r="N184" s="17"/>
      <c r="O184" s="17"/>
    </row>
    <row r="185" spans="2:15" x14ac:dyDescent="0.3">
      <c r="B185" s="6" t="s">
        <v>112</v>
      </c>
      <c r="C185" s="17"/>
      <c r="D185" s="17"/>
      <c r="E185" s="17"/>
      <c r="F185" s="17"/>
      <c r="G185" s="17"/>
      <c r="H185" s="17"/>
      <c r="I185" s="17"/>
      <c r="J185" s="17"/>
      <c r="K185" s="17"/>
      <c r="L185" s="17"/>
      <c r="M185" s="17"/>
      <c r="N185" s="17"/>
      <c r="O185" s="17"/>
    </row>
    <row r="186" spans="2:15" x14ac:dyDescent="0.3">
      <c r="B186" s="23" t="s">
        <v>46</v>
      </c>
      <c r="C186" s="17"/>
      <c r="D186" s="17"/>
      <c r="E186" s="17"/>
      <c r="F186" s="17"/>
      <c r="G186" s="17"/>
      <c r="H186" s="17"/>
      <c r="I186" s="17"/>
      <c r="J186" s="17"/>
      <c r="K186" s="17"/>
      <c r="L186" s="17"/>
      <c r="M186" s="17"/>
      <c r="N186" s="17"/>
      <c r="O186" s="17"/>
    </row>
    <row r="187" spans="2:15" x14ac:dyDescent="0.3">
      <c r="B187" t="s">
        <v>103</v>
      </c>
      <c r="C187" s="17">
        <v>0.157428601404071</v>
      </c>
      <c r="D187" s="17">
        <v>0.166027177993159</v>
      </c>
      <c r="E187" s="17">
        <v>0.14704536826624601</v>
      </c>
      <c r="F187" s="17"/>
      <c r="G187" s="17">
        <v>0.22106538377250901</v>
      </c>
      <c r="H187" s="17">
        <v>0.14333792165543799</v>
      </c>
      <c r="I187" s="17">
        <v>0.118624832922294</v>
      </c>
      <c r="J187" s="17">
        <v>0.119323338047529</v>
      </c>
      <c r="K187" s="17"/>
      <c r="L187" s="17">
        <v>0.1085220303619</v>
      </c>
      <c r="M187" s="17">
        <v>0.15333899015365801</v>
      </c>
      <c r="N187" s="17">
        <v>0.19664788330753699</v>
      </c>
      <c r="O187" s="17">
        <v>0.168247047335355</v>
      </c>
    </row>
    <row r="188" spans="2:15" x14ac:dyDescent="0.3">
      <c r="B188" t="s">
        <v>104</v>
      </c>
      <c r="C188" s="17">
        <v>0.438231593410154</v>
      </c>
      <c r="D188" s="17">
        <v>0.42638198470184602</v>
      </c>
      <c r="E188" s="17">
        <v>0.45326123320417899</v>
      </c>
      <c r="F188" s="17"/>
      <c r="G188" s="17">
        <v>0.50504820830786401</v>
      </c>
      <c r="H188" s="17">
        <v>0.41677086618851999</v>
      </c>
      <c r="I188" s="17">
        <v>0.40070613809208899</v>
      </c>
      <c r="J188" s="17">
        <v>0.41334453706072999</v>
      </c>
      <c r="K188" s="17"/>
      <c r="L188" s="17">
        <v>0.51004851418278097</v>
      </c>
      <c r="M188" s="17">
        <v>0.40813539980447899</v>
      </c>
      <c r="N188" s="17">
        <v>0.39175642428999102</v>
      </c>
      <c r="O188" s="17">
        <v>0.44913898079047399</v>
      </c>
    </row>
    <row r="189" spans="2:15" x14ac:dyDescent="0.3">
      <c r="B189" t="s">
        <v>105</v>
      </c>
      <c r="C189" s="17">
        <v>0.241935475085408</v>
      </c>
      <c r="D189" s="17">
        <v>0.246149187464798</v>
      </c>
      <c r="E189" s="17">
        <v>0.23948960811769501</v>
      </c>
      <c r="F189" s="17"/>
      <c r="G189" s="17">
        <v>0.184353798524378</v>
      </c>
      <c r="H189" s="17">
        <v>0.25275680128948602</v>
      </c>
      <c r="I189" s="17">
        <v>0.28223901659197698</v>
      </c>
      <c r="J189" s="17">
        <v>0.269737601571158</v>
      </c>
      <c r="K189" s="17"/>
      <c r="L189" s="17">
        <v>0.237754222310543</v>
      </c>
      <c r="M189" s="17">
        <v>0.25503461463983401</v>
      </c>
      <c r="N189" s="17">
        <v>0.226495862737735</v>
      </c>
      <c r="O189" s="17">
        <v>0.248751475958671</v>
      </c>
    </row>
    <row r="190" spans="2:15" x14ac:dyDescent="0.3">
      <c r="B190" t="s">
        <v>106</v>
      </c>
      <c r="C190" s="17">
        <v>7.5007560100084497E-2</v>
      </c>
      <c r="D190" s="17">
        <v>8.3391631843053093E-2</v>
      </c>
      <c r="E190" s="17">
        <v>6.7179629364351595E-2</v>
      </c>
      <c r="F190" s="17"/>
      <c r="G190" s="17">
        <v>3.1191480256711899E-2</v>
      </c>
      <c r="H190" s="17">
        <v>6.0924313021726101E-2</v>
      </c>
      <c r="I190" s="17">
        <v>9.5174637412147295E-2</v>
      </c>
      <c r="J190" s="17">
        <v>0.13021083594310401</v>
      </c>
      <c r="K190" s="17"/>
      <c r="L190" s="17">
        <v>8.4350613755814596E-2</v>
      </c>
      <c r="M190" s="17">
        <v>8.3573635210111602E-2</v>
      </c>
      <c r="N190" s="17">
        <v>7.82492318385552E-2</v>
      </c>
      <c r="O190" s="17">
        <v>5.29376752002245E-2</v>
      </c>
    </row>
    <row r="191" spans="2:15" x14ac:dyDescent="0.3">
      <c r="B191" t="s">
        <v>107</v>
      </c>
      <c r="C191" s="17">
        <v>8.7396770000283203E-2</v>
      </c>
      <c r="D191" s="17">
        <v>7.8050017997144297E-2</v>
      </c>
      <c r="E191" s="17">
        <v>9.3024161047528697E-2</v>
      </c>
      <c r="F191" s="17"/>
      <c r="G191" s="17">
        <v>5.8341129138537499E-2</v>
      </c>
      <c r="H191" s="17">
        <v>0.12621009784483</v>
      </c>
      <c r="I191" s="17">
        <v>0.10325537498149299</v>
      </c>
      <c r="J191" s="17">
        <v>6.7383687377478699E-2</v>
      </c>
      <c r="K191" s="17"/>
      <c r="L191" s="17">
        <v>5.9324619388960297E-2</v>
      </c>
      <c r="M191" s="17">
        <v>9.9917360191917798E-2</v>
      </c>
      <c r="N191" s="17">
        <v>0.106850597826182</v>
      </c>
      <c r="O191" s="17">
        <v>8.0924820715275597E-2</v>
      </c>
    </row>
    <row r="192" spans="2:15" x14ac:dyDescent="0.3">
      <c r="C192" s="17"/>
      <c r="D192" s="17"/>
      <c r="E192" s="17"/>
      <c r="F192" s="17"/>
      <c r="G192" s="17"/>
      <c r="H192" s="17"/>
      <c r="I192" s="17"/>
      <c r="J192" s="17"/>
      <c r="K192" s="17"/>
      <c r="L192" s="17"/>
      <c r="M192" s="17"/>
      <c r="N192" s="17"/>
      <c r="O192" s="17"/>
    </row>
    <row r="193" spans="2:15" x14ac:dyDescent="0.3">
      <c r="B193" s="6" t="s">
        <v>113</v>
      </c>
      <c r="C193" s="17"/>
      <c r="D193" s="17"/>
      <c r="E193" s="17"/>
      <c r="F193" s="17"/>
      <c r="G193" s="17"/>
      <c r="H193" s="17"/>
      <c r="I193" s="17"/>
      <c r="J193" s="17"/>
      <c r="K193" s="17"/>
      <c r="L193" s="17"/>
      <c r="M193" s="17"/>
      <c r="N193" s="17"/>
      <c r="O193" s="17"/>
    </row>
    <row r="194" spans="2:15" x14ac:dyDescent="0.3">
      <c r="B194" s="23" t="s">
        <v>46</v>
      </c>
      <c r="C194" s="17"/>
      <c r="D194" s="17"/>
      <c r="E194" s="17"/>
      <c r="F194" s="17"/>
      <c r="G194" s="17"/>
      <c r="H194" s="17"/>
      <c r="I194" s="17"/>
      <c r="J194" s="17"/>
      <c r="K194" s="17"/>
      <c r="L194" s="17"/>
      <c r="M194" s="17"/>
      <c r="N194" s="17"/>
      <c r="O194" s="17"/>
    </row>
    <row r="195" spans="2:15" x14ac:dyDescent="0.3">
      <c r="B195" t="s">
        <v>103</v>
      </c>
      <c r="C195" s="17">
        <v>0.133061269231564</v>
      </c>
      <c r="D195" s="17">
        <v>0.143001076762555</v>
      </c>
      <c r="E195" s="17">
        <v>0.12116075985006999</v>
      </c>
      <c r="F195" s="17"/>
      <c r="G195" s="17">
        <v>0.23655168623080899</v>
      </c>
      <c r="H195" s="17">
        <v>9.4320158628360698E-2</v>
      </c>
      <c r="I195" s="17">
        <v>8.5579839371764901E-2</v>
      </c>
      <c r="J195" s="17">
        <v>8.6719087762208005E-2</v>
      </c>
      <c r="K195" s="17"/>
      <c r="L195" s="17">
        <v>7.2892431783696796E-2</v>
      </c>
      <c r="M195" s="17">
        <v>0.10990683804146199</v>
      </c>
      <c r="N195" s="17">
        <v>0.16310527214012599</v>
      </c>
      <c r="O195" s="17">
        <v>0.18559099162693499</v>
      </c>
    </row>
    <row r="196" spans="2:15" x14ac:dyDescent="0.3">
      <c r="B196" t="s">
        <v>104</v>
      </c>
      <c r="C196" s="17">
        <v>0.41392667423328999</v>
      </c>
      <c r="D196" s="17">
        <v>0.446950374113538</v>
      </c>
      <c r="E196" s="17">
        <v>0.38395694989252699</v>
      </c>
      <c r="F196" s="17"/>
      <c r="G196" s="17">
        <v>0.44266633916147702</v>
      </c>
      <c r="H196" s="17">
        <v>0.40642859828822397</v>
      </c>
      <c r="I196" s="17">
        <v>0.48689718349440098</v>
      </c>
      <c r="J196" s="17">
        <v>0.32172181492158303</v>
      </c>
      <c r="K196" s="17"/>
      <c r="L196" s="17">
        <v>0.34067412766889799</v>
      </c>
      <c r="M196" s="17">
        <v>0.40148344864652802</v>
      </c>
      <c r="N196" s="17">
        <v>0.45197596582335597</v>
      </c>
      <c r="O196" s="17">
        <v>0.45934504910026203</v>
      </c>
    </row>
    <row r="197" spans="2:15" x14ac:dyDescent="0.3">
      <c r="B197" t="s">
        <v>105</v>
      </c>
      <c r="C197" s="17">
        <v>0.26279874973030398</v>
      </c>
      <c r="D197" s="17">
        <v>0.25567883018968501</v>
      </c>
      <c r="E197" s="17">
        <v>0.26748004490327998</v>
      </c>
      <c r="F197" s="17"/>
      <c r="G197" s="17">
        <v>0.21412840544192199</v>
      </c>
      <c r="H197" s="17">
        <v>0.265174473784828</v>
      </c>
      <c r="I197" s="17">
        <v>0.21627593412815199</v>
      </c>
      <c r="J197" s="17">
        <v>0.36798969710769103</v>
      </c>
      <c r="K197" s="17"/>
      <c r="L197" s="17">
        <v>0.31226482773262498</v>
      </c>
      <c r="M197" s="17">
        <v>0.310601384301679</v>
      </c>
      <c r="N197" s="17">
        <v>0.21895113213495801</v>
      </c>
      <c r="O197" s="17">
        <v>0.20941021117494499</v>
      </c>
    </row>
    <row r="198" spans="2:15" x14ac:dyDescent="0.3">
      <c r="B198" t="s">
        <v>106</v>
      </c>
      <c r="C198" s="17">
        <v>0.128306915260369</v>
      </c>
      <c r="D198" s="17">
        <v>0.101063301403037</v>
      </c>
      <c r="E198" s="17">
        <v>0.15645453668525899</v>
      </c>
      <c r="F198" s="17"/>
      <c r="G198" s="17">
        <v>6.1516440848496598E-2</v>
      </c>
      <c r="H198" s="17">
        <v>0.131581349097392</v>
      </c>
      <c r="I198" s="17">
        <v>0.171337114817429</v>
      </c>
      <c r="J198" s="17">
        <v>0.16533891086899699</v>
      </c>
      <c r="K198" s="17"/>
      <c r="L198" s="17">
        <v>0.21355076156434799</v>
      </c>
      <c r="M198" s="17">
        <v>8.4860263249836199E-2</v>
      </c>
      <c r="N198" s="17">
        <v>0.13364479968922299</v>
      </c>
      <c r="O198" s="17">
        <v>8.4018425866764807E-2</v>
      </c>
    </row>
    <row r="199" spans="2:15" x14ac:dyDescent="0.3">
      <c r="B199" t="s">
        <v>107</v>
      </c>
      <c r="C199" s="17">
        <v>6.1906391544473097E-2</v>
      </c>
      <c r="D199" s="17">
        <v>5.3306417531186201E-2</v>
      </c>
      <c r="E199" s="17">
        <v>7.0947708668864101E-2</v>
      </c>
      <c r="F199" s="17"/>
      <c r="G199" s="17">
        <v>4.5137128317295203E-2</v>
      </c>
      <c r="H199" s="17">
        <v>0.10249542020119499</v>
      </c>
      <c r="I199" s="17">
        <v>3.9909928188254E-2</v>
      </c>
      <c r="J199" s="17">
        <v>5.82304893395214E-2</v>
      </c>
      <c r="K199" s="17"/>
      <c r="L199" s="17">
        <v>6.0617851250431697E-2</v>
      </c>
      <c r="M199" s="17">
        <v>9.3148065760495599E-2</v>
      </c>
      <c r="N199" s="17">
        <v>3.2322830212336201E-2</v>
      </c>
      <c r="O199" s="17">
        <v>6.1635322231092901E-2</v>
      </c>
    </row>
    <row r="200" spans="2:15" x14ac:dyDescent="0.3">
      <c r="C200" s="17"/>
      <c r="D200" s="17"/>
      <c r="E200" s="17"/>
      <c r="F200" s="17"/>
      <c r="G200" s="17"/>
      <c r="H200" s="17"/>
      <c r="I200" s="17"/>
      <c r="J200" s="17"/>
      <c r="K200" s="17"/>
      <c r="L200" s="17"/>
      <c r="M200" s="17"/>
      <c r="N200" s="17"/>
      <c r="O200" s="17"/>
    </row>
    <row r="201" spans="2:15" x14ac:dyDescent="0.3">
      <c r="B201" s="6" t="s">
        <v>114</v>
      </c>
      <c r="C201" s="17"/>
      <c r="D201" s="17"/>
      <c r="E201" s="17"/>
      <c r="F201" s="17"/>
      <c r="G201" s="17"/>
      <c r="H201" s="17"/>
      <c r="I201" s="17"/>
      <c r="J201" s="17"/>
      <c r="K201" s="17"/>
      <c r="L201" s="17"/>
      <c r="M201" s="17"/>
      <c r="N201" s="17"/>
      <c r="O201" s="17"/>
    </row>
    <row r="202" spans="2:15" x14ac:dyDescent="0.3">
      <c r="B202" s="23" t="s">
        <v>46</v>
      </c>
      <c r="C202" s="17"/>
      <c r="D202" s="17"/>
      <c r="E202" s="17"/>
      <c r="F202" s="17"/>
      <c r="G202" s="17"/>
      <c r="H202" s="17"/>
      <c r="I202" s="17"/>
      <c r="J202" s="17"/>
      <c r="K202" s="17"/>
      <c r="L202" s="17"/>
      <c r="M202" s="17"/>
      <c r="N202" s="17"/>
      <c r="O202" s="17"/>
    </row>
    <row r="203" spans="2:15" x14ac:dyDescent="0.3">
      <c r="B203" t="s">
        <v>103</v>
      </c>
      <c r="C203" s="17">
        <v>0.30111610067281303</v>
      </c>
      <c r="D203" s="17">
        <v>0.32393652159438602</v>
      </c>
      <c r="E203" s="17">
        <v>0.27757429667389</v>
      </c>
      <c r="F203" s="17"/>
      <c r="G203" s="17">
        <v>0.42151814641999702</v>
      </c>
      <c r="H203" s="17">
        <v>0.27146431413852501</v>
      </c>
      <c r="I203" s="17">
        <v>0.25854269646070999</v>
      </c>
      <c r="J203" s="17">
        <v>0.21136901519413501</v>
      </c>
      <c r="K203" s="17"/>
      <c r="L203" s="17">
        <v>0.21856732237006399</v>
      </c>
      <c r="M203" s="17">
        <v>0.30319336663428498</v>
      </c>
      <c r="N203" s="17">
        <v>0.34965375808104299</v>
      </c>
      <c r="O203" s="17">
        <v>0.328847782188397</v>
      </c>
    </row>
    <row r="204" spans="2:15" x14ac:dyDescent="0.3">
      <c r="B204" t="s">
        <v>104</v>
      </c>
      <c r="C204" s="17">
        <v>0.49193816207741498</v>
      </c>
      <c r="D204" s="17">
        <v>0.47833101272703099</v>
      </c>
      <c r="E204" s="17">
        <v>0.50476910747840997</v>
      </c>
      <c r="F204" s="17"/>
      <c r="G204" s="17">
        <v>0.48602208377377698</v>
      </c>
      <c r="H204" s="17">
        <v>0.42473142967117</v>
      </c>
      <c r="I204" s="17">
        <v>0.52292838561630905</v>
      </c>
      <c r="J204" s="17">
        <v>0.55153523476382604</v>
      </c>
      <c r="K204" s="17"/>
      <c r="L204" s="17">
        <v>0.51126357193305505</v>
      </c>
      <c r="M204" s="17">
        <v>0.49080198335268199</v>
      </c>
      <c r="N204" s="17">
        <v>0.43243723129312001</v>
      </c>
      <c r="O204" s="17">
        <v>0.53829434677530896</v>
      </c>
    </row>
    <row r="205" spans="2:15" x14ac:dyDescent="0.3">
      <c r="B205" t="s">
        <v>105</v>
      </c>
      <c r="C205" s="17">
        <v>0.13018810369203199</v>
      </c>
      <c r="D205" s="17">
        <v>9.9071062192981701E-2</v>
      </c>
      <c r="E205" s="17">
        <v>0.162218453944417</v>
      </c>
      <c r="F205" s="17"/>
      <c r="G205" s="17">
        <v>7.3958725322247995E-2</v>
      </c>
      <c r="H205" s="17">
        <v>0.20107984316209099</v>
      </c>
      <c r="I205" s="17">
        <v>0.12576120045488501</v>
      </c>
      <c r="J205" s="17">
        <v>0.12798717394725001</v>
      </c>
      <c r="K205" s="17"/>
      <c r="L205" s="17">
        <v>0.161805141687072</v>
      </c>
      <c r="M205" s="17">
        <v>0.12405590337870701</v>
      </c>
      <c r="N205" s="17">
        <v>0.15458332427091101</v>
      </c>
      <c r="O205" s="17">
        <v>7.8739671012994394E-2</v>
      </c>
    </row>
    <row r="206" spans="2:15" x14ac:dyDescent="0.3">
      <c r="B206" t="s">
        <v>106</v>
      </c>
      <c r="C206" s="17">
        <v>6.0482825915163699E-2</v>
      </c>
      <c r="D206" s="17">
        <v>8.8274517804421401E-2</v>
      </c>
      <c r="E206" s="17">
        <v>3.3163513116722998E-2</v>
      </c>
      <c r="F206" s="17"/>
      <c r="G206" s="17">
        <v>1.4086869673524001E-2</v>
      </c>
      <c r="H206" s="17">
        <v>6.9744787165463507E-2</v>
      </c>
      <c r="I206" s="17">
        <v>9.2767717468095506E-2</v>
      </c>
      <c r="J206" s="17">
        <v>8.1374499350491403E-2</v>
      </c>
      <c r="K206" s="17"/>
      <c r="L206" s="17">
        <v>8.5045751994644994E-2</v>
      </c>
      <c r="M206" s="17">
        <v>6.8350311048397394E-2</v>
      </c>
      <c r="N206" s="17">
        <v>4.57922682753681E-2</v>
      </c>
      <c r="O206" s="17">
        <v>4.33711638778915E-2</v>
      </c>
    </row>
    <row r="207" spans="2:15" x14ac:dyDescent="0.3">
      <c r="B207" t="s">
        <v>107</v>
      </c>
      <c r="C207" s="17">
        <v>1.6274807642575901E-2</v>
      </c>
      <c r="D207" s="17">
        <v>1.038688568118E-2</v>
      </c>
      <c r="E207" s="17">
        <v>2.2274628786559499E-2</v>
      </c>
      <c r="F207" s="17"/>
      <c r="G207" s="17">
        <v>4.4141748104540197E-3</v>
      </c>
      <c r="H207" s="17">
        <v>3.29796258627508E-2</v>
      </c>
      <c r="I207" s="17">
        <v>0</v>
      </c>
      <c r="J207" s="17">
        <v>2.7734076744298002E-2</v>
      </c>
      <c r="K207" s="17"/>
      <c r="L207" s="17">
        <v>2.3318212015163899E-2</v>
      </c>
      <c r="M207" s="17">
        <v>1.35984355859284E-2</v>
      </c>
      <c r="N207" s="17">
        <v>1.75334180795578E-2</v>
      </c>
      <c r="O207" s="17">
        <v>1.0747036145408499E-2</v>
      </c>
    </row>
    <row r="208" spans="2:15" x14ac:dyDescent="0.3">
      <c r="C208" s="17"/>
      <c r="D208" s="17"/>
      <c r="E208" s="17"/>
      <c r="F208" s="17"/>
      <c r="G208" s="17"/>
      <c r="H208" s="17"/>
      <c r="I208" s="17"/>
      <c r="J208" s="17"/>
      <c r="K208" s="17"/>
      <c r="L208" s="17"/>
      <c r="M208" s="17"/>
      <c r="N208" s="17"/>
      <c r="O208" s="17"/>
    </row>
    <row r="209" spans="2:15" x14ac:dyDescent="0.3">
      <c r="B209" s="6" t="s">
        <v>122</v>
      </c>
      <c r="C209" s="17"/>
      <c r="D209" s="17"/>
      <c r="E209" s="17"/>
      <c r="F209" s="17"/>
      <c r="G209" s="17"/>
      <c r="H209" s="17"/>
      <c r="I209" s="17"/>
      <c r="J209" s="17"/>
      <c r="K209" s="17"/>
      <c r="L209" s="17"/>
      <c r="M209" s="17"/>
      <c r="N209" s="17"/>
      <c r="O209" s="17"/>
    </row>
    <row r="210" spans="2:15" x14ac:dyDescent="0.3">
      <c r="B210" s="23" t="s">
        <v>46</v>
      </c>
      <c r="C210" s="17"/>
      <c r="D210" s="17"/>
      <c r="E210" s="17"/>
      <c r="F210" s="17"/>
      <c r="G210" s="17"/>
      <c r="H210" s="17"/>
      <c r="I210" s="17"/>
      <c r="J210" s="17"/>
      <c r="K210" s="17"/>
      <c r="L210" s="17"/>
      <c r="M210" s="17"/>
      <c r="N210" s="17"/>
      <c r="O210" s="17"/>
    </row>
    <row r="211" spans="2:15" x14ac:dyDescent="0.3">
      <c r="B211" t="s">
        <v>103</v>
      </c>
      <c r="C211" s="17">
        <v>0.39687442709856202</v>
      </c>
      <c r="D211" s="17">
        <v>0.43597509832710102</v>
      </c>
      <c r="E211" s="17">
        <v>0.35776871538952398</v>
      </c>
      <c r="F211" s="17"/>
      <c r="G211" s="17">
        <v>0.50982240668684398</v>
      </c>
      <c r="H211" s="17">
        <v>0.37681207124320198</v>
      </c>
      <c r="I211" s="17">
        <v>0.31385529290039899</v>
      </c>
      <c r="J211" s="17">
        <v>0.343615351505416</v>
      </c>
      <c r="K211" s="17"/>
      <c r="L211" s="17">
        <v>0.39162991532000002</v>
      </c>
      <c r="M211" s="17">
        <v>0.360837772065359</v>
      </c>
      <c r="N211" s="17">
        <v>0.425845435327526</v>
      </c>
      <c r="O211" s="17">
        <v>0.40950038461934302</v>
      </c>
    </row>
    <row r="212" spans="2:15" x14ac:dyDescent="0.3">
      <c r="B212" t="s">
        <v>104</v>
      </c>
      <c r="C212" s="17">
        <v>0.457698458636142</v>
      </c>
      <c r="D212" s="17">
        <v>0.431540236466398</v>
      </c>
      <c r="E212" s="17">
        <v>0.48281668087433399</v>
      </c>
      <c r="F212" s="17"/>
      <c r="G212" s="17">
        <v>0.366507910786875</v>
      </c>
      <c r="H212" s="17">
        <v>0.49201362193543802</v>
      </c>
      <c r="I212" s="17">
        <v>0.56056991203795203</v>
      </c>
      <c r="J212" s="17">
        <v>0.447192523789886</v>
      </c>
      <c r="K212" s="17"/>
      <c r="L212" s="17">
        <v>0.46387201503655401</v>
      </c>
      <c r="M212" s="17">
        <v>0.48199512235483399</v>
      </c>
      <c r="N212" s="17">
        <v>0.40271241570101701</v>
      </c>
      <c r="O212" s="17">
        <v>0.48495579535443301</v>
      </c>
    </row>
    <row r="213" spans="2:15" x14ac:dyDescent="0.3">
      <c r="B213" t="s">
        <v>105</v>
      </c>
      <c r="C213" s="17">
        <v>9.0635686978763105E-2</v>
      </c>
      <c r="D213" s="17">
        <v>9.5662849608408401E-2</v>
      </c>
      <c r="E213" s="17">
        <v>8.6274732024489001E-2</v>
      </c>
      <c r="F213" s="17"/>
      <c r="G213" s="17">
        <v>8.6580146376924697E-2</v>
      </c>
      <c r="H213" s="17">
        <v>4.8887722109020801E-2</v>
      </c>
      <c r="I213" s="17">
        <v>9.0326354988210997E-2</v>
      </c>
      <c r="J213" s="17">
        <v>0.144297269697128</v>
      </c>
      <c r="K213" s="17"/>
      <c r="L213" s="17">
        <v>0.101219672204943</v>
      </c>
      <c r="M213" s="17">
        <v>0.109289530479849</v>
      </c>
      <c r="N213" s="17">
        <v>0.103743613874604</v>
      </c>
      <c r="O213" s="17">
        <v>4.5784434152132798E-2</v>
      </c>
    </row>
    <row r="214" spans="2:15" x14ac:dyDescent="0.3">
      <c r="B214" t="s">
        <v>106</v>
      </c>
      <c r="C214" s="17">
        <v>2.08807288345286E-2</v>
      </c>
      <c r="D214" s="17">
        <v>1.8678221537903401E-2</v>
      </c>
      <c r="E214" s="17">
        <v>2.3232893549029202E-2</v>
      </c>
      <c r="F214" s="17"/>
      <c r="G214" s="17">
        <v>2.2122001759253999E-2</v>
      </c>
      <c r="H214" s="17">
        <v>1.37493343053945E-2</v>
      </c>
      <c r="I214" s="17">
        <v>2.1463256319985601E-2</v>
      </c>
      <c r="J214" s="17">
        <v>2.69929520922749E-2</v>
      </c>
      <c r="K214" s="17"/>
      <c r="L214" s="17">
        <v>1.84082438628329E-2</v>
      </c>
      <c r="M214" s="17">
        <v>2.2279564088750901E-2</v>
      </c>
      <c r="N214" s="17">
        <v>2.0605184645111799E-2</v>
      </c>
      <c r="O214" s="17">
        <v>2.2146912389459299E-2</v>
      </c>
    </row>
    <row r="215" spans="2:15" x14ac:dyDescent="0.3">
      <c r="B215" t="s">
        <v>107</v>
      </c>
      <c r="C215" s="17">
        <v>3.3910698452004298E-2</v>
      </c>
      <c r="D215" s="17">
        <v>1.8143594060189099E-2</v>
      </c>
      <c r="E215" s="17">
        <v>4.99069781626236E-2</v>
      </c>
      <c r="F215" s="17"/>
      <c r="G215" s="17">
        <v>1.4967534390102099E-2</v>
      </c>
      <c r="H215" s="17">
        <v>6.8537250406944902E-2</v>
      </c>
      <c r="I215" s="17">
        <v>1.37851837534529E-2</v>
      </c>
      <c r="J215" s="17">
        <v>3.7901902915295403E-2</v>
      </c>
      <c r="K215" s="17"/>
      <c r="L215" s="17">
        <v>2.4870153575670201E-2</v>
      </c>
      <c r="M215" s="17">
        <v>2.55980110112068E-2</v>
      </c>
      <c r="N215" s="17">
        <v>4.7093350451741497E-2</v>
      </c>
      <c r="O215" s="17">
        <v>3.76124734846323E-2</v>
      </c>
    </row>
    <row r="216" spans="2:15" x14ac:dyDescent="0.3">
      <c r="C216" s="17"/>
      <c r="D216" s="17"/>
      <c r="E216" s="17"/>
      <c r="F216" s="17"/>
      <c r="G216" s="17"/>
      <c r="H216" s="17"/>
      <c r="I216" s="17"/>
      <c r="J216" s="17"/>
      <c r="K216" s="17"/>
      <c r="L216" s="17"/>
      <c r="M216" s="17"/>
      <c r="N216" s="17"/>
      <c r="O216" s="17"/>
    </row>
    <row r="217" spans="2:15" x14ac:dyDescent="0.3">
      <c r="B217" s="6" t="s">
        <v>123</v>
      </c>
      <c r="C217" s="17"/>
      <c r="D217" s="17"/>
      <c r="E217" s="17"/>
      <c r="F217" s="17"/>
      <c r="G217" s="17"/>
      <c r="H217" s="17"/>
      <c r="I217" s="17"/>
      <c r="J217" s="17"/>
      <c r="K217" s="17"/>
      <c r="L217" s="17"/>
      <c r="M217" s="17"/>
      <c r="N217" s="17"/>
      <c r="O217" s="17"/>
    </row>
    <row r="218" spans="2:15" x14ac:dyDescent="0.3">
      <c r="B218" s="23" t="s">
        <v>46</v>
      </c>
      <c r="C218" s="17"/>
      <c r="D218" s="17"/>
      <c r="E218" s="17"/>
      <c r="F218" s="17"/>
      <c r="G218" s="17"/>
      <c r="H218" s="17"/>
      <c r="I218" s="17"/>
      <c r="J218" s="17"/>
      <c r="K218" s="17"/>
      <c r="L218" s="17"/>
      <c r="M218" s="17"/>
      <c r="N218" s="17"/>
      <c r="O218" s="17"/>
    </row>
    <row r="219" spans="2:15" x14ac:dyDescent="0.3">
      <c r="B219" t="s">
        <v>103</v>
      </c>
      <c r="C219" s="17">
        <v>0.49048705848188801</v>
      </c>
      <c r="D219" s="17">
        <v>0.46421312515718</v>
      </c>
      <c r="E219" s="17">
        <v>0.51301813325447998</v>
      </c>
      <c r="F219" s="17"/>
      <c r="G219" s="17">
        <v>0.55690170808800099</v>
      </c>
      <c r="H219" s="17">
        <v>0.55164879210944695</v>
      </c>
      <c r="I219" s="17">
        <v>0.39130319385173001</v>
      </c>
      <c r="J219" s="17">
        <v>0.42110213680373298</v>
      </c>
      <c r="K219" s="17"/>
      <c r="L219" s="17">
        <v>0.43500380285357498</v>
      </c>
      <c r="M219" s="17">
        <v>0.533425740487387</v>
      </c>
      <c r="N219" s="17">
        <v>0.49887888631070698</v>
      </c>
      <c r="O219" s="17">
        <v>0.490687554835185</v>
      </c>
    </row>
    <row r="220" spans="2:15" x14ac:dyDescent="0.3">
      <c r="B220" t="s">
        <v>104</v>
      </c>
      <c r="C220" s="17">
        <v>0.44176972699756301</v>
      </c>
      <c r="D220" s="17">
        <v>0.46397472718163002</v>
      </c>
      <c r="E220" s="17">
        <v>0.42280929182638899</v>
      </c>
      <c r="F220" s="17"/>
      <c r="G220" s="17">
        <v>0.398830501834253</v>
      </c>
      <c r="H220" s="17">
        <v>0.37455304421972901</v>
      </c>
      <c r="I220" s="17">
        <v>0.56766946370174198</v>
      </c>
      <c r="J220" s="17">
        <v>0.46255448692392998</v>
      </c>
      <c r="K220" s="17"/>
      <c r="L220" s="17">
        <v>0.50975066332767605</v>
      </c>
      <c r="M220" s="17">
        <v>0.411041268901159</v>
      </c>
      <c r="N220" s="17">
        <v>0.40384219536136101</v>
      </c>
      <c r="O220" s="17">
        <v>0.44793332152855903</v>
      </c>
    </row>
    <row r="221" spans="2:15" x14ac:dyDescent="0.3">
      <c r="B221" t="s">
        <v>105</v>
      </c>
      <c r="C221" s="17">
        <v>4.1234759617266303E-2</v>
      </c>
      <c r="D221" s="17">
        <v>4.4234415535856303E-2</v>
      </c>
      <c r="E221" s="17">
        <v>3.8539006077979797E-2</v>
      </c>
      <c r="F221" s="17"/>
      <c r="G221" s="17">
        <v>3.20716804002543E-2</v>
      </c>
      <c r="H221" s="17">
        <v>3.1267416106317003E-2</v>
      </c>
      <c r="I221" s="17">
        <v>1.9564086126542899E-2</v>
      </c>
      <c r="J221" s="17">
        <v>8.4576812006269098E-2</v>
      </c>
      <c r="K221" s="17"/>
      <c r="L221" s="17">
        <v>3.1325190548827798E-2</v>
      </c>
      <c r="M221" s="17">
        <v>4.0542114616236899E-2</v>
      </c>
      <c r="N221" s="17">
        <v>5.8451260012803097E-2</v>
      </c>
      <c r="O221" s="17">
        <v>3.3238238031040999E-2</v>
      </c>
    </row>
    <row r="222" spans="2:15" x14ac:dyDescent="0.3">
      <c r="B222" t="s">
        <v>106</v>
      </c>
      <c r="C222" s="17">
        <v>1.1529097370640101E-2</v>
      </c>
      <c r="D222" s="17">
        <v>1.4599565075469501E-2</v>
      </c>
      <c r="E222" s="17">
        <v>8.5461392535704905E-3</v>
      </c>
      <c r="F222" s="17"/>
      <c r="G222" s="17">
        <v>3.8746187162700101E-3</v>
      </c>
      <c r="H222" s="17">
        <v>2.2558147556266801E-2</v>
      </c>
      <c r="I222" s="17">
        <v>2.1463256319985601E-2</v>
      </c>
      <c r="J222" s="17">
        <v>0</v>
      </c>
      <c r="K222" s="17"/>
      <c r="L222" s="17">
        <v>1.52294333627388E-2</v>
      </c>
      <c r="M222" s="17">
        <v>8.1916582022526808E-3</v>
      </c>
      <c r="N222" s="17">
        <v>4.4436126300146303E-3</v>
      </c>
      <c r="O222" s="17">
        <v>1.9094978649908601E-2</v>
      </c>
    </row>
    <row r="223" spans="2:15" x14ac:dyDescent="0.3">
      <c r="B223" t="s">
        <v>107</v>
      </c>
      <c r="C223" s="17">
        <v>1.4979357532642601E-2</v>
      </c>
      <c r="D223" s="17">
        <v>1.29781670498634E-2</v>
      </c>
      <c r="E223" s="17">
        <v>1.7087429587580999E-2</v>
      </c>
      <c r="F223" s="17"/>
      <c r="G223" s="17">
        <v>8.3214909612222207E-3</v>
      </c>
      <c r="H223" s="17">
        <v>1.9972600008239898E-2</v>
      </c>
      <c r="I223" s="17">
        <v>0</v>
      </c>
      <c r="J223" s="17">
        <v>3.1766564266067901E-2</v>
      </c>
      <c r="K223" s="17"/>
      <c r="L223" s="17">
        <v>8.69090990718226E-3</v>
      </c>
      <c r="M223" s="17">
        <v>6.7992177929642201E-3</v>
      </c>
      <c r="N223" s="17">
        <v>3.4384045685114002E-2</v>
      </c>
      <c r="O223" s="17">
        <v>9.0459069553066093E-3</v>
      </c>
    </row>
    <row r="224" spans="2:15" x14ac:dyDescent="0.3">
      <c r="C224" s="17"/>
      <c r="D224" s="17"/>
      <c r="E224" s="17"/>
      <c r="F224" s="17"/>
      <c r="G224" s="17"/>
      <c r="H224" s="17"/>
      <c r="I224" s="17"/>
      <c r="J224" s="17"/>
      <c r="K224" s="17"/>
      <c r="L224" s="17"/>
      <c r="M224" s="17"/>
      <c r="N224" s="17"/>
      <c r="O224" s="17"/>
    </row>
    <row r="225" spans="2:15" x14ac:dyDescent="0.3">
      <c r="B225" s="6" t="s">
        <v>124</v>
      </c>
      <c r="C225" s="17"/>
      <c r="D225" s="17"/>
      <c r="E225" s="17"/>
      <c r="F225" s="17"/>
      <c r="G225" s="17"/>
      <c r="H225" s="17"/>
      <c r="I225" s="17"/>
      <c r="J225" s="17"/>
      <c r="K225" s="17"/>
      <c r="L225" s="17"/>
      <c r="M225" s="17"/>
      <c r="N225" s="17"/>
      <c r="O225" s="17"/>
    </row>
    <row r="226" spans="2:15" x14ac:dyDescent="0.3">
      <c r="B226" s="23" t="s">
        <v>46</v>
      </c>
      <c r="C226" s="17"/>
      <c r="D226" s="17"/>
      <c r="E226" s="17"/>
      <c r="F226" s="17"/>
      <c r="G226" s="17"/>
      <c r="H226" s="17"/>
      <c r="I226" s="17"/>
      <c r="J226" s="17"/>
      <c r="K226" s="17"/>
      <c r="L226" s="17"/>
      <c r="M226" s="17"/>
      <c r="N226" s="17"/>
      <c r="O226" s="17"/>
    </row>
    <row r="227" spans="2:15" x14ac:dyDescent="0.3">
      <c r="B227" t="s">
        <v>103</v>
      </c>
      <c r="C227" s="17">
        <v>0.31759235920727302</v>
      </c>
      <c r="D227" s="17">
        <v>0.33731209116350402</v>
      </c>
      <c r="E227" s="17">
        <v>0.30020944950254203</v>
      </c>
      <c r="F227" s="17"/>
      <c r="G227" s="17">
        <v>0.43334670317219398</v>
      </c>
      <c r="H227" s="17">
        <v>0.31959589487666801</v>
      </c>
      <c r="I227" s="17">
        <v>0.26809821175241999</v>
      </c>
      <c r="J227" s="17">
        <v>0.204413676721549</v>
      </c>
      <c r="K227" s="17"/>
      <c r="L227" s="17">
        <v>0.25175529678920899</v>
      </c>
      <c r="M227" s="17">
        <v>0.31801491272689703</v>
      </c>
      <c r="N227" s="17">
        <v>0.363733888017157</v>
      </c>
      <c r="O227" s="17">
        <v>0.33298820026473203</v>
      </c>
    </row>
    <row r="228" spans="2:15" x14ac:dyDescent="0.3">
      <c r="B228" t="s">
        <v>104</v>
      </c>
      <c r="C228" s="17">
        <v>0.52419683414879303</v>
      </c>
      <c r="D228" s="17">
        <v>0.518555903365711</v>
      </c>
      <c r="E228" s="17">
        <v>0.52636403701948298</v>
      </c>
      <c r="F228" s="17"/>
      <c r="G228" s="17">
        <v>0.44720228249787503</v>
      </c>
      <c r="H228" s="17">
        <v>0.551808841235086</v>
      </c>
      <c r="I228" s="17">
        <v>0.59111860665992499</v>
      </c>
      <c r="J228" s="17">
        <v>0.53615650175349405</v>
      </c>
      <c r="K228" s="17"/>
      <c r="L228" s="17">
        <v>0.55959320472424501</v>
      </c>
      <c r="M228" s="17">
        <v>0.557315526875093</v>
      </c>
      <c r="N228" s="17">
        <v>0.45435147898894201</v>
      </c>
      <c r="O228" s="17">
        <v>0.52883858039700804</v>
      </c>
    </row>
    <row r="229" spans="2:15" x14ac:dyDescent="0.3">
      <c r="B229" t="s">
        <v>105</v>
      </c>
      <c r="C229" s="17">
        <v>0.10661362722697899</v>
      </c>
      <c r="D229" s="17">
        <v>9.1334349199596196E-2</v>
      </c>
      <c r="E229" s="17">
        <v>0.122652441996837</v>
      </c>
      <c r="F229" s="17"/>
      <c r="G229" s="17">
        <v>8.6777196806930398E-2</v>
      </c>
      <c r="H229" s="17">
        <v>0.100695122154389</v>
      </c>
      <c r="I229" s="17">
        <v>8.1927194133104897E-2</v>
      </c>
      <c r="J229" s="17">
        <v>0.162523022851815</v>
      </c>
      <c r="K229" s="17"/>
      <c r="L229" s="17">
        <v>0.123470217848379</v>
      </c>
      <c r="M229" s="17">
        <v>8.0191412924525293E-2</v>
      </c>
      <c r="N229" s="17">
        <v>0.12455355954234799</v>
      </c>
      <c r="O229" s="17">
        <v>9.8746007134751401E-2</v>
      </c>
    </row>
    <row r="230" spans="2:15" x14ac:dyDescent="0.3">
      <c r="B230" t="s">
        <v>106</v>
      </c>
      <c r="C230" s="17">
        <v>2.7779225267077701E-2</v>
      </c>
      <c r="D230" s="17">
        <v>2.5825112972166199E-2</v>
      </c>
      <c r="E230" s="17">
        <v>2.99335488767353E-2</v>
      </c>
      <c r="F230" s="17"/>
      <c r="G230" s="17">
        <v>3.8746187162700101E-3</v>
      </c>
      <c r="H230" s="17">
        <v>1.6277140768242101E-2</v>
      </c>
      <c r="I230" s="17">
        <v>4.3121267926694802E-2</v>
      </c>
      <c r="J230" s="17">
        <v>5.8165929615469097E-2</v>
      </c>
      <c r="K230" s="17"/>
      <c r="L230" s="17">
        <v>4.4380968853363199E-2</v>
      </c>
      <c r="M230" s="17">
        <v>1.7528920287154699E-2</v>
      </c>
      <c r="N230" s="17">
        <v>1.97286313576104E-2</v>
      </c>
      <c r="O230" s="17">
        <v>3.09258016520263E-2</v>
      </c>
    </row>
    <row r="231" spans="2:15" x14ac:dyDescent="0.3">
      <c r="B231" t="s">
        <v>107</v>
      </c>
      <c r="C231" s="17">
        <v>2.3817954149876901E-2</v>
      </c>
      <c r="D231" s="17">
        <v>2.6972543299022302E-2</v>
      </c>
      <c r="E231" s="17">
        <v>2.08405226044018E-2</v>
      </c>
      <c r="F231" s="17"/>
      <c r="G231" s="17">
        <v>2.8799198806730701E-2</v>
      </c>
      <c r="H231" s="17">
        <v>1.16230009656146E-2</v>
      </c>
      <c r="I231" s="17">
        <v>1.5734719527855299E-2</v>
      </c>
      <c r="J231" s="17">
        <v>3.8740869057673398E-2</v>
      </c>
      <c r="K231" s="17"/>
      <c r="L231" s="17">
        <v>2.0800311784804001E-2</v>
      </c>
      <c r="M231" s="17">
        <v>2.6949227186329298E-2</v>
      </c>
      <c r="N231" s="17">
        <v>3.7632442093943098E-2</v>
      </c>
      <c r="O231" s="17">
        <v>8.5014105514824197E-3</v>
      </c>
    </row>
    <row r="232" spans="2:15" x14ac:dyDescent="0.3">
      <c r="C232" s="17"/>
      <c r="D232" s="17"/>
      <c r="E232" s="17"/>
      <c r="F232" s="17"/>
      <c r="G232" s="17"/>
      <c r="H232" s="17"/>
      <c r="I232" s="17"/>
      <c r="J232" s="17"/>
      <c r="K232" s="17"/>
      <c r="L232" s="17"/>
      <c r="M232" s="17"/>
      <c r="N232" s="17"/>
      <c r="O232" s="17"/>
    </row>
    <row r="233" spans="2:15" x14ac:dyDescent="0.3">
      <c r="B233" s="6" t="s">
        <v>125</v>
      </c>
      <c r="C233" s="17"/>
      <c r="D233" s="17"/>
      <c r="E233" s="17"/>
      <c r="F233" s="17"/>
      <c r="G233" s="17"/>
      <c r="H233" s="17"/>
      <c r="I233" s="17"/>
      <c r="J233" s="17"/>
      <c r="K233" s="17"/>
      <c r="L233" s="17"/>
      <c r="M233" s="17"/>
      <c r="N233" s="17"/>
      <c r="O233" s="17"/>
    </row>
    <row r="234" spans="2:15" x14ac:dyDescent="0.3">
      <c r="B234" s="23" t="s">
        <v>46</v>
      </c>
      <c r="C234" s="17"/>
      <c r="D234" s="17"/>
      <c r="E234" s="17"/>
      <c r="F234" s="17"/>
      <c r="G234" s="17"/>
      <c r="H234" s="17"/>
      <c r="I234" s="17"/>
      <c r="J234" s="17"/>
      <c r="K234" s="17"/>
      <c r="L234" s="17"/>
      <c r="M234" s="17"/>
      <c r="N234" s="17"/>
      <c r="O234" s="17"/>
    </row>
    <row r="235" spans="2:15" x14ac:dyDescent="0.3">
      <c r="B235" t="s">
        <v>103</v>
      </c>
      <c r="C235" s="17">
        <v>0.28376118383426102</v>
      </c>
      <c r="D235" s="17">
        <v>0.268721033394411</v>
      </c>
      <c r="E235" s="17">
        <v>0.29791039976693101</v>
      </c>
      <c r="F235" s="17"/>
      <c r="G235" s="17">
        <v>0.37576217162215197</v>
      </c>
      <c r="H235" s="17">
        <v>0.32695110405021699</v>
      </c>
      <c r="I235" s="17">
        <v>0.164499134080142</v>
      </c>
      <c r="J235" s="17">
        <v>0.21815495460561299</v>
      </c>
      <c r="K235" s="17"/>
      <c r="L235" s="17">
        <v>0.306023975658474</v>
      </c>
      <c r="M235" s="17">
        <v>0.244173182382558</v>
      </c>
      <c r="N235" s="17">
        <v>0.27982680755216999</v>
      </c>
      <c r="O235" s="17">
        <v>0.30834772545308298</v>
      </c>
    </row>
    <row r="236" spans="2:15" x14ac:dyDescent="0.3">
      <c r="B236" t="s">
        <v>104</v>
      </c>
      <c r="C236" s="17">
        <v>0.50544032515684401</v>
      </c>
      <c r="D236" s="17">
        <v>0.53420267549188905</v>
      </c>
      <c r="E236" s="17">
        <v>0.47604837690828</v>
      </c>
      <c r="F236" s="17"/>
      <c r="G236" s="17">
        <v>0.44344638359663702</v>
      </c>
      <c r="H236" s="17">
        <v>0.46361344679312599</v>
      </c>
      <c r="I236" s="17">
        <v>0.63787377028576397</v>
      </c>
      <c r="J236" s="17">
        <v>0.51675195249874994</v>
      </c>
      <c r="K236" s="17"/>
      <c r="L236" s="17">
        <v>0.43816495819275902</v>
      </c>
      <c r="M236" s="17">
        <v>0.56155650431916004</v>
      </c>
      <c r="N236" s="17">
        <v>0.48611482163004099</v>
      </c>
      <c r="O236" s="17">
        <v>0.53328424941853503</v>
      </c>
    </row>
    <row r="237" spans="2:15" x14ac:dyDescent="0.3">
      <c r="B237" t="s">
        <v>105</v>
      </c>
      <c r="C237" s="17">
        <v>0.14813568368709201</v>
      </c>
      <c r="D237" s="17">
        <v>0.14302622344843799</v>
      </c>
      <c r="E237" s="17">
        <v>0.15431883555055001</v>
      </c>
      <c r="F237" s="17"/>
      <c r="G237" s="17">
        <v>0.13829183525368999</v>
      </c>
      <c r="H237" s="17">
        <v>0.14089717379677499</v>
      </c>
      <c r="I237" s="17">
        <v>0.16532106724057499</v>
      </c>
      <c r="J237" s="17">
        <v>0.15465509870615499</v>
      </c>
      <c r="K237" s="17"/>
      <c r="L237" s="17">
        <v>0.18041336456106299</v>
      </c>
      <c r="M237" s="17">
        <v>0.140437172913669</v>
      </c>
      <c r="N237" s="17">
        <v>0.170311225238195</v>
      </c>
      <c r="O237" s="17">
        <v>0.10011623075265499</v>
      </c>
    </row>
    <row r="238" spans="2:15" x14ac:dyDescent="0.3">
      <c r="B238" t="s">
        <v>106</v>
      </c>
      <c r="C238" s="17">
        <v>1.98216356951392E-2</v>
      </c>
      <c r="D238" s="17">
        <v>2.0898783547364699E-2</v>
      </c>
      <c r="E238" s="17">
        <v>1.8890159259767801E-2</v>
      </c>
      <c r="F238" s="17"/>
      <c r="G238" s="17">
        <v>3.93965104140443E-3</v>
      </c>
      <c r="H238" s="17">
        <v>1.3416665741177799E-2</v>
      </c>
      <c r="I238" s="17">
        <v>2.1463256319985601E-2</v>
      </c>
      <c r="J238" s="17">
        <v>4.6421230479765797E-2</v>
      </c>
      <c r="K238" s="17"/>
      <c r="L238" s="17">
        <v>2.8695430293736199E-2</v>
      </c>
      <c r="M238" s="17">
        <v>2.20789336175988E-2</v>
      </c>
      <c r="N238" s="17">
        <v>6.78102741353018E-3</v>
      </c>
      <c r="O238" s="17">
        <v>2.2646861394124002E-2</v>
      </c>
    </row>
    <row r="239" spans="2:15" x14ac:dyDescent="0.3">
      <c r="B239" t="s">
        <v>107</v>
      </c>
      <c r="C239" s="17">
        <v>4.2841171626663802E-2</v>
      </c>
      <c r="D239" s="17">
        <v>3.3151284117897202E-2</v>
      </c>
      <c r="E239" s="17">
        <v>5.28322285144718E-2</v>
      </c>
      <c r="F239" s="17"/>
      <c r="G239" s="17">
        <v>3.8559958486117103E-2</v>
      </c>
      <c r="H239" s="17">
        <v>5.5121609618703701E-2</v>
      </c>
      <c r="I239" s="17">
        <v>1.0842772073534099E-2</v>
      </c>
      <c r="J239" s="17">
        <v>6.4016763709715596E-2</v>
      </c>
      <c r="K239" s="17"/>
      <c r="L239" s="17">
        <v>4.6702271293968103E-2</v>
      </c>
      <c r="M239" s="17">
        <v>3.17542067670138E-2</v>
      </c>
      <c r="N239" s="17">
        <v>5.6966118166063902E-2</v>
      </c>
      <c r="O239" s="17">
        <v>3.5604932981602701E-2</v>
      </c>
    </row>
    <row r="240" spans="2:15" x14ac:dyDescent="0.3">
      <c r="C240" s="17"/>
      <c r="D240" s="17"/>
      <c r="E240" s="17"/>
      <c r="F240" s="17"/>
      <c r="G240" s="17"/>
      <c r="H240" s="17"/>
      <c r="I240" s="17"/>
      <c r="J240" s="17"/>
      <c r="K240" s="17"/>
      <c r="L240" s="17"/>
      <c r="M240" s="17"/>
      <c r="N240" s="17"/>
      <c r="O240" s="17"/>
    </row>
    <row r="241" spans="2:15" x14ac:dyDescent="0.3">
      <c r="B241" s="6" t="s">
        <v>126</v>
      </c>
      <c r="C241" s="17"/>
      <c r="D241" s="17"/>
      <c r="E241" s="17"/>
      <c r="F241" s="17"/>
      <c r="G241" s="17"/>
      <c r="H241" s="17"/>
      <c r="I241" s="17"/>
      <c r="J241" s="17"/>
      <c r="K241" s="17"/>
      <c r="L241" s="17"/>
      <c r="M241" s="17"/>
      <c r="N241" s="17"/>
      <c r="O241" s="17"/>
    </row>
    <row r="242" spans="2:15" x14ac:dyDescent="0.3">
      <c r="B242" s="23" t="s">
        <v>46</v>
      </c>
      <c r="C242" s="17"/>
      <c r="D242" s="17"/>
      <c r="E242" s="17"/>
      <c r="F242" s="17"/>
      <c r="G242" s="17"/>
      <c r="H242" s="17"/>
      <c r="I242" s="17"/>
      <c r="J242" s="17"/>
      <c r="K242" s="17"/>
      <c r="L242" s="17"/>
      <c r="M242" s="17"/>
      <c r="N242" s="17"/>
      <c r="O242" s="17"/>
    </row>
    <row r="243" spans="2:15" x14ac:dyDescent="0.3">
      <c r="B243" t="s">
        <v>103</v>
      </c>
      <c r="C243" s="17">
        <v>4.5109827305553497E-2</v>
      </c>
      <c r="D243" s="17">
        <v>4.5619521068830202E-2</v>
      </c>
      <c r="E243" s="17">
        <v>4.49294412948745E-2</v>
      </c>
      <c r="F243" s="17"/>
      <c r="G243" s="17">
        <v>4.1170626920455498E-2</v>
      </c>
      <c r="H243" s="17">
        <v>5.3445216734653002E-2</v>
      </c>
      <c r="I243" s="17">
        <v>4.9490230713541701E-2</v>
      </c>
      <c r="J243" s="17">
        <v>3.7136920545497401E-2</v>
      </c>
      <c r="K243" s="17"/>
      <c r="L243" s="17">
        <v>5.1822179761283199E-2</v>
      </c>
      <c r="M243" s="17">
        <v>5.0320820358921499E-2</v>
      </c>
      <c r="N243" s="17">
        <v>6.0426756136624002E-2</v>
      </c>
      <c r="O243" s="17">
        <v>1.6198370028450201E-2</v>
      </c>
    </row>
    <row r="244" spans="2:15" x14ac:dyDescent="0.3">
      <c r="B244" t="s">
        <v>104</v>
      </c>
      <c r="C244" s="17">
        <v>0.152884155959157</v>
      </c>
      <c r="D244" s="17">
        <v>0.124007887860255</v>
      </c>
      <c r="E244" s="17">
        <v>0.18284167497968501</v>
      </c>
      <c r="F244" s="17"/>
      <c r="G244" s="17">
        <v>0.133098558534958</v>
      </c>
      <c r="H244" s="17">
        <v>0.20002407037401601</v>
      </c>
      <c r="I244" s="17">
        <v>0.10639886604707</v>
      </c>
      <c r="J244" s="17">
        <v>0.168768979686266</v>
      </c>
      <c r="K244" s="17"/>
      <c r="L244" s="17">
        <v>0.22721178842763901</v>
      </c>
      <c r="M244" s="17">
        <v>0.13149226839584499</v>
      </c>
      <c r="N244" s="17">
        <v>0.13633713105704601</v>
      </c>
      <c r="O244" s="17">
        <v>0.119494952240614</v>
      </c>
    </row>
    <row r="245" spans="2:15" x14ac:dyDescent="0.3">
      <c r="B245" t="s">
        <v>105</v>
      </c>
      <c r="C245" s="17">
        <v>0.38075560714066597</v>
      </c>
      <c r="D245" s="17">
        <v>0.391614280857771</v>
      </c>
      <c r="E245" s="17">
        <v>0.36833835101710499</v>
      </c>
      <c r="F245" s="17"/>
      <c r="G245" s="17">
        <v>0.312406118194824</v>
      </c>
      <c r="H245" s="17">
        <v>0.37608411438969802</v>
      </c>
      <c r="I245" s="17">
        <v>0.38811593766383001</v>
      </c>
      <c r="J245" s="17">
        <v>0.47132074032745203</v>
      </c>
      <c r="K245" s="17"/>
      <c r="L245" s="17">
        <v>0.35082034885414098</v>
      </c>
      <c r="M245" s="17">
        <v>0.41411518499545702</v>
      </c>
      <c r="N245" s="17">
        <v>0.31190632318508599</v>
      </c>
      <c r="O245" s="17">
        <v>0.44939077111103498</v>
      </c>
    </row>
    <row r="246" spans="2:15" x14ac:dyDescent="0.3">
      <c r="B246" t="s">
        <v>106</v>
      </c>
      <c r="C246" s="17">
        <v>0.38743110713619999</v>
      </c>
      <c r="D246" s="17">
        <v>0.40699399130423403</v>
      </c>
      <c r="E246" s="17">
        <v>0.37071380099467599</v>
      </c>
      <c r="F246" s="17"/>
      <c r="G246" s="17">
        <v>0.48179259356475501</v>
      </c>
      <c r="H246" s="17">
        <v>0.34421826429960201</v>
      </c>
      <c r="I246" s="17">
        <v>0.45599496557555802</v>
      </c>
      <c r="J246" s="17">
        <v>0.24623051094530901</v>
      </c>
      <c r="K246" s="17"/>
      <c r="L246" s="17">
        <v>0.34682747094177302</v>
      </c>
      <c r="M246" s="17">
        <v>0.36975423588877798</v>
      </c>
      <c r="N246" s="17">
        <v>0.44717837746630701</v>
      </c>
      <c r="O246" s="17">
        <v>0.38232456196644798</v>
      </c>
    </row>
    <row r="247" spans="2:15" x14ac:dyDescent="0.3">
      <c r="B247" t="s">
        <v>107</v>
      </c>
      <c r="C247" s="17">
        <v>3.3819302458424398E-2</v>
      </c>
      <c r="D247" s="17">
        <v>3.1764318908910197E-2</v>
      </c>
      <c r="E247" s="17">
        <v>3.3176731713659299E-2</v>
      </c>
      <c r="F247" s="17"/>
      <c r="G247" s="17">
        <v>3.1532102785007302E-2</v>
      </c>
      <c r="H247" s="17">
        <v>2.6228334202031699E-2</v>
      </c>
      <c r="I247" s="17">
        <v>0</v>
      </c>
      <c r="J247" s="17">
        <v>7.6542848495475505E-2</v>
      </c>
      <c r="K247" s="17"/>
      <c r="L247" s="17">
        <v>2.3318212015163899E-2</v>
      </c>
      <c r="M247" s="17">
        <v>3.4317490360997301E-2</v>
      </c>
      <c r="N247" s="17">
        <v>4.4151412154936398E-2</v>
      </c>
      <c r="O247" s="17">
        <v>3.2591344653453098E-2</v>
      </c>
    </row>
    <row r="248" spans="2:15" x14ac:dyDescent="0.3">
      <c r="C248" s="17"/>
      <c r="D248" s="17"/>
      <c r="E248" s="17"/>
      <c r="F248" s="17"/>
      <c r="G248" s="17"/>
      <c r="H248" s="17"/>
      <c r="I248" s="17"/>
      <c r="J248" s="17"/>
      <c r="K248" s="17"/>
      <c r="L248" s="17"/>
      <c r="M248" s="17"/>
      <c r="N248" s="17"/>
      <c r="O248" s="17"/>
    </row>
    <row r="249" spans="2:15" x14ac:dyDescent="0.3">
      <c r="B249" s="6" t="s">
        <v>127</v>
      </c>
      <c r="C249" s="17"/>
      <c r="D249" s="17"/>
      <c r="E249" s="17"/>
      <c r="F249" s="17"/>
      <c r="G249" s="17"/>
      <c r="H249" s="17"/>
      <c r="I249" s="17"/>
      <c r="J249" s="17"/>
      <c r="K249" s="17"/>
      <c r="L249" s="17"/>
      <c r="M249" s="17"/>
      <c r="N249" s="17"/>
      <c r="O249" s="17"/>
    </row>
    <row r="250" spans="2:15" x14ac:dyDescent="0.3">
      <c r="B250" s="23" t="s">
        <v>46</v>
      </c>
      <c r="C250" s="17"/>
      <c r="D250" s="17"/>
      <c r="E250" s="17"/>
      <c r="F250" s="17"/>
      <c r="G250" s="17"/>
      <c r="H250" s="17"/>
      <c r="I250" s="17"/>
      <c r="J250" s="17"/>
      <c r="K250" s="17"/>
      <c r="L250" s="17"/>
      <c r="M250" s="17"/>
      <c r="N250" s="17"/>
      <c r="O250" s="17"/>
    </row>
    <row r="251" spans="2:15" x14ac:dyDescent="0.3">
      <c r="B251" t="s">
        <v>103</v>
      </c>
      <c r="C251" s="17">
        <v>0.21108739766515699</v>
      </c>
      <c r="D251" s="17">
        <v>0.24453591279813</v>
      </c>
      <c r="E251" s="17">
        <v>0.17627352907830901</v>
      </c>
      <c r="F251" s="17"/>
      <c r="G251" s="17">
        <v>0.30620275632655503</v>
      </c>
      <c r="H251" s="17">
        <v>0.15691166914138999</v>
      </c>
      <c r="I251" s="17">
        <v>0.15599084214574499</v>
      </c>
      <c r="J251" s="17">
        <v>0.200731632511019</v>
      </c>
      <c r="K251" s="17"/>
      <c r="L251" s="17">
        <v>0.19822620881317601</v>
      </c>
      <c r="M251" s="17">
        <v>0.20081927692065199</v>
      </c>
      <c r="N251" s="17">
        <v>0.26423218002332999</v>
      </c>
      <c r="O251" s="17">
        <v>0.17742108097547701</v>
      </c>
    </row>
    <row r="252" spans="2:15" x14ac:dyDescent="0.3">
      <c r="B252" t="s">
        <v>104</v>
      </c>
      <c r="C252" s="17">
        <v>0.49222333282853198</v>
      </c>
      <c r="D252" s="17">
        <v>0.49724524092801597</v>
      </c>
      <c r="E252" s="17">
        <v>0.48644849680959101</v>
      </c>
      <c r="F252" s="17"/>
      <c r="G252" s="17">
        <v>0.51852243191576397</v>
      </c>
      <c r="H252" s="17">
        <v>0.47170015869380599</v>
      </c>
      <c r="I252" s="17">
        <v>0.50345212611041901</v>
      </c>
      <c r="J252" s="17">
        <v>0.46701187492034701</v>
      </c>
      <c r="K252" s="17"/>
      <c r="L252" s="17">
        <v>0.49075416163039298</v>
      </c>
      <c r="M252" s="17">
        <v>0.51426740410738303</v>
      </c>
      <c r="N252" s="17">
        <v>0.45868092971482599</v>
      </c>
      <c r="O252" s="17">
        <v>0.506316030721087</v>
      </c>
    </row>
    <row r="253" spans="2:15" x14ac:dyDescent="0.3">
      <c r="B253" t="s">
        <v>105</v>
      </c>
      <c r="C253" s="17">
        <v>0.233059573244739</v>
      </c>
      <c r="D253" s="17">
        <v>0.201243437181093</v>
      </c>
      <c r="E253" s="17">
        <v>0.26653787538562901</v>
      </c>
      <c r="F253" s="17"/>
      <c r="G253" s="17">
        <v>0.16296211206748901</v>
      </c>
      <c r="H253" s="17">
        <v>0.30161394050941698</v>
      </c>
      <c r="I253" s="17">
        <v>0.219861183602961</v>
      </c>
      <c r="J253" s="17">
        <v>0.26038209636946702</v>
      </c>
      <c r="K253" s="17"/>
      <c r="L253" s="17">
        <v>0.231930004205843</v>
      </c>
      <c r="M253" s="17">
        <v>0.203781847816877</v>
      </c>
      <c r="N253" s="17">
        <v>0.20309287878052701</v>
      </c>
      <c r="O253" s="17">
        <v>0.29814879621650198</v>
      </c>
    </row>
    <row r="254" spans="2:15" x14ac:dyDescent="0.3">
      <c r="B254" t="s">
        <v>106</v>
      </c>
      <c r="C254" s="17">
        <v>4.8266865366929798E-2</v>
      </c>
      <c r="D254" s="17">
        <v>5.1547877084329299E-2</v>
      </c>
      <c r="E254" s="17">
        <v>4.5341321079639202E-2</v>
      </c>
      <c r="F254" s="17"/>
      <c r="G254" s="17">
        <v>3.46604819564894E-3</v>
      </c>
      <c r="H254" s="17">
        <v>5.5381270453640802E-2</v>
      </c>
      <c r="I254" s="17">
        <v>0.111168641210661</v>
      </c>
      <c r="J254" s="17">
        <v>4.1482328810751902E-2</v>
      </c>
      <c r="K254" s="17"/>
      <c r="L254" s="17">
        <v>7.0398715443405396E-2</v>
      </c>
      <c r="M254" s="17">
        <v>7.4332253362123998E-2</v>
      </c>
      <c r="N254" s="17">
        <v>3.7429780622805602E-2</v>
      </c>
      <c r="O254" s="17">
        <v>9.8351518290311097E-3</v>
      </c>
    </row>
    <row r="255" spans="2:15" x14ac:dyDescent="0.3">
      <c r="B255" t="s">
        <v>107</v>
      </c>
      <c r="C255" s="17">
        <v>1.5362830894643201E-2</v>
      </c>
      <c r="D255" s="17">
        <v>5.4275320084305797E-3</v>
      </c>
      <c r="E255" s="17">
        <v>2.5398777646832099E-2</v>
      </c>
      <c r="F255" s="17"/>
      <c r="G255" s="17">
        <v>8.8466514945444892E-3</v>
      </c>
      <c r="H255" s="17">
        <v>1.4392961201746299E-2</v>
      </c>
      <c r="I255" s="17">
        <v>9.5272069302143794E-3</v>
      </c>
      <c r="J255" s="17">
        <v>3.0392067388415E-2</v>
      </c>
      <c r="K255" s="17"/>
      <c r="L255" s="17">
        <v>8.69090990718226E-3</v>
      </c>
      <c r="M255" s="17">
        <v>6.7992177929642201E-3</v>
      </c>
      <c r="N255" s="17">
        <v>3.6564230858510703E-2</v>
      </c>
      <c r="O255" s="17">
        <v>8.2789402579022692E-3</v>
      </c>
    </row>
    <row r="256" spans="2:15" x14ac:dyDescent="0.3">
      <c r="C256" s="17"/>
      <c r="D256" s="17"/>
      <c r="E256" s="17"/>
      <c r="F256" s="17"/>
      <c r="G256" s="17"/>
      <c r="H256" s="17"/>
      <c r="I256" s="17"/>
      <c r="J256" s="17"/>
      <c r="K256" s="17"/>
      <c r="L256" s="17"/>
      <c r="M256" s="17"/>
      <c r="N256" s="17"/>
      <c r="O256" s="17"/>
    </row>
    <row r="257" spans="2:15" x14ac:dyDescent="0.3">
      <c r="B257" s="6" t="s">
        <v>128</v>
      </c>
      <c r="C257" s="17"/>
      <c r="D257" s="17"/>
      <c r="E257" s="17"/>
      <c r="F257" s="17"/>
      <c r="G257" s="17"/>
      <c r="H257" s="17"/>
      <c r="I257" s="17"/>
      <c r="J257" s="17"/>
      <c r="K257" s="17"/>
      <c r="L257" s="17"/>
      <c r="M257" s="17"/>
      <c r="N257" s="17"/>
      <c r="O257" s="17"/>
    </row>
    <row r="258" spans="2:15" x14ac:dyDescent="0.3">
      <c r="B258" s="23" t="s">
        <v>46</v>
      </c>
      <c r="C258" s="17"/>
      <c r="D258" s="17"/>
      <c r="E258" s="17"/>
      <c r="F258" s="17"/>
      <c r="G258" s="17"/>
      <c r="H258" s="17"/>
      <c r="I258" s="17"/>
      <c r="J258" s="17"/>
      <c r="K258" s="17"/>
      <c r="L258" s="17"/>
      <c r="M258" s="17"/>
      <c r="N258" s="17"/>
      <c r="O258" s="17"/>
    </row>
    <row r="259" spans="2:15" x14ac:dyDescent="0.3">
      <c r="B259" t="s">
        <v>103</v>
      </c>
      <c r="C259" s="17">
        <v>0.12582407515482699</v>
      </c>
      <c r="D259" s="17">
        <v>8.0665934450489502E-2</v>
      </c>
      <c r="E259" s="17">
        <v>0.17184774543384901</v>
      </c>
      <c r="F259" s="17"/>
      <c r="G259" s="17">
        <v>8.9092923216128203E-2</v>
      </c>
      <c r="H259" s="17">
        <v>0.18284373018898301</v>
      </c>
      <c r="I259" s="17">
        <v>0.124507804051016</v>
      </c>
      <c r="J259" s="17">
        <v>0.111116079452959</v>
      </c>
      <c r="K259" s="17"/>
      <c r="L259" s="17">
        <v>0.20313094127387099</v>
      </c>
      <c r="M259" s="17">
        <v>0.107173282951398</v>
      </c>
      <c r="N259" s="17">
        <v>0.114201252710045</v>
      </c>
      <c r="O259" s="17">
        <v>8.1172331024350203E-2</v>
      </c>
    </row>
    <row r="260" spans="2:15" x14ac:dyDescent="0.3">
      <c r="B260" t="s">
        <v>104</v>
      </c>
      <c r="C260" s="17">
        <v>0.33818289339258001</v>
      </c>
      <c r="D260" s="17">
        <v>0.344569109292164</v>
      </c>
      <c r="E260" s="17">
        <v>0.32992276677187399</v>
      </c>
      <c r="F260" s="17"/>
      <c r="G260" s="17">
        <v>0.28961316132388298</v>
      </c>
      <c r="H260" s="17">
        <v>0.30098598880028499</v>
      </c>
      <c r="I260" s="17">
        <v>0.31611016432763001</v>
      </c>
      <c r="J260" s="17">
        <v>0.466441021344839</v>
      </c>
      <c r="K260" s="17"/>
      <c r="L260" s="17">
        <v>0.37102120742864397</v>
      </c>
      <c r="M260" s="17">
        <v>0.35031650416010801</v>
      </c>
      <c r="N260" s="17">
        <v>0.306415628688819</v>
      </c>
      <c r="O260" s="17">
        <v>0.32670629241446297</v>
      </c>
    </row>
    <row r="261" spans="2:15" x14ac:dyDescent="0.3">
      <c r="B261" t="s">
        <v>105</v>
      </c>
      <c r="C261" s="17">
        <v>0.32473258738683702</v>
      </c>
      <c r="D261" s="17">
        <v>0.34355930294999498</v>
      </c>
      <c r="E261" s="17">
        <v>0.30829371073172301</v>
      </c>
      <c r="F261" s="17"/>
      <c r="G261" s="17">
        <v>0.296609511231478</v>
      </c>
      <c r="H261" s="17">
        <v>0.36846720466251498</v>
      </c>
      <c r="I261" s="17">
        <v>0.36526279068789702</v>
      </c>
      <c r="J261" s="17">
        <v>0.26935618823861501</v>
      </c>
      <c r="K261" s="17"/>
      <c r="L261" s="17">
        <v>0.22781517279660701</v>
      </c>
      <c r="M261" s="17">
        <v>0.37228774806135201</v>
      </c>
      <c r="N261" s="17">
        <v>0.30085468482559602</v>
      </c>
      <c r="O261" s="17">
        <v>0.39635990538976701</v>
      </c>
    </row>
    <row r="262" spans="2:15" x14ac:dyDescent="0.3">
      <c r="B262" t="s">
        <v>106</v>
      </c>
      <c r="C262" s="17">
        <v>0.18512254826737501</v>
      </c>
      <c r="D262" s="17">
        <v>0.21085730261125299</v>
      </c>
      <c r="E262" s="17">
        <v>0.16076611652776601</v>
      </c>
      <c r="F262" s="17"/>
      <c r="G262" s="17">
        <v>0.30012525043760802</v>
      </c>
      <c r="H262" s="17">
        <v>0.106292440704065</v>
      </c>
      <c r="I262" s="17">
        <v>0.194119240933457</v>
      </c>
      <c r="J262" s="17">
        <v>0.11816743468734101</v>
      </c>
      <c r="K262" s="17"/>
      <c r="L262" s="17">
        <v>0.157557865855109</v>
      </c>
      <c r="M262" s="17">
        <v>0.149885524468198</v>
      </c>
      <c r="N262" s="17">
        <v>0.25128673502993598</v>
      </c>
      <c r="O262" s="17">
        <v>0.178915856985981</v>
      </c>
    </row>
    <row r="263" spans="2:15" x14ac:dyDescent="0.3">
      <c r="B263" t="s">
        <v>107</v>
      </c>
      <c r="C263" s="17">
        <v>2.61378957983802E-2</v>
      </c>
      <c r="D263" s="17">
        <v>2.0348350696098999E-2</v>
      </c>
      <c r="E263" s="17">
        <v>2.91696605347883E-2</v>
      </c>
      <c r="F263" s="17"/>
      <c r="G263" s="17">
        <v>2.4559153790903499E-2</v>
      </c>
      <c r="H263" s="17">
        <v>4.1410635644151997E-2</v>
      </c>
      <c r="I263" s="17">
        <v>0</v>
      </c>
      <c r="J263" s="17">
        <v>3.4919276276247503E-2</v>
      </c>
      <c r="K263" s="17"/>
      <c r="L263" s="17">
        <v>4.0474812645768403E-2</v>
      </c>
      <c r="M263" s="17">
        <v>2.0336940358944001E-2</v>
      </c>
      <c r="N263" s="17">
        <v>2.7241698745604101E-2</v>
      </c>
      <c r="O263" s="17">
        <v>1.6845614185438298E-2</v>
      </c>
    </row>
    <row r="264" spans="2:15" x14ac:dyDescent="0.3">
      <c r="C264" s="17"/>
      <c r="D264" s="17"/>
      <c r="E264" s="17"/>
      <c r="F264" s="17"/>
      <c r="G264" s="17"/>
      <c r="H264" s="17"/>
      <c r="I264" s="17"/>
      <c r="J264" s="17"/>
      <c r="K264" s="17"/>
      <c r="L264" s="17"/>
      <c r="M264" s="17"/>
      <c r="N264" s="17"/>
      <c r="O264" s="17"/>
    </row>
    <row r="265" spans="2:15" x14ac:dyDescent="0.3">
      <c r="B265" s="6" t="s">
        <v>146</v>
      </c>
      <c r="C265" s="17"/>
      <c r="D265" s="17"/>
      <c r="E265" s="17"/>
      <c r="F265" s="17"/>
      <c r="G265" s="17"/>
      <c r="H265" s="17"/>
      <c r="I265" s="17"/>
      <c r="J265" s="17"/>
      <c r="K265" s="17"/>
      <c r="L265" s="17"/>
      <c r="M265" s="17"/>
      <c r="N265" s="17"/>
      <c r="O265" s="17"/>
    </row>
    <row r="266" spans="2:15" x14ac:dyDescent="0.3">
      <c r="B266" s="23" t="s">
        <v>46</v>
      </c>
      <c r="C266" s="17"/>
      <c r="D266" s="17"/>
      <c r="E266" s="17"/>
      <c r="F266" s="17"/>
      <c r="G266" s="17"/>
      <c r="H266" s="17"/>
      <c r="I266" s="17"/>
      <c r="J266" s="17"/>
      <c r="K266" s="17"/>
      <c r="L266" s="17"/>
      <c r="M266" s="17"/>
      <c r="N266" s="17"/>
      <c r="O266" s="17"/>
    </row>
    <row r="267" spans="2:15" x14ac:dyDescent="0.3">
      <c r="B267" t="s">
        <v>137</v>
      </c>
      <c r="C267" s="17">
        <v>0.14536289900344801</v>
      </c>
      <c r="D267" s="17">
        <v>0.15710519720174601</v>
      </c>
      <c r="E267" s="17">
        <v>0.134693261914063</v>
      </c>
      <c r="F267" s="17"/>
      <c r="G267" s="17">
        <v>0.224990373930746</v>
      </c>
      <c r="H267" s="17">
        <v>0.101408227529191</v>
      </c>
      <c r="I267" s="17">
        <v>8.8380086003602601E-2</v>
      </c>
      <c r="J267" s="17">
        <v>0.144765023491009</v>
      </c>
      <c r="K267" s="17"/>
      <c r="L267" s="17">
        <v>0.14919774488696</v>
      </c>
      <c r="M267" s="17">
        <v>0.127478941023658</v>
      </c>
      <c r="N267" s="17">
        <v>0.176938359775518</v>
      </c>
      <c r="O267" s="17">
        <v>0.12656010723148101</v>
      </c>
    </row>
    <row r="268" spans="2:15" x14ac:dyDescent="0.3">
      <c r="B268" t="s">
        <v>138</v>
      </c>
      <c r="C268" s="17">
        <v>0.51262582299247506</v>
      </c>
      <c r="D268" s="17">
        <v>0.52417770650356199</v>
      </c>
      <c r="E268" s="17">
        <v>0.49753545403177502</v>
      </c>
      <c r="F268" s="17"/>
      <c r="G268" s="17">
        <v>0.53043767650033902</v>
      </c>
      <c r="H268" s="17">
        <v>0.50087845768815797</v>
      </c>
      <c r="I268" s="17">
        <v>0.520105780887682</v>
      </c>
      <c r="J268" s="17">
        <v>0.49208376333950898</v>
      </c>
      <c r="K268" s="17"/>
      <c r="L268" s="17">
        <v>0.48056517732863202</v>
      </c>
      <c r="M268" s="17">
        <v>0.49994621651776999</v>
      </c>
      <c r="N268" s="17">
        <v>0.53344243924630597</v>
      </c>
      <c r="O268" s="17">
        <v>0.53577531710412296</v>
      </c>
    </row>
    <row r="269" spans="2:15" x14ac:dyDescent="0.3">
      <c r="B269" t="s">
        <v>139</v>
      </c>
      <c r="C269" s="17">
        <v>0.19536207084076301</v>
      </c>
      <c r="D269" s="17">
        <v>0.18303688445670799</v>
      </c>
      <c r="E269" s="17">
        <v>0.20909688984168101</v>
      </c>
      <c r="F269" s="17"/>
      <c r="G269" s="17">
        <v>0.18311162476477799</v>
      </c>
      <c r="H269" s="17">
        <v>0.17203315989988099</v>
      </c>
      <c r="I269" s="17">
        <v>0.19646398984492799</v>
      </c>
      <c r="J269" s="17">
        <v>0.238327741943102</v>
      </c>
      <c r="K269" s="17"/>
      <c r="L269" s="17">
        <v>0.199634875641195</v>
      </c>
      <c r="M269" s="17">
        <v>0.225358258189127</v>
      </c>
      <c r="N269" s="17">
        <v>0.15839669709600901</v>
      </c>
      <c r="O269" s="17">
        <v>0.198866461813301</v>
      </c>
    </row>
    <row r="270" spans="2:15" x14ac:dyDescent="0.3">
      <c r="B270" t="s">
        <v>140</v>
      </c>
      <c r="C270" s="17">
        <v>6.2925037793299499E-2</v>
      </c>
      <c r="D270" s="17">
        <v>6.0253698236031203E-2</v>
      </c>
      <c r="E270" s="17">
        <v>6.6051889782001993E-2</v>
      </c>
      <c r="F270" s="17"/>
      <c r="G270" s="17">
        <v>2.7845485420408201E-2</v>
      </c>
      <c r="H270" s="17">
        <v>0.100379042289204</v>
      </c>
      <c r="I270" s="17">
        <v>8.2589116606246696E-2</v>
      </c>
      <c r="J270" s="17">
        <v>4.8628209167298098E-2</v>
      </c>
      <c r="K270" s="17"/>
      <c r="L270" s="17">
        <v>6.7566692499627296E-2</v>
      </c>
      <c r="M270" s="17">
        <v>4.41831142845674E-2</v>
      </c>
      <c r="N270" s="17">
        <v>7.4211521890980098E-2</v>
      </c>
      <c r="O270" s="17">
        <v>6.6218124846605497E-2</v>
      </c>
    </row>
    <row r="271" spans="2:15" x14ac:dyDescent="0.3">
      <c r="B271" t="s">
        <v>141</v>
      </c>
      <c r="C271" s="17">
        <v>3.0477181991760801E-2</v>
      </c>
      <c r="D271" s="17">
        <v>2.84499127007607E-2</v>
      </c>
      <c r="E271" s="17">
        <v>3.2724240108573603E-2</v>
      </c>
      <c r="F271" s="17"/>
      <c r="G271" s="17">
        <v>1.1304149531342801E-2</v>
      </c>
      <c r="H271" s="17">
        <v>2.0419033287923299E-2</v>
      </c>
      <c r="I271" s="17">
        <v>6.3268885673176706E-2</v>
      </c>
      <c r="J271" s="17">
        <v>3.7163800801065003E-2</v>
      </c>
      <c r="K271" s="17"/>
      <c r="L271" s="17">
        <v>3.7774404235123397E-2</v>
      </c>
      <c r="M271" s="17">
        <v>3.4122919661351801E-2</v>
      </c>
      <c r="N271" s="17">
        <v>2.7395086289513398E-2</v>
      </c>
      <c r="O271" s="17">
        <v>2.25969668418789E-2</v>
      </c>
    </row>
    <row r="272" spans="2:15" x14ac:dyDescent="0.3">
      <c r="B272" t="s">
        <v>142</v>
      </c>
      <c r="C272" s="17">
        <v>5.3246987378254597E-2</v>
      </c>
      <c r="D272" s="17">
        <v>4.6976600901192898E-2</v>
      </c>
      <c r="E272" s="17">
        <v>5.9898264321905002E-2</v>
      </c>
      <c r="F272" s="17"/>
      <c r="G272" s="17">
        <v>2.2310689852386101E-2</v>
      </c>
      <c r="H272" s="17">
        <v>0.104882079305642</v>
      </c>
      <c r="I272" s="17">
        <v>4.91921409843636E-2</v>
      </c>
      <c r="J272" s="17">
        <v>3.9031461258017097E-2</v>
      </c>
      <c r="K272" s="17"/>
      <c r="L272" s="17">
        <v>6.5261105408462305E-2</v>
      </c>
      <c r="M272" s="17">
        <v>6.8910550323525804E-2</v>
      </c>
      <c r="N272" s="17">
        <v>2.9615895701674399E-2</v>
      </c>
      <c r="O272" s="17">
        <v>4.9983022162610899E-2</v>
      </c>
    </row>
    <row r="273" spans="2:15" x14ac:dyDescent="0.3">
      <c r="B273" t="s">
        <v>143</v>
      </c>
      <c r="C273" s="17">
        <v>0.65798872199592195</v>
      </c>
      <c r="D273" s="17">
        <v>0.68128290370530797</v>
      </c>
      <c r="E273" s="17">
        <v>0.63222871594583896</v>
      </c>
      <c r="F273" s="17"/>
      <c r="G273" s="17">
        <v>0.75542805043108496</v>
      </c>
      <c r="H273" s="17">
        <v>0.60228668521734896</v>
      </c>
      <c r="I273" s="17">
        <v>0.60848586689128503</v>
      </c>
      <c r="J273" s="17">
        <v>0.63684878683051704</v>
      </c>
      <c r="K273" s="17"/>
      <c r="L273" s="17">
        <v>0.62976292221559205</v>
      </c>
      <c r="M273" s="17">
        <v>0.62742515754142802</v>
      </c>
      <c r="N273" s="17">
        <v>0.71038079902182405</v>
      </c>
      <c r="O273" s="17">
        <v>0.66233542433560399</v>
      </c>
    </row>
    <row r="274" spans="2:15" x14ac:dyDescent="0.3">
      <c r="B274" t="s">
        <v>144</v>
      </c>
      <c r="C274" s="17">
        <v>9.3402219785060303E-2</v>
      </c>
      <c r="D274" s="17">
        <v>8.8703610936791896E-2</v>
      </c>
      <c r="E274" s="17">
        <v>9.8776129890575604E-2</v>
      </c>
      <c r="F274" s="17"/>
      <c r="G274" s="17">
        <v>3.9149634951751E-2</v>
      </c>
      <c r="H274" s="17">
        <v>0.120798075577127</v>
      </c>
      <c r="I274" s="17">
        <v>0.145858002279423</v>
      </c>
      <c r="J274" s="17">
        <v>8.5792009968363003E-2</v>
      </c>
      <c r="K274" s="17"/>
      <c r="L274" s="17">
        <v>0.10534109673475101</v>
      </c>
      <c r="M274" s="17">
        <v>7.8306033945919201E-2</v>
      </c>
      <c r="N274" s="17">
        <v>0.101606608180493</v>
      </c>
      <c r="O274" s="17">
        <v>8.8815091688484393E-2</v>
      </c>
    </row>
    <row r="275" spans="2:15" x14ac:dyDescent="0.3">
      <c r="C275" s="17"/>
      <c r="D275" s="17"/>
      <c r="E275" s="17"/>
      <c r="F275" s="17"/>
      <c r="G275" s="17"/>
      <c r="H275" s="17"/>
      <c r="I275" s="17"/>
      <c r="J275" s="17"/>
      <c r="K275" s="17"/>
      <c r="L275" s="17"/>
      <c r="M275" s="17"/>
      <c r="N275" s="17"/>
      <c r="O275" s="17"/>
    </row>
    <row r="276" spans="2:15" x14ac:dyDescent="0.3">
      <c r="B276" s="6" t="s">
        <v>147</v>
      </c>
      <c r="C276" s="17"/>
      <c r="D276" s="17"/>
      <c r="E276" s="17"/>
      <c r="F276" s="17"/>
      <c r="G276" s="17"/>
      <c r="H276" s="17"/>
      <c r="I276" s="17"/>
      <c r="J276" s="17"/>
      <c r="K276" s="17"/>
      <c r="L276" s="17"/>
      <c r="M276" s="17"/>
      <c r="N276" s="17"/>
      <c r="O276" s="17"/>
    </row>
    <row r="277" spans="2:15" x14ac:dyDescent="0.3">
      <c r="B277" s="23" t="s">
        <v>46</v>
      </c>
      <c r="C277" s="17"/>
      <c r="D277" s="17"/>
      <c r="E277" s="17"/>
      <c r="F277" s="17"/>
      <c r="G277" s="17"/>
      <c r="H277" s="17"/>
      <c r="I277" s="17"/>
      <c r="J277" s="17"/>
      <c r="K277" s="17"/>
      <c r="L277" s="17"/>
      <c r="M277" s="17"/>
      <c r="N277" s="17"/>
      <c r="O277" s="17"/>
    </row>
    <row r="278" spans="2:15" x14ac:dyDescent="0.3">
      <c r="B278" t="s">
        <v>137</v>
      </c>
      <c r="C278" s="17">
        <v>8.0201968897607598E-2</v>
      </c>
      <c r="D278" s="17">
        <v>7.6288955492264998E-2</v>
      </c>
      <c r="E278" s="17">
        <v>8.46949836101418E-2</v>
      </c>
      <c r="F278" s="17"/>
      <c r="G278" s="17">
        <v>5.8095739142245403E-2</v>
      </c>
      <c r="H278" s="17">
        <v>7.2184688547058701E-2</v>
      </c>
      <c r="I278" s="17">
        <v>9.9522536252781096E-2</v>
      </c>
      <c r="J278" s="17">
        <v>0.10107796618601</v>
      </c>
      <c r="K278" s="17"/>
      <c r="L278" s="17">
        <v>0.10033979792809</v>
      </c>
      <c r="M278" s="17">
        <v>6.9875161583138501E-2</v>
      </c>
      <c r="N278" s="17">
        <v>8.6801405820581504E-2</v>
      </c>
      <c r="O278" s="17">
        <v>6.4023891069165395E-2</v>
      </c>
    </row>
    <row r="279" spans="2:15" x14ac:dyDescent="0.3">
      <c r="B279" t="s">
        <v>138</v>
      </c>
      <c r="C279" s="17">
        <v>0.26985095811898302</v>
      </c>
      <c r="D279" s="17">
        <v>0.239015174822897</v>
      </c>
      <c r="E279" s="17">
        <v>0.29827252227485501</v>
      </c>
      <c r="F279" s="17"/>
      <c r="G279" s="17">
        <v>0.274570191454094</v>
      </c>
      <c r="H279" s="17">
        <v>0.29461307306996998</v>
      </c>
      <c r="I279" s="17">
        <v>0.210434773446151</v>
      </c>
      <c r="J279" s="17">
        <v>0.28403596369852202</v>
      </c>
      <c r="K279" s="17"/>
      <c r="L279" s="17">
        <v>0.37104074760966299</v>
      </c>
      <c r="M279" s="17">
        <v>0.24778983297870699</v>
      </c>
      <c r="N279" s="17">
        <v>0.244607104355477</v>
      </c>
      <c r="O279" s="17">
        <v>0.219741099371491</v>
      </c>
    </row>
    <row r="280" spans="2:15" x14ac:dyDescent="0.3">
      <c r="B280" t="s">
        <v>139</v>
      </c>
      <c r="C280" s="17">
        <v>0.27315663196148998</v>
      </c>
      <c r="D280" s="17">
        <v>0.259939716501975</v>
      </c>
      <c r="E280" s="17">
        <v>0.28540740926450803</v>
      </c>
      <c r="F280" s="17"/>
      <c r="G280" s="17">
        <v>0.27853046708448098</v>
      </c>
      <c r="H280" s="17">
        <v>0.23815004808059301</v>
      </c>
      <c r="I280" s="17">
        <v>0.29881400719158602</v>
      </c>
      <c r="J280" s="17">
        <v>0.28464511975370199</v>
      </c>
      <c r="K280" s="17"/>
      <c r="L280" s="17">
        <v>0.27086884607011602</v>
      </c>
      <c r="M280" s="17">
        <v>0.33607031071535498</v>
      </c>
      <c r="N280" s="17">
        <v>0.247422846160753</v>
      </c>
      <c r="O280" s="17">
        <v>0.235642819265416</v>
      </c>
    </row>
    <row r="281" spans="2:15" x14ac:dyDescent="0.3">
      <c r="B281" t="s">
        <v>140</v>
      </c>
      <c r="C281" s="17">
        <v>0.25376354351174402</v>
      </c>
      <c r="D281" s="17">
        <v>0.29416485784485702</v>
      </c>
      <c r="E281" s="17">
        <v>0.21525744668521599</v>
      </c>
      <c r="F281" s="17"/>
      <c r="G281" s="17">
        <v>0.28894256306473498</v>
      </c>
      <c r="H281" s="17">
        <v>0.30036538313894201</v>
      </c>
      <c r="I281" s="17">
        <v>0.22609801877000901</v>
      </c>
      <c r="J281" s="17">
        <v>0.182345449136464</v>
      </c>
      <c r="K281" s="17"/>
      <c r="L281" s="17">
        <v>0.15377768658889501</v>
      </c>
      <c r="M281" s="17">
        <v>0.23192239439404899</v>
      </c>
      <c r="N281" s="17">
        <v>0.29114644228241998</v>
      </c>
      <c r="O281" s="17">
        <v>0.33674704172630598</v>
      </c>
    </row>
    <row r="282" spans="2:15" x14ac:dyDescent="0.3">
      <c r="B282" t="s">
        <v>141</v>
      </c>
      <c r="C282" s="17">
        <v>8.8973180073463901E-2</v>
      </c>
      <c r="D282" s="17">
        <v>9.5295232330295895E-2</v>
      </c>
      <c r="E282" s="17">
        <v>8.3306693793334705E-2</v>
      </c>
      <c r="F282" s="17"/>
      <c r="G282" s="17">
        <v>8.63161913698927E-2</v>
      </c>
      <c r="H282" s="17">
        <v>3.9474387100659501E-2</v>
      </c>
      <c r="I282" s="17">
        <v>0.14313606712951499</v>
      </c>
      <c r="J282" s="17">
        <v>9.9887524633395799E-2</v>
      </c>
      <c r="K282" s="17"/>
      <c r="L282" s="17">
        <v>8.2441769500282203E-2</v>
      </c>
      <c r="M282" s="17">
        <v>7.4958950094208193E-2</v>
      </c>
      <c r="N282" s="17">
        <v>0.109128959807841</v>
      </c>
      <c r="O282" s="17">
        <v>8.8745076669662998E-2</v>
      </c>
    </row>
    <row r="283" spans="2:15" x14ac:dyDescent="0.3">
      <c r="B283" t="s">
        <v>142</v>
      </c>
      <c r="C283" s="17">
        <v>3.4053717436710998E-2</v>
      </c>
      <c r="D283" s="17">
        <v>3.5296063007710002E-2</v>
      </c>
      <c r="E283" s="17">
        <v>3.3060944371944602E-2</v>
      </c>
      <c r="F283" s="17"/>
      <c r="G283" s="17">
        <v>1.35448478845515E-2</v>
      </c>
      <c r="H283" s="17">
        <v>5.5212420062775998E-2</v>
      </c>
      <c r="I283" s="17">
        <v>2.19945972099585E-2</v>
      </c>
      <c r="J283" s="17">
        <v>4.8007976591906497E-2</v>
      </c>
      <c r="K283" s="17"/>
      <c r="L283" s="17">
        <v>2.15311523029545E-2</v>
      </c>
      <c r="M283" s="17">
        <v>3.93833502345435E-2</v>
      </c>
      <c r="N283" s="17">
        <v>2.0893241572926699E-2</v>
      </c>
      <c r="O283" s="17">
        <v>5.5100071897959402E-2</v>
      </c>
    </row>
    <row r="284" spans="2:15" x14ac:dyDescent="0.3">
      <c r="B284" t="s">
        <v>143</v>
      </c>
      <c r="C284" s="17">
        <v>0.35005292701659102</v>
      </c>
      <c r="D284" s="17">
        <v>0.31530413031516202</v>
      </c>
      <c r="E284" s="17">
        <v>0.38296750588499701</v>
      </c>
      <c r="F284" s="17"/>
      <c r="G284" s="17">
        <v>0.33266593059633998</v>
      </c>
      <c r="H284" s="17">
        <v>0.36679776161702898</v>
      </c>
      <c r="I284" s="17">
        <v>0.30995730969893198</v>
      </c>
      <c r="J284" s="17">
        <v>0.38511392988453202</v>
      </c>
      <c r="K284" s="17"/>
      <c r="L284" s="17">
        <v>0.47138054553775299</v>
      </c>
      <c r="M284" s="17">
        <v>0.31766499456184499</v>
      </c>
      <c r="N284" s="17">
        <v>0.33140851017605799</v>
      </c>
      <c r="O284" s="17">
        <v>0.28376499044065601</v>
      </c>
    </row>
    <row r="285" spans="2:15" x14ac:dyDescent="0.3">
      <c r="B285" t="s">
        <v>144</v>
      </c>
      <c r="C285" s="17">
        <v>0.34273672358520801</v>
      </c>
      <c r="D285" s="17">
        <v>0.38946009017515298</v>
      </c>
      <c r="E285" s="17">
        <v>0.29856414047855101</v>
      </c>
      <c r="F285" s="17"/>
      <c r="G285" s="17">
        <v>0.37525875443462797</v>
      </c>
      <c r="H285" s="17">
        <v>0.33983977023960199</v>
      </c>
      <c r="I285" s="17">
        <v>0.369234085899524</v>
      </c>
      <c r="J285" s="17">
        <v>0.28223297376986001</v>
      </c>
      <c r="K285" s="17"/>
      <c r="L285" s="17">
        <v>0.23621945608917699</v>
      </c>
      <c r="M285" s="17">
        <v>0.30688134448825699</v>
      </c>
      <c r="N285" s="17">
        <v>0.40027540209026202</v>
      </c>
      <c r="O285" s="17">
        <v>0.42549211839596901</v>
      </c>
    </row>
    <row r="286" spans="2:15" x14ac:dyDescent="0.3">
      <c r="C286" s="17"/>
      <c r="D286" s="17"/>
      <c r="E286" s="17"/>
      <c r="F286" s="17"/>
      <c r="G286" s="17"/>
      <c r="H286" s="17"/>
      <c r="I286" s="17"/>
      <c r="J286" s="17"/>
      <c r="K286" s="17"/>
      <c r="L286" s="17"/>
      <c r="M286" s="17"/>
      <c r="N286" s="17"/>
      <c r="O286" s="17"/>
    </row>
    <row r="287" spans="2:15" x14ac:dyDescent="0.3">
      <c r="B287" s="6" t="s">
        <v>148</v>
      </c>
      <c r="C287" s="17"/>
      <c r="D287" s="17"/>
      <c r="E287" s="17"/>
      <c r="F287" s="17"/>
      <c r="G287" s="17"/>
      <c r="H287" s="17"/>
      <c r="I287" s="17"/>
      <c r="J287" s="17"/>
      <c r="K287" s="17"/>
      <c r="L287" s="17"/>
      <c r="M287" s="17"/>
      <c r="N287" s="17"/>
      <c r="O287" s="17"/>
    </row>
    <row r="288" spans="2:15" x14ac:dyDescent="0.3">
      <c r="B288" s="23" t="s">
        <v>46</v>
      </c>
      <c r="C288" s="17"/>
      <c r="D288" s="17"/>
      <c r="E288" s="17"/>
      <c r="F288" s="17"/>
      <c r="G288" s="17"/>
      <c r="H288" s="17"/>
      <c r="I288" s="17"/>
      <c r="J288" s="17"/>
      <c r="K288" s="17"/>
      <c r="L288" s="17"/>
      <c r="M288" s="17"/>
      <c r="N288" s="17"/>
      <c r="O288" s="17"/>
    </row>
    <row r="289" spans="2:15" x14ac:dyDescent="0.3">
      <c r="B289" t="s">
        <v>137</v>
      </c>
      <c r="C289" s="17">
        <v>0.110352813075017</v>
      </c>
      <c r="D289" s="17">
        <v>0.13732346970117301</v>
      </c>
      <c r="E289" s="17">
        <v>8.4217017662333402E-2</v>
      </c>
      <c r="F289" s="17"/>
      <c r="G289" s="17">
        <v>0.149200455220171</v>
      </c>
      <c r="H289" s="17">
        <v>8.1171726538164193E-2</v>
      </c>
      <c r="I289" s="17">
        <v>0.11477656392393901</v>
      </c>
      <c r="J289" s="17">
        <v>8.1816472756090802E-2</v>
      </c>
      <c r="K289" s="17"/>
      <c r="L289" s="17">
        <v>0.123071723216798</v>
      </c>
      <c r="M289" s="17">
        <v>7.0337832797169306E-2</v>
      </c>
      <c r="N289" s="17">
        <v>0.13979753658973201</v>
      </c>
      <c r="O289" s="17">
        <v>0.108781870636644</v>
      </c>
    </row>
    <row r="290" spans="2:15" x14ac:dyDescent="0.3">
      <c r="B290" t="s">
        <v>138</v>
      </c>
      <c r="C290" s="17">
        <v>0.42371582494377202</v>
      </c>
      <c r="D290" s="17">
        <v>0.42493007378014702</v>
      </c>
      <c r="E290" s="17">
        <v>0.42559069207642902</v>
      </c>
      <c r="F290" s="17"/>
      <c r="G290" s="17">
        <v>0.463164355219924</v>
      </c>
      <c r="H290" s="17">
        <v>0.39034537646291101</v>
      </c>
      <c r="I290" s="17">
        <v>0.42732555137914002</v>
      </c>
      <c r="J290" s="17">
        <v>0.41031207877189901</v>
      </c>
      <c r="K290" s="17"/>
      <c r="L290" s="17">
        <v>0.35265742359865399</v>
      </c>
      <c r="M290" s="17">
        <v>0.46206285267307001</v>
      </c>
      <c r="N290" s="17">
        <v>0.38281963644461298</v>
      </c>
      <c r="O290" s="17">
        <v>0.49782632490873502</v>
      </c>
    </row>
    <row r="291" spans="2:15" x14ac:dyDescent="0.3">
      <c r="B291" t="s">
        <v>139</v>
      </c>
      <c r="C291" s="17">
        <v>0.26838633283016899</v>
      </c>
      <c r="D291" s="17">
        <v>0.25581297246454698</v>
      </c>
      <c r="E291" s="17">
        <v>0.275613915107352</v>
      </c>
      <c r="F291" s="17"/>
      <c r="G291" s="17">
        <v>0.252790759056922</v>
      </c>
      <c r="H291" s="17">
        <v>0.25320088190133999</v>
      </c>
      <c r="I291" s="17">
        <v>0.26231362561563698</v>
      </c>
      <c r="J291" s="17">
        <v>0.31359007846239201</v>
      </c>
      <c r="K291" s="17"/>
      <c r="L291" s="17">
        <v>0.31939360708357001</v>
      </c>
      <c r="M291" s="17">
        <v>0.242219296933639</v>
      </c>
      <c r="N291" s="17">
        <v>0.27941673223566099</v>
      </c>
      <c r="O291" s="17">
        <v>0.23357884632163201</v>
      </c>
    </row>
    <row r="292" spans="2:15" x14ac:dyDescent="0.3">
      <c r="B292" t="s">
        <v>140</v>
      </c>
      <c r="C292" s="17">
        <v>0.118492805376163</v>
      </c>
      <c r="D292" s="17">
        <v>0.11529709263808401</v>
      </c>
      <c r="E292" s="17">
        <v>0.122548371538776</v>
      </c>
      <c r="F292" s="17"/>
      <c r="G292" s="17">
        <v>9.1365476664029305E-2</v>
      </c>
      <c r="H292" s="17">
        <v>0.16625057743574101</v>
      </c>
      <c r="I292" s="17">
        <v>0.117603343059617</v>
      </c>
      <c r="J292" s="17">
        <v>0.10134911349008199</v>
      </c>
      <c r="K292" s="17"/>
      <c r="L292" s="17">
        <v>0.15366678355869101</v>
      </c>
      <c r="M292" s="17">
        <v>0.110377718107759</v>
      </c>
      <c r="N292" s="17">
        <v>0.11370679249500799</v>
      </c>
      <c r="O292" s="17">
        <v>9.7233541088472306E-2</v>
      </c>
    </row>
    <row r="293" spans="2:15" x14ac:dyDescent="0.3">
      <c r="B293" t="s">
        <v>141</v>
      </c>
      <c r="C293" s="17">
        <v>3.8173335439697302E-2</v>
      </c>
      <c r="D293" s="17">
        <v>2.1768875499483101E-2</v>
      </c>
      <c r="E293" s="17">
        <v>5.48373084684231E-2</v>
      </c>
      <c r="F293" s="17"/>
      <c r="G293" s="17">
        <v>2.1106603427440501E-2</v>
      </c>
      <c r="H293" s="17">
        <v>2.6637951480406E-2</v>
      </c>
      <c r="I293" s="17">
        <v>6.1233291633389399E-2</v>
      </c>
      <c r="J293" s="17">
        <v>5.27371931242109E-2</v>
      </c>
      <c r="K293" s="17"/>
      <c r="L293" s="17">
        <v>2.0536278474607199E-2</v>
      </c>
      <c r="M293" s="17">
        <v>6.8452722312527498E-2</v>
      </c>
      <c r="N293" s="17">
        <v>4.7842840892803197E-2</v>
      </c>
      <c r="O293" s="17">
        <v>1.27618150128478E-2</v>
      </c>
    </row>
    <row r="294" spans="2:15" x14ac:dyDescent="0.3">
      <c r="B294" t="s">
        <v>142</v>
      </c>
      <c r="C294" s="17">
        <v>4.0878888335181697E-2</v>
      </c>
      <c r="D294" s="17">
        <v>4.4867515916566798E-2</v>
      </c>
      <c r="E294" s="17">
        <v>3.7192695146686702E-2</v>
      </c>
      <c r="F294" s="17"/>
      <c r="G294" s="17">
        <v>2.2372350411514402E-2</v>
      </c>
      <c r="H294" s="17">
        <v>8.2393486181438005E-2</v>
      </c>
      <c r="I294" s="17">
        <v>1.6747624388276702E-2</v>
      </c>
      <c r="J294" s="17">
        <v>4.0195063395325997E-2</v>
      </c>
      <c r="K294" s="17"/>
      <c r="L294" s="17">
        <v>3.0674184067680899E-2</v>
      </c>
      <c r="M294" s="17">
        <v>4.6549577175835202E-2</v>
      </c>
      <c r="N294" s="17">
        <v>3.6416461342182398E-2</v>
      </c>
      <c r="O294" s="17">
        <v>4.9817602031668198E-2</v>
      </c>
    </row>
    <row r="295" spans="2:15" x14ac:dyDescent="0.3">
      <c r="B295" t="s">
        <v>143</v>
      </c>
      <c r="C295" s="17">
        <v>0.53406863801878901</v>
      </c>
      <c r="D295" s="17">
        <v>0.56225354348131895</v>
      </c>
      <c r="E295" s="17">
        <v>0.50980770973876199</v>
      </c>
      <c r="F295" s="17"/>
      <c r="G295" s="17">
        <v>0.61236481044009405</v>
      </c>
      <c r="H295" s="17">
        <v>0.47151710300107502</v>
      </c>
      <c r="I295" s="17">
        <v>0.54210211530307895</v>
      </c>
      <c r="J295" s="17">
        <v>0.49212855152799001</v>
      </c>
      <c r="K295" s="17"/>
      <c r="L295" s="17">
        <v>0.47572914681545198</v>
      </c>
      <c r="M295" s="17">
        <v>0.532400685470239</v>
      </c>
      <c r="N295" s="17">
        <v>0.52261717303434496</v>
      </c>
      <c r="O295" s="17">
        <v>0.60660819554538004</v>
      </c>
    </row>
    <row r="296" spans="2:15" x14ac:dyDescent="0.3">
      <c r="B296" t="s">
        <v>144</v>
      </c>
      <c r="C296" s="17">
        <v>0.15666614081586</v>
      </c>
      <c r="D296" s="17">
        <v>0.137065968137567</v>
      </c>
      <c r="E296" s="17">
        <v>0.17738568000719901</v>
      </c>
      <c r="F296" s="17"/>
      <c r="G296" s="17">
        <v>0.11247208009147</v>
      </c>
      <c r="H296" s="17">
        <v>0.192888528916147</v>
      </c>
      <c r="I296" s="17">
        <v>0.17883663469300701</v>
      </c>
      <c r="J296" s="17">
        <v>0.15408630661429301</v>
      </c>
      <c r="K296" s="17"/>
      <c r="L296" s="17">
        <v>0.174203062033298</v>
      </c>
      <c r="M296" s="17">
        <v>0.17883044042028701</v>
      </c>
      <c r="N296" s="17">
        <v>0.161549633387811</v>
      </c>
      <c r="O296" s="17">
        <v>0.10999535610132</v>
      </c>
    </row>
    <row r="297" spans="2:15" x14ac:dyDescent="0.3">
      <c r="C297" s="17"/>
      <c r="D297" s="17"/>
      <c r="E297" s="17"/>
      <c r="F297" s="17"/>
      <c r="G297" s="17"/>
      <c r="H297" s="17"/>
      <c r="I297" s="17"/>
      <c r="J297" s="17"/>
      <c r="K297" s="17"/>
      <c r="L297" s="17"/>
      <c r="M297" s="17"/>
      <c r="N297" s="17"/>
      <c r="O297" s="17"/>
    </row>
    <row r="298" spans="2:15" x14ac:dyDescent="0.3">
      <c r="B298" s="6" t="s">
        <v>149</v>
      </c>
      <c r="C298" s="17"/>
      <c r="D298" s="17"/>
      <c r="E298" s="17"/>
      <c r="F298" s="17"/>
      <c r="G298" s="17"/>
      <c r="H298" s="17"/>
      <c r="I298" s="17"/>
      <c r="J298" s="17"/>
      <c r="K298" s="17"/>
      <c r="L298" s="17"/>
      <c r="M298" s="17"/>
      <c r="N298" s="17"/>
      <c r="O298" s="17"/>
    </row>
    <row r="299" spans="2:15" x14ac:dyDescent="0.3">
      <c r="B299" s="23" t="s">
        <v>46</v>
      </c>
      <c r="C299" s="17"/>
      <c r="D299" s="17"/>
      <c r="E299" s="17"/>
      <c r="F299" s="17"/>
      <c r="G299" s="17"/>
      <c r="H299" s="17"/>
      <c r="I299" s="17"/>
      <c r="J299" s="17"/>
      <c r="K299" s="17"/>
      <c r="L299" s="17"/>
      <c r="M299" s="17"/>
      <c r="N299" s="17"/>
      <c r="O299" s="17"/>
    </row>
    <row r="300" spans="2:15" x14ac:dyDescent="0.3">
      <c r="B300" t="s">
        <v>137</v>
      </c>
      <c r="C300" s="17">
        <v>4.1148875130451103E-2</v>
      </c>
      <c r="D300" s="17">
        <v>4.2270143313392801E-2</v>
      </c>
      <c r="E300" s="17">
        <v>4.0328746054760903E-2</v>
      </c>
      <c r="F300" s="17"/>
      <c r="G300" s="17">
        <v>4.06298322721673E-2</v>
      </c>
      <c r="H300" s="17">
        <v>2.4449293469330401E-2</v>
      </c>
      <c r="I300" s="17">
        <v>5.7929331012029101E-2</v>
      </c>
      <c r="J300" s="17">
        <v>4.5790420294377701E-2</v>
      </c>
      <c r="K300" s="17"/>
      <c r="L300" s="17">
        <v>3.3341105324246702E-2</v>
      </c>
      <c r="M300" s="17">
        <v>4.9045393099156502E-2</v>
      </c>
      <c r="N300" s="17">
        <v>6.6718189804482297E-2</v>
      </c>
      <c r="O300" s="17">
        <v>1.27618150128478E-2</v>
      </c>
    </row>
    <row r="301" spans="2:15" x14ac:dyDescent="0.3">
      <c r="B301" t="s">
        <v>138</v>
      </c>
      <c r="C301" s="17">
        <v>0.23527306930091099</v>
      </c>
      <c r="D301" s="17">
        <v>0.213007121320656</v>
      </c>
      <c r="E301" s="17">
        <v>0.25488257108490697</v>
      </c>
      <c r="F301" s="17"/>
      <c r="G301" s="17">
        <v>0.22515378888042201</v>
      </c>
      <c r="H301" s="17">
        <v>0.26583175412209298</v>
      </c>
      <c r="I301" s="17">
        <v>0.17902544654609501</v>
      </c>
      <c r="J301" s="17">
        <v>0.26695805675076001</v>
      </c>
      <c r="K301" s="17"/>
      <c r="L301" s="17">
        <v>0.27715214800956101</v>
      </c>
      <c r="M301" s="17">
        <v>0.23524071458054299</v>
      </c>
      <c r="N301" s="17">
        <v>0.22439522445222199</v>
      </c>
      <c r="O301" s="17">
        <v>0.205213128347221</v>
      </c>
    </row>
    <row r="302" spans="2:15" x14ac:dyDescent="0.3">
      <c r="B302" t="s">
        <v>139</v>
      </c>
      <c r="C302" s="17">
        <v>0.25409174485328001</v>
      </c>
      <c r="D302" s="17">
        <v>0.238888779610158</v>
      </c>
      <c r="E302" s="17">
        <v>0.268187380924089</v>
      </c>
      <c r="F302" s="17"/>
      <c r="G302" s="17">
        <v>0.24474536755236001</v>
      </c>
      <c r="H302" s="17">
        <v>0.20058925402290501</v>
      </c>
      <c r="I302" s="17">
        <v>0.29067753480840902</v>
      </c>
      <c r="J302" s="17">
        <v>0.29560692303483999</v>
      </c>
      <c r="K302" s="17"/>
      <c r="L302" s="17">
        <v>0.23716801216408701</v>
      </c>
      <c r="M302" s="17">
        <v>0.28264569695567898</v>
      </c>
      <c r="N302" s="17">
        <v>0.25529410623252302</v>
      </c>
      <c r="O302" s="17">
        <v>0.23899578908965399</v>
      </c>
    </row>
    <row r="303" spans="2:15" x14ac:dyDescent="0.3">
      <c r="B303" t="s">
        <v>140</v>
      </c>
      <c r="C303" s="17">
        <v>0.32001083754944798</v>
      </c>
      <c r="D303" s="17">
        <v>0.34517094117793401</v>
      </c>
      <c r="E303" s="17">
        <v>0.29721137086420801</v>
      </c>
      <c r="F303" s="17"/>
      <c r="G303" s="17">
        <v>0.30110988023159801</v>
      </c>
      <c r="H303" s="17">
        <v>0.37776927624960499</v>
      </c>
      <c r="I303" s="17">
        <v>0.30621024833529098</v>
      </c>
      <c r="J303" s="17">
        <v>0.28625911787557601</v>
      </c>
      <c r="K303" s="17"/>
      <c r="L303" s="17">
        <v>0.29001967598359102</v>
      </c>
      <c r="M303" s="17">
        <v>0.27777372447651999</v>
      </c>
      <c r="N303" s="17">
        <v>0.32842432808482502</v>
      </c>
      <c r="O303" s="17">
        <v>0.38632427873497599</v>
      </c>
    </row>
    <row r="304" spans="2:15" x14ac:dyDescent="0.3">
      <c r="B304" t="s">
        <v>141</v>
      </c>
      <c r="C304" s="17">
        <v>0.108014069033119</v>
      </c>
      <c r="D304" s="17">
        <v>0.121377910953104</v>
      </c>
      <c r="E304" s="17">
        <v>9.5452562125795504E-2</v>
      </c>
      <c r="F304" s="17"/>
      <c r="G304" s="17">
        <v>0.16552182519343001</v>
      </c>
      <c r="H304" s="17">
        <v>5.0432940717382302E-2</v>
      </c>
      <c r="I304" s="17">
        <v>0.14615927485775301</v>
      </c>
      <c r="J304" s="17">
        <v>6.4562704984488295E-2</v>
      </c>
      <c r="K304" s="17"/>
      <c r="L304" s="17">
        <v>9.6646872740658002E-2</v>
      </c>
      <c r="M304" s="17">
        <v>0.114155836159194</v>
      </c>
      <c r="N304" s="17">
        <v>0.10067368961859401</v>
      </c>
      <c r="O304" s="17">
        <v>0.12072629051023499</v>
      </c>
    </row>
    <row r="305" spans="2:15" x14ac:dyDescent="0.3">
      <c r="B305" t="s">
        <v>142</v>
      </c>
      <c r="C305" s="17">
        <v>4.1461404132790702E-2</v>
      </c>
      <c r="D305" s="17">
        <v>3.9285103624754902E-2</v>
      </c>
      <c r="E305" s="17">
        <v>4.3937368946240001E-2</v>
      </c>
      <c r="F305" s="17"/>
      <c r="G305" s="17">
        <v>2.2839305870022499E-2</v>
      </c>
      <c r="H305" s="17">
        <v>8.0927481418684902E-2</v>
      </c>
      <c r="I305" s="17">
        <v>1.9998164440422499E-2</v>
      </c>
      <c r="J305" s="17">
        <v>4.0822777059957002E-2</v>
      </c>
      <c r="K305" s="17"/>
      <c r="L305" s="17">
        <v>6.5672185777857398E-2</v>
      </c>
      <c r="M305" s="17">
        <v>4.1138634728907199E-2</v>
      </c>
      <c r="N305" s="17">
        <v>2.4494461807352701E-2</v>
      </c>
      <c r="O305" s="17">
        <v>3.5978698305065601E-2</v>
      </c>
    </row>
    <row r="306" spans="2:15" x14ac:dyDescent="0.3">
      <c r="B306" t="s">
        <v>143</v>
      </c>
      <c r="C306" s="17">
        <v>0.27642194443136198</v>
      </c>
      <c r="D306" s="17">
        <v>0.25527726463404798</v>
      </c>
      <c r="E306" s="17">
        <v>0.29521131713966797</v>
      </c>
      <c r="F306" s="17"/>
      <c r="G306" s="17">
        <v>0.26578362115259002</v>
      </c>
      <c r="H306" s="17">
        <v>0.29028104759142298</v>
      </c>
      <c r="I306" s="17">
        <v>0.236954777558125</v>
      </c>
      <c r="J306" s="17">
        <v>0.31274847704513797</v>
      </c>
      <c r="K306" s="17"/>
      <c r="L306" s="17">
        <v>0.31049325333380701</v>
      </c>
      <c r="M306" s="17">
        <v>0.28428610767969997</v>
      </c>
      <c r="N306" s="17">
        <v>0.29111341425670401</v>
      </c>
      <c r="O306" s="17">
        <v>0.21797494336006901</v>
      </c>
    </row>
    <row r="307" spans="2:15" x14ac:dyDescent="0.3">
      <c r="B307" t="s">
        <v>144</v>
      </c>
      <c r="C307" s="17">
        <v>0.42802490658256698</v>
      </c>
      <c r="D307" s="17">
        <v>0.46654885213103803</v>
      </c>
      <c r="E307" s="17">
        <v>0.39266393299000302</v>
      </c>
      <c r="F307" s="17"/>
      <c r="G307" s="17">
        <v>0.46663170542502802</v>
      </c>
      <c r="H307" s="17">
        <v>0.42820221696698701</v>
      </c>
      <c r="I307" s="17">
        <v>0.45236952319304402</v>
      </c>
      <c r="J307" s="17">
        <v>0.35082182286006502</v>
      </c>
      <c r="K307" s="17"/>
      <c r="L307" s="17">
        <v>0.38666654872424899</v>
      </c>
      <c r="M307" s="17">
        <v>0.39192956063571399</v>
      </c>
      <c r="N307" s="17">
        <v>0.42909801770341999</v>
      </c>
      <c r="O307" s="17">
        <v>0.50705056924521197</v>
      </c>
    </row>
    <row r="308" spans="2:15" x14ac:dyDescent="0.3">
      <c r="C308" s="17"/>
      <c r="D308" s="17"/>
      <c r="E308" s="17"/>
      <c r="F308" s="17"/>
      <c r="G308" s="17"/>
      <c r="H308" s="17"/>
      <c r="I308" s="17"/>
      <c r="J308" s="17"/>
      <c r="K308" s="17"/>
      <c r="L308" s="17"/>
      <c r="M308" s="17"/>
      <c r="N308" s="17"/>
      <c r="O308" s="17"/>
    </row>
    <row r="309" spans="2:15" x14ac:dyDescent="0.3">
      <c r="B309" s="6" t="s">
        <v>150</v>
      </c>
      <c r="C309" s="17"/>
      <c r="D309" s="17"/>
      <c r="E309" s="17"/>
      <c r="F309" s="17"/>
      <c r="G309" s="17"/>
      <c r="H309" s="17"/>
      <c r="I309" s="17"/>
      <c r="J309" s="17"/>
      <c r="K309" s="17"/>
      <c r="L309" s="17"/>
      <c r="M309" s="17"/>
      <c r="N309" s="17"/>
      <c r="O309" s="17"/>
    </row>
    <row r="310" spans="2:15" x14ac:dyDescent="0.3">
      <c r="B310" s="23" t="s">
        <v>46</v>
      </c>
      <c r="C310" s="17"/>
      <c r="D310" s="17"/>
      <c r="E310" s="17"/>
      <c r="F310" s="17"/>
      <c r="G310" s="17"/>
      <c r="H310" s="17"/>
      <c r="I310" s="17"/>
      <c r="J310" s="17"/>
      <c r="K310" s="17"/>
      <c r="L310" s="17"/>
      <c r="M310" s="17"/>
      <c r="N310" s="17"/>
      <c r="O310" s="17"/>
    </row>
    <row r="311" spans="2:15" x14ac:dyDescent="0.3">
      <c r="B311" t="s">
        <v>137</v>
      </c>
      <c r="C311" s="17">
        <v>7.6091037153294697E-2</v>
      </c>
      <c r="D311" s="17">
        <v>8.7835982476853106E-2</v>
      </c>
      <c r="E311" s="17">
        <v>6.4913952754947005E-2</v>
      </c>
      <c r="F311" s="17"/>
      <c r="G311" s="17">
        <v>0.11859394431427001</v>
      </c>
      <c r="H311" s="17">
        <v>6.4507114262374293E-2</v>
      </c>
      <c r="I311" s="17">
        <v>7.3056629637831799E-2</v>
      </c>
      <c r="J311" s="17">
        <v>3.7291337176463803E-2</v>
      </c>
      <c r="K311" s="17"/>
      <c r="L311" s="17">
        <v>6.1055859782197901E-2</v>
      </c>
      <c r="M311" s="17">
        <v>5.2933207989594201E-2</v>
      </c>
      <c r="N311" s="17">
        <v>0.110334752922708</v>
      </c>
      <c r="O311" s="17">
        <v>7.8941065935144397E-2</v>
      </c>
    </row>
    <row r="312" spans="2:15" x14ac:dyDescent="0.3">
      <c r="B312" t="s">
        <v>138</v>
      </c>
      <c r="C312" s="17">
        <v>0.42037595092728702</v>
      </c>
      <c r="D312" s="17">
        <v>0.44461875227292802</v>
      </c>
      <c r="E312" s="17">
        <v>0.39628246450203503</v>
      </c>
      <c r="F312" s="17"/>
      <c r="G312" s="17">
        <v>0.46893706507963601</v>
      </c>
      <c r="H312" s="17">
        <v>0.38105625824902301</v>
      </c>
      <c r="I312" s="17">
        <v>0.384962337173129</v>
      </c>
      <c r="J312" s="17">
        <v>0.43744950723280301</v>
      </c>
      <c r="K312" s="17"/>
      <c r="L312" s="17">
        <v>0.42057451033270898</v>
      </c>
      <c r="M312" s="17">
        <v>0.45918265431314598</v>
      </c>
      <c r="N312" s="17">
        <v>0.35456031329580701</v>
      </c>
      <c r="O312" s="17">
        <v>0.44973106046511901</v>
      </c>
    </row>
    <row r="313" spans="2:15" x14ac:dyDescent="0.3">
      <c r="B313" t="s">
        <v>139</v>
      </c>
      <c r="C313" s="17">
        <v>0.30147629115045199</v>
      </c>
      <c r="D313" s="17">
        <v>0.28866552334450202</v>
      </c>
      <c r="E313" s="17">
        <v>0.316469422673398</v>
      </c>
      <c r="F313" s="17"/>
      <c r="G313" s="17">
        <v>0.27996302638124099</v>
      </c>
      <c r="H313" s="17">
        <v>0.27278801420342602</v>
      </c>
      <c r="I313" s="17">
        <v>0.36121328788172802</v>
      </c>
      <c r="J313" s="17">
        <v>0.30991269292518497</v>
      </c>
      <c r="K313" s="17"/>
      <c r="L313" s="17">
        <v>0.27209000267368</v>
      </c>
      <c r="M313" s="17">
        <v>0.27731976300919597</v>
      </c>
      <c r="N313" s="17">
        <v>0.341476900211858</v>
      </c>
      <c r="O313" s="17">
        <v>0.313515154629326</v>
      </c>
    </row>
    <row r="314" spans="2:15" x14ac:dyDescent="0.3">
      <c r="B314" t="s">
        <v>140</v>
      </c>
      <c r="C314" s="17">
        <v>0.13947140290590301</v>
      </c>
      <c r="D314" s="17">
        <v>0.11495902367250201</v>
      </c>
      <c r="E314" s="17">
        <v>0.160626646528815</v>
      </c>
      <c r="F314" s="17"/>
      <c r="G314" s="17">
        <v>0.10649772225132099</v>
      </c>
      <c r="H314" s="17">
        <v>0.2133413443895</v>
      </c>
      <c r="I314" s="17">
        <v>9.0411827336708897E-2</v>
      </c>
      <c r="J314" s="17">
        <v>0.13649511991416999</v>
      </c>
      <c r="K314" s="17"/>
      <c r="L314" s="17">
        <v>0.17347823792334399</v>
      </c>
      <c r="M314" s="17">
        <v>0.14302753788383499</v>
      </c>
      <c r="N314" s="17">
        <v>0.13076498378690801</v>
      </c>
      <c r="O314" s="17">
        <v>0.11107098279111501</v>
      </c>
    </row>
    <row r="315" spans="2:15" x14ac:dyDescent="0.3">
      <c r="B315" t="s">
        <v>141</v>
      </c>
      <c r="C315" s="17">
        <v>3.1362921431295203E-2</v>
      </c>
      <c r="D315" s="17">
        <v>2.5501045416910301E-2</v>
      </c>
      <c r="E315" s="17">
        <v>3.7446677519570502E-2</v>
      </c>
      <c r="F315" s="17"/>
      <c r="G315" s="17">
        <v>8.4519394401353504E-3</v>
      </c>
      <c r="H315" s="17">
        <v>1.9245221366363599E-2</v>
      </c>
      <c r="I315" s="17">
        <v>6.2241486712008701E-2</v>
      </c>
      <c r="J315" s="17">
        <v>4.7005081025309599E-2</v>
      </c>
      <c r="K315" s="17"/>
      <c r="L315" s="17">
        <v>3.1718593769202698E-2</v>
      </c>
      <c r="M315" s="17">
        <v>4.15704431131734E-2</v>
      </c>
      <c r="N315" s="17">
        <v>3.8068720171187301E-2</v>
      </c>
      <c r="O315" s="17">
        <v>1.27618150128478E-2</v>
      </c>
    </row>
    <row r="316" spans="2:15" x14ac:dyDescent="0.3">
      <c r="B316" t="s">
        <v>142</v>
      </c>
      <c r="C316" s="17">
        <v>3.1222396431767802E-2</v>
      </c>
      <c r="D316" s="17">
        <v>3.8419672816304401E-2</v>
      </c>
      <c r="E316" s="17">
        <v>2.42608360212343E-2</v>
      </c>
      <c r="F316" s="17"/>
      <c r="G316" s="17">
        <v>1.75563025333976E-2</v>
      </c>
      <c r="H316" s="17">
        <v>4.9062047529312799E-2</v>
      </c>
      <c r="I316" s="17">
        <v>2.81144312585942E-2</v>
      </c>
      <c r="J316" s="17">
        <v>3.1846261726067603E-2</v>
      </c>
      <c r="K316" s="17"/>
      <c r="L316" s="17">
        <v>4.1082795518866899E-2</v>
      </c>
      <c r="M316" s="17">
        <v>2.5966393691054801E-2</v>
      </c>
      <c r="N316" s="17">
        <v>2.4794329611531801E-2</v>
      </c>
      <c r="O316" s="17">
        <v>3.39799211664489E-2</v>
      </c>
    </row>
    <row r="317" spans="2:15" x14ac:dyDescent="0.3">
      <c r="B317" t="s">
        <v>143</v>
      </c>
      <c r="C317" s="17">
        <v>0.49646698808058098</v>
      </c>
      <c r="D317" s="17">
        <v>0.532454734749781</v>
      </c>
      <c r="E317" s="17">
        <v>0.46119641725698202</v>
      </c>
      <c r="F317" s="17"/>
      <c r="G317" s="17">
        <v>0.58753100939390501</v>
      </c>
      <c r="H317" s="17">
        <v>0.44556337251139699</v>
      </c>
      <c r="I317" s="17">
        <v>0.45801896681095999</v>
      </c>
      <c r="J317" s="17">
        <v>0.474740844409267</v>
      </c>
      <c r="K317" s="17"/>
      <c r="L317" s="17">
        <v>0.481630370114907</v>
      </c>
      <c r="M317" s="17">
        <v>0.51211586230273998</v>
      </c>
      <c r="N317" s="17">
        <v>0.46489506621851501</v>
      </c>
      <c r="O317" s="17">
        <v>0.52867212640026295</v>
      </c>
    </row>
    <row r="318" spans="2:15" x14ac:dyDescent="0.3">
      <c r="B318" t="s">
        <v>144</v>
      </c>
      <c r="C318" s="17">
        <v>0.170834324337199</v>
      </c>
      <c r="D318" s="17">
        <v>0.140460069089412</v>
      </c>
      <c r="E318" s="17">
        <v>0.19807332404838601</v>
      </c>
      <c r="F318" s="17"/>
      <c r="G318" s="17">
        <v>0.114949661691456</v>
      </c>
      <c r="H318" s="17">
        <v>0.23258656575586401</v>
      </c>
      <c r="I318" s="17">
        <v>0.15265331404871799</v>
      </c>
      <c r="J318" s="17">
        <v>0.18350020093948</v>
      </c>
      <c r="K318" s="17"/>
      <c r="L318" s="17">
        <v>0.20519683169254599</v>
      </c>
      <c r="M318" s="17">
        <v>0.184597980997009</v>
      </c>
      <c r="N318" s="17">
        <v>0.16883370395809499</v>
      </c>
      <c r="O318" s="17">
        <v>0.123832797803963</v>
      </c>
    </row>
    <row r="319" spans="2:15" x14ac:dyDescent="0.3">
      <c r="C319" s="17"/>
      <c r="D319" s="17"/>
      <c r="E319" s="17"/>
      <c r="F319" s="17"/>
      <c r="G319" s="17"/>
      <c r="H319" s="17"/>
      <c r="I319" s="17"/>
      <c r="J319" s="17"/>
      <c r="K319" s="17"/>
      <c r="L319" s="17"/>
      <c r="M319" s="17"/>
      <c r="N319" s="17"/>
      <c r="O319" s="17"/>
    </row>
    <row r="320" spans="2:15" x14ac:dyDescent="0.3">
      <c r="B320" s="6" t="s">
        <v>151</v>
      </c>
      <c r="C320" s="17"/>
      <c r="D320" s="17"/>
      <c r="E320" s="17"/>
      <c r="F320" s="17"/>
      <c r="G320" s="17"/>
      <c r="H320" s="17"/>
      <c r="I320" s="17"/>
      <c r="J320" s="17"/>
      <c r="K320" s="17"/>
      <c r="L320" s="17"/>
      <c r="M320" s="17"/>
      <c r="N320" s="17"/>
      <c r="O320" s="17"/>
    </row>
    <row r="321" spans="2:15" x14ac:dyDescent="0.3">
      <c r="B321" s="23" t="s">
        <v>46</v>
      </c>
      <c r="C321" s="17"/>
      <c r="D321" s="17"/>
      <c r="E321" s="17"/>
      <c r="F321" s="17"/>
      <c r="G321" s="17"/>
      <c r="H321" s="17"/>
      <c r="I321" s="17"/>
      <c r="J321" s="17"/>
      <c r="K321" s="17"/>
      <c r="L321" s="17"/>
      <c r="M321" s="17"/>
      <c r="N321" s="17"/>
      <c r="O321" s="17"/>
    </row>
    <row r="322" spans="2:15" x14ac:dyDescent="0.3">
      <c r="B322" t="s">
        <v>137</v>
      </c>
      <c r="C322" s="17">
        <v>5.0284743102722997E-2</v>
      </c>
      <c r="D322" s="17">
        <v>5.3181174846561201E-2</v>
      </c>
      <c r="E322" s="17">
        <v>4.7758046009916802E-2</v>
      </c>
      <c r="F322" s="17"/>
      <c r="G322" s="17">
        <v>5.2204630394061598E-2</v>
      </c>
      <c r="H322" s="17">
        <v>4.5742377154661201E-2</v>
      </c>
      <c r="I322" s="17">
        <v>3.9184078604528501E-2</v>
      </c>
      <c r="J322" s="17">
        <v>5.5538819736748998E-2</v>
      </c>
      <c r="K322" s="17"/>
      <c r="L322" s="17">
        <v>5.5270825235883697E-2</v>
      </c>
      <c r="M322" s="17">
        <v>6.94675824824912E-2</v>
      </c>
      <c r="N322" s="17">
        <v>5.3669403612022201E-2</v>
      </c>
      <c r="O322" s="17">
        <v>2.0995860630495099E-2</v>
      </c>
    </row>
    <row r="323" spans="2:15" x14ac:dyDescent="0.3">
      <c r="B323" t="s">
        <v>138</v>
      </c>
      <c r="C323" s="17">
        <v>0.19691903774917099</v>
      </c>
      <c r="D323" s="17">
        <v>0.17192796018703799</v>
      </c>
      <c r="E323" s="17">
        <v>0.22331668152157</v>
      </c>
      <c r="F323" s="17"/>
      <c r="G323" s="17">
        <v>0.163383391709919</v>
      </c>
      <c r="H323" s="17">
        <v>0.21003159166882701</v>
      </c>
      <c r="I323" s="17">
        <v>0.24419783443690801</v>
      </c>
      <c r="J323" s="17">
        <v>0.184101094560671</v>
      </c>
      <c r="K323" s="17"/>
      <c r="L323" s="17">
        <v>0.229795838061641</v>
      </c>
      <c r="M323" s="17">
        <v>0.195017310757514</v>
      </c>
      <c r="N323" s="17">
        <v>0.20803117693627199</v>
      </c>
      <c r="O323" s="17">
        <v>0.154049883868973</v>
      </c>
    </row>
    <row r="324" spans="2:15" x14ac:dyDescent="0.3">
      <c r="B324" t="s">
        <v>139</v>
      </c>
      <c r="C324" s="17">
        <v>0.25572564286629901</v>
      </c>
      <c r="D324" s="17">
        <v>0.24915780244660901</v>
      </c>
      <c r="E324" s="17">
        <v>0.25686227690316199</v>
      </c>
      <c r="F324" s="17"/>
      <c r="G324" s="17">
        <v>0.22011827838262499</v>
      </c>
      <c r="H324" s="17">
        <v>0.27918683805498201</v>
      </c>
      <c r="I324" s="17">
        <v>0.224136836921005</v>
      </c>
      <c r="J324" s="17">
        <v>0.30629883454731399</v>
      </c>
      <c r="K324" s="17"/>
      <c r="L324" s="17">
        <v>0.25899308442671798</v>
      </c>
      <c r="M324" s="17">
        <v>0.24450899975294399</v>
      </c>
      <c r="N324" s="17">
        <v>0.21991464636785399</v>
      </c>
      <c r="O324" s="17">
        <v>0.30331983631628801</v>
      </c>
    </row>
    <row r="325" spans="2:15" x14ac:dyDescent="0.3">
      <c r="B325" t="s">
        <v>140</v>
      </c>
      <c r="C325" s="17">
        <v>0.33872251198671599</v>
      </c>
      <c r="D325" s="17">
        <v>0.34895207588265098</v>
      </c>
      <c r="E325" s="17">
        <v>0.33097295278839101</v>
      </c>
      <c r="F325" s="17"/>
      <c r="G325" s="17">
        <v>0.38321761892612999</v>
      </c>
      <c r="H325" s="17">
        <v>0.32474220721931002</v>
      </c>
      <c r="I325" s="17">
        <v>0.337559222712292</v>
      </c>
      <c r="J325" s="17">
        <v>0.30042518105807098</v>
      </c>
      <c r="K325" s="17"/>
      <c r="L325" s="17">
        <v>0.31210078390456097</v>
      </c>
      <c r="M325" s="17">
        <v>0.30900714539861901</v>
      </c>
      <c r="N325" s="17">
        <v>0.36561689923941498</v>
      </c>
      <c r="O325" s="17">
        <v>0.36817518460200499</v>
      </c>
    </row>
    <row r="326" spans="2:15" x14ac:dyDescent="0.3">
      <c r="B326" t="s">
        <v>141</v>
      </c>
      <c r="C326" s="17">
        <v>0.128205668054377</v>
      </c>
      <c r="D326" s="17">
        <v>0.14154607363593599</v>
      </c>
      <c r="E326" s="17">
        <v>0.115814712578023</v>
      </c>
      <c r="F326" s="17"/>
      <c r="G326" s="17">
        <v>0.17450583174367501</v>
      </c>
      <c r="H326" s="17">
        <v>8.2323454083245595E-2</v>
      </c>
      <c r="I326" s="17">
        <v>0.137214639648124</v>
      </c>
      <c r="J326" s="17">
        <v>0.112813293037238</v>
      </c>
      <c r="K326" s="17"/>
      <c r="L326" s="17">
        <v>0.126005526699286</v>
      </c>
      <c r="M326" s="17">
        <v>0.14132875666348099</v>
      </c>
      <c r="N326" s="17">
        <v>0.12720177944837399</v>
      </c>
      <c r="O326" s="17">
        <v>0.117376093410722</v>
      </c>
    </row>
    <row r="327" spans="2:15" x14ac:dyDescent="0.3">
      <c r="B327" t="s">
        <v>142</v>
      </c>
      <c r="C327" s="17">
        <v>3.0142396240714499E-2</v>
      </c>
      <c r="D327" s="17">
        <v>3.52349130012043E-2</v>
      </c>
      <c r="E327" s="17">
        <v>2.5275330198936002E-2</v>
      </c>
      <c r="F327" s="17"/>
      <c r="G327" s="17">
        <v>6.57024884358873E-3</v>
      </c>
      <c r="H327" s="17">
        <v>5.7973531818973703E-2</v>
      </c>
      <c r="I327" s="17">
        <v>1.7707387677142399E-2</v>
      </c>
      <c r="J327" s="17">
        <v>4.0822777059957002E-2</v>
      </c>
      <c r="K327" s="17"/>
      <c r="L327" s="17">
        <v>1.7833941671908601E-2</v>
      </c>
      <c r="M327" s="17">
        <v>4.0670204944951702E-2</v>
      </c>
      <c r="N327" s="17">
        <v>2.5566094396062101E-2</v>
      </c>
      <c r="O327" s="17">
        <v>3.6083141171517501E-2</v>
      </c>
    </row>
    <row r="328" spans="2:15" x14ac:dyDescent="0.3">
      <c r="B328" t="s">
        <v>143</v>
      </c>
      <c r="C328" s="17">
        <v>0.24720378085189401</v>
      </c>
      <c r="D328" s="17">
        <v>0.225109135033599</v>
      </c>
      <c r="E328" s="17">
        <v>0.27107472753148698</v>
      </c>
      <c r="F328" s="17"/>
      <c r="G328" s="17">
        <v>0.21558802210398101</v>
      </c>
      <c r="H328" s="17">
        <v>0.25577396882348802</v>
      </c>
      <c r="I328" s="17">
        <v>0.28338191304143701</v>
      </c>
      <c r="J328" s="17">
        <v>0.23963991429741999</v>
      </c>
      <c r="K328" s="17"/>
      <c r="L328" s="17">
        <v>0.285066663297525</v>
      </c>
      <c r="M328" s="17">
        <v>0.26448489324000501</v>
      </c>
      <c r="N328" s="17">
        <v>0.26170058054829498</v>
      </c>
      <c r="O328" s="17">
        <v>0.175045744499468</v>
      </c>
    </row>
    <row r="329" spans="2:15" x14ac:dyDescent="0.3">
      <c r="B329" t="s">
        <v>144</v>
      </c>
      <c r="C329" s="17">
        <v>0.46692818004109299</v>
      </c>
      <c r="D329" s="17">
        <v>0.490498149518588</v>
      </c>
      <c r="E329" s="17">
        <v>0.44678766536641501</v>
      </c>
      <c r="F329" s="17"/>
      <c r="G329" s="17">
        <v>0.557723450669805</v>
      </c>
      <c r="H329" s="17">
        <v>0.407065661302556</v>
      </c>
      <c r="I329" s="17">
        <v>0.47477386236041502</v>
      </c>
      <c r="J329" s="17">
        <v>0.41323847409530901</v>
      </c>
      <c r="K329" s="17"/>
      <c r="L329" s="17">
        <v>0.43810631060384803</v>
      </c>
      <c r="M329" s="17">
        <v>0.4503359020621</v>
      </c>
      <c r="N329" s="17">
        <v>0.492818678687789</v>
      </c>
      <c r="O329" s="17">
        <v>0.48555127801272702</v>
      </c>
    </row>
    <row r="330" spans="2:15" x14ac:dyDescent="0.3">
      <c r="C330" s="17"/>
      <c r="D330" s="17"/>
      <c r="E330" s="17"/>
      <c r="F330" s="17"/>
      <c r="G330" s="17"/>
      <c r="H330" s="17"/>
      <c r="I330" s="17"/>
      <c r="J330" s="17"/>
      <c r="K330" s="17"/>
      <c r="L330" s="17"/>
      <c r="M330" s="17"/>
      <c r="N330" s="17"/>
      <c r="O330" s="17"/>
    </row>
    <row r="331" spans="2:15" x14ac:dyDescent="0.3">
      <c r="B331" s="6" t="s">
        <v>152</v>
      </c>
      <c r="C331" s="17"/>
      <c r="D331" s="17"/>
      <c r="E331" s="17"/>
      <c r="F331" s="17"/>
      <c r="G331" s="17"/>
      <c r="H331" s="17"/>
      <c r="I331" s="17"/>
      <c r="J331" s="17"/>
      <c r="K331" s="17"/>
      <c r="L331" s="17"/>
      <c r="M331" s="17"/>
      <c r="N331" s="17"/>
      <c r="O331" s="17"/>
    </row>
    <row r="332" spans="2:15" x14ac:dyDescent="0.3">
      <c r="B332" s="23" t="s">
        <v>46</v>
      </c>
      <c r="C332" s="17"/>
      <c r="D332" s="17"/>
      <c r="E332" s="17"/>
      <c r="F332" s="17"/>
      <c r="G332" s="17"/>
      <c r="H332" s="17"/>
      <c r="I332" s="17"/>
      <c r="J332" s="17"/>
      <c r="K332" s="17"/>
      <c r="L332" s="17"/>
      <c r="M332" s="17"/>
      <c r="N332" s="17"/>
      <c r="O332" s="17"/>
    </row>
    <row r="333" spans="2:15" x14ac:dyDescent="0.3">
      <c r="B333" t="s">
        <v>137</v>
      </c>
      <c r="C333" s="17">
        <v>0.17653140105923601</v>
      </c>
      <c r="D333" s="17">
        <v>0.184602679194077</v>
      </c>
      <c r="E333" s="17">
        <v>0.169755740283593</v>
      </c>
      <c r="F333" s="17"/>
      <c r="G333" s="17">
        <v>0.28453248810131299</v>
      </c>
      <c r="H333" s="17">
        <v>0.13862429917385</v>
      </c>
      <c r="I333" s="17">
        <v>0.124906497158825</v>
      </c>
      <c r="J333" s="17">
        <v>0.119566257123426</v>
      </c>
      <c r="K333" s="17"/>
      <c r="L333" s="17">
        <v>0.14198812715794201</v>
      </c>
      <c r="M333" s="17">
        <v>0.14625744884292799</v>
      </c>
      <c r="N333" s="17">
        <v>0.21503096271031799</v>
      </c>
      <c r="O333" s="17">
        <v>0.201934249950008</v>
      </c>
    </row>
    <row r="334" spans="2:15" x14ac:dyDescent="0.3">
      <c r="B334" t="s">
        <v>138</v>
      </c>
      <c r="C334" s="17">
        <v>0.48560369327240099</v>
      </c>
      <c r="D334" s="17">
        <v>0.47856690185903999</v>
      </c>
      <c r="E334" s="17">
        <v>0.49322953929271901</v>
      </c>
      <c r="F334" s="17"/>
      <c r="G334" s="17">
        <v>0.42828216161264998</v>
      </c>
      <c r="H334" s="17">
        <v>0.55576393522857304</v>
      </c>
      <c r="I334" s="17">
        <v>0.45306383478890999</v>
      </c>
      <c r="J334" s="17">
        <v>0.514128976491251</v>
      </c>
      <c r="K334" s="17"/>
      <c r="L334" s="17">
        <v>0.48669148313579103</v>
      </c>
      <c r="M334" s="17">
        <v>0.55499915465559402</v>
      </c>
      <c r="N334" s="17">
        <v>0.38372317567911701</v>
      </c>
      <c r="O334" s="17">
        <v>0.52023377082890698</v>
      </c>
    </row>
    <row r="335" spans="2:15" x14ac:dyDescent="0.3">
      <c r="B335" t="s">
        <v>139</v>
      </c>
      <c r="C335" s="17">
        <v>0.19451205496250201</v>
      </c>
      <c r="D335" s="17">
        <v>0.19153823591091301</v>
      </c>
      <c r="E335" s="17">
        <v>0.19889995320481499</v>
      </c>
      <c r="F335" s="17"/>
      <c r="G335" s="17">
        <v>0.17247530132809899</v>
      </c>
      <c r="H335" s="17">
        <v>0.156186846137227</v>
      </c>
      <c r="I335" s="17">
        <v>0.247049143558564</v>
      </c>
      <c r="J335" s="17">
        <v>0.22028939094821001</v>
      </c>
      <c r="K335" s="17"/>
      <c r="L335" s="17">
        <v>0.16241648509192799</v>
      </c>
      <c r="M335" s="17">
        <v>0.16412453448934899</v>
      </c>
      <c r="N335" s="17">
        <v>0.25551192516069998</v>
      </c>
      <c r="O335" s="17">
        <v>0.19321403747584501</v>
      </c>
    </row>
    <row r="336" spans="2:15" x14ac:dyDescent="0.3">
      <c r="B336" t="s">
        <v>140</v>
      </c>
      <c r="C336" s="17">
        <v>0.10044885192148501</v>
      </c>
      <c r="D336" s="17">
        <v>0.102078621135303</v>
      </c>
      <c r="E336" s="17">
        <v>9.9552935750092594E-2</v>
      </c>
      <c r="F336" s="17"/>
      <c r="G336" s="17">
        <v>7.9098818011955493E-2</v>
      </c>
      <c r="H336" s="17">
        <v>0.110800588896727</v>
      </c>
      <c r="I336" s="17">
        <v>0.10577228866377</v>
      </c>
      <c r="J336" s="17">
        <v>0.11242685300961899</v>
      </c>
      <c r="K336" s="17"/>
      <c r="L336" s="17">
        <v>0.14419703938938699</v>
      </c>
      <c r="M336" s="17">
        <v>0.110662542402522</v>
      </c>
      <c r="N336" s="17">
        <v>8.8334972771973094E-2</v>
      </c>
      <c r="O336" s="17">
        <v>5.8836578620804103E-2</v>
      </c>
    </row>
    <row r="337" spans="2:15" x14ac:dyDescent="0.3">
      <c r="B337" t="s">
        <v>141</v>
      </c>
      <c r="C337" s="17">
        <v>3.7898305450238097E-2</v>
      </c>
      <c r="D337" s="17">
        <v>4.0888911676087797E-2</v>
      </c>
      <c r="E337" s="17">
        <v>3.08416679004067E-2</v>
      </c>
      <c r="F337" s="17"/>
      <c r="G337" s="17">
        <v>3.1736612229712399E-2</v>
      </c>
      <c r="H337" s="17">
        <v>3.1873038902904799E-2</v>
      </c>
      <c r="I337" s="17">
        <v>6.9208235829931797E-2</v>
      </c>
      <c r="J337" s="17">
        <v>2.4484021991798E-2</v>
      </c>
      <c r="K337" s="17"/>
      <c r="L337" s="17">
        <v>5.6015955317769699E-2</v>
      </c>
      <c r="M337" s="17">
        <v>1.7157101816642002E-2</v>
      </c>
      <c r="N337" s="17">
        <v>5.29553510478767E-2</v>
      </c>
      <c r="O337" s="17">
        <v>2.57813631244363E-2</v>
      </c>
    </row>
    <row r="338" spans="2:15" x14ac:dyDescent="0.3">
      <c r="B338" t="s">
        <v>142</v>
      </c>
      <c r="C338" s="17">
        <v>5.0056933341367403E-3</v>
      </c>
      <c r="D338" s="17">
        <v>2.3246502245787E-3</v>
      </c>
      <c r="E338" s="17">
        <v>7.7201635683731597E-3</v>
      </c>
      <c r="F338" s="17"/>
      <c r="G338" s="17">
        <v>3.8746187162700101E-3</v>
      </c>
      <c r="H338" s="17">
        <v>6.75129166071913E-3</v>
      </c>
      <c r="I338" s="17">
        <v>0</v>
      </c>
      <c r="J338" s="17">
        <v>9.1045004356957605E-3</v>
      </c>
      <c r="K338" s="17"/>
      <c r="L338" s="17">
        <v>8.69090990718226E-3</v>
      </c>
      <c r="M338" s="17">
        <v>6.7992177929642201E-3</v>
      </c>
      <c r="N338" s="17">
        <v>4.4436126300146303E-3</v>
      </c>
      <c r="O338" s="17">
        <v>0</v>
      </c>
    </row>
    <row r="339" spans="2:15" x14ac:dyDescent="0.3">
      <c r="B339" t="s">
        <v>143</v>
      </c>
      <c r="C339" s="17">
        <v>0.66213509433163797</v>
      </c>
      <c r="D339" s="17">
        <v>0.66316958105311696</v>
      </c>
      <c r="E339" s="17">
        <v>0.66298527957631204</v>
      </c>
      <c r="F339" s="17"/>
      <c r="G339" s="17">
        <v>0.71281464971396302</v>
      </c>
      <c r="H339" s="17">
        <v>0.69438823440242303</v>
      </c>
      <c r="I339" s="17">
        <v>0.57797033194773495</v>
      </c>
      <c r="J339" s="17">
        <v>0.63369523361467694</v>
      </c>
      <c r="K339" s="17"/>
      <c r="L339" s="17">
        <v>0.62867961029373298</v>
      </c>
      <c r="M339" s="17">
        <v>0.70125660349852204</v>
      </c>
      <c r="N339" s="17">
        <v>0.59875413838943603</v>
      </c>
      <c r="O339" s="17">
        <v>0.72216802077891495</v>
      </c>
    </row>
    <row r="340" spans="2:15" x14ac:dyDescent="0.3">
      <c r="B340" t="s">
        <v>144</v>
      </c>
      <c r="C340" s="17">
        <v>0.13834715737172401</v>
      </c>
      <c r="D340" s="17">
        <v>0.14296753281139099</v>
      </c>
      <c r="E340" s="17">
        <v>0.13039460365049901</v>
      </c>
      <c r="F340" s="17"/>
      <c r="G340" s="17">
        <v>0.110835430241668</v>
      </c>
      <c r="H340" s="17">
        <v>0.142673627799631</v>
      </c>
      <c r="I340" s="17">
        <v>0.17498052449370199</v>
      </c>
      <c r="J340" s="17">
        <v>0.13691087500141699</v>
      </c>
      <c r="K340" s="17"/>
      <c r="L340" s="17">
        <v>0.20021299470715601</v>
      </c>
      <c r="M340" s="17">
        <v>0.127819644219164</v>
      </c>
      <c r="N340" s="17">
        <v>0.14129032381984999</v>
      </c>
      <c r="O340" s="17">
        <v>8.4617941745240399E-2</v>
      </c>
    </row>
    <row r="341" spans="2:15" x14ac:dyDescent="0.3">
      <c r="C341" s="17"/>
      <c r="D341" s="17"/>
      <c r="E341" s="17"/>
      <c r="F341" s="17"/>
      <c r="G341" s="17"/>
      <c r="H341" s="17"/>
      <c r="I341" s="17"/>
      <c r="J341" s="17"/>
      <c r="K341" s="17"/>
      <c r="L341" s="17"/>
      <c r="M341" s="17"/>
      <c r="N341" s="17"/>
      <c r="O341" s="17"/>
    </row>
    <row r="342" spans="2:15" x14ac:dyDescent="0.3">
      <c r="B342" s="6" t="s">
        <v>153</v>
      </c>
      <c r="C342" s="17"/>
      <c r="D342" s="17"/>
      <c r="E342" s="17"/>
      <c r="F342" s="17"/>
      <c r="G342" s="17"/>
      <c r="H342" s="17"/>
      <c r="I342" s="17"/>
      <c r="J342" s="17"/>
      <c r="K342" s="17"/>
      <c r="L342" s="17"/>
      <c r="M342" s="17"/>
      <c r="N342" s="17"/>
      <c r="O342" s="17"/>
    </row>
    <row r="343" spans="2:15" x14ac:dyDescent="0.3">
      <c r="B343" s="23" t="s">
        <v>46</v>
      </c>
      <c r="C343" s="17"/>
      <c r="D343" s="17"/>
      <c r="E343" s="17"/>
      <c r="F343" s="17"/>
      <c r="G343" s="17"/>
      <c r="H343" s="17"/>
      <c r="I343" s="17"/>
      <c r="J343" s="17"/>
      <c r="K343" s="17"/>
      <c r="L343" s="17"/>
      <c r="M343" s="17"/>
      <c r="N343" s="17"/>
      <c r="O343" s="17"/>
    </row>
    <row r="344" spans="2:15" x14ac:dyDescent="0.3">
      <c r="B344" t="s">
        <v>137</v>
      </c>
      <c r="C344" s="17">
        <v>4.7355038449455301E-2</v>
      </c>
      <c r="D344" s="17">
        <v>3.8371251161272102E-2</v>
      </c>
      <c r="E344" s="17">
        <v>5.6673692379248103E-2</v>
      </c>
      <c r="F344" s="17"/>
      <c r="G344" s="17">
        <v>4.4332162284778001E-2</v>
      </c>
      <c r="H344" s="17">
        <v>6.3206280645409105E-2</v>
      </c>
      <c r="I344" s="17">
        <v>3.3558649224679903E-2</v>
      </c>
      <c r="J344" s="17">
        <v>4.6265056720610202E-2</v>
      </c>
      <c r="K344" s="17"/>
      <c r="L344" s="17">
        <v>8.1052363367644598E-2</v>
      </c>
      <c r="M344" s="17">
        <v>3.5421595943400497E-2</v>
      </c>
      <c r="N344" s="17">
        <v>5.4810629628292099E-2</v>
      </c>
      <c r="O344" s="17">
        <v>1.8418314268281898E-2</v>
      </c>
    </row>
    <row r="345" spans="2:15" x14ac:dyDescent="0.3">
      <c r="B345" t="s">
        <v>138</v>
      </c>
      <c r="C345" s="17">
        <v>0.20129196967379701</v>
      </c>
      <c r="D345" s="17">
        <v>0.180108304589986</v>
      </c>
      <c r="E345" s="17">
        <v>0.223918400166705</v>
      </c>
      <c r="F345" s="17"/>
      <c r="G345" s="17">
        <v>0.178737244219587</v>
      </c>
      <c r="H345" s="17">
        <v>0.21782145778237599</v>
      </c>
      <c r="I345" s="17">
        <v>0.19007454164849899</v>
      </c>
      <c r="J345" s="17">
        <v>0.22372129602672799</v>
      </c>
      <c r="K345" s="17"/>
      <c r="L345" s="17">
        <v>0.27499889764097102</v>
      </c>
      <c r="M345" s="17">
        <v>0.142872521129499</v>
      </c>
      <c r="N345" s="17">
        <v>0.20957293736060201</v>
      </c>
      <c r="O345" s="17">
        <v>0.18145915772235799</v>
      </c>
    </row>
    <row r="346" spans="2:15" x14ac:dyDescent="0.3">
      <c r="B346" t="s">
        <v>139</v>
      </c>
      <c r="C346" s="17">
        <v>0.20602979453276199</v>
      </c>
      <c r="D346" s="17">
        <v>0.19622950399800401</v>
      </c>
      <c r="E346" s="17">
        <v>0.21297471965829301</v>
      </c>
      <c r="F346" s="17"/>
      <c r="G346" s="17">
        <v>0.172507370475768</v>
      </c>
      <c r="H346" s="17">
        <v>0.17669751655367399</v>
      </c>
      <c r="I346" s="17">
        <v>0.21632635374342701</v>
      </c>
      <c r="J346" s="17">
        <v>0.27518921048408301</v>
      </c>
      <c r="K346" s="17"/>
      <c r="L346" s="17">
        <v>0.201710707801528</v>
      </c>
      <c r="M346" s="17">
        <v>0.24203827256831401</v>
      </c>
      <c r="N346" s="17">
        <v>0.22746079311231601</v>
      </c>
      <c r="O346" s="17">
        <v>0.1483955730979</v>
      </c>
    </row>
    <row r="347" spans="2:15" x14ac:dyDescent="0.3">
      <c r="B347" t="s">
        <v>140</v>
      </c>
      <c r="C347" s="17">
        <v>0.34455193371393</v>
      </c>
      <c r="D347" s="17">
        <v>0.40685420431855601</v>
      </c>
      <c r="E347" s="17">
        <v>0.28188973514837501</v>
      </c>
      <c r="F347" s="17"/>
      <c r="G347" s="17">
        <v>0.35976636939135098</v>
      </c>
      <c r="H347" s="17">
        <v>0.34827690128773398</v>
      </c>
      <c r="I347" s="17">
        <v>0.356390314454886</v>
      </c>
      <c r="J347" s="17">
        <v>0.30451965518979901</v>
      </c>
      <c r="K347" s="17"/>
      <c r="L347" s="17">
        <v>0.28653671126602598</v>
      </c>
      <c r="M347" s="17">
        <v>0.39017702826600997</v>
      </c>
      <c r="N347" s="17">
        <v>0.31303550962436799</v>
      </c>
      <c r="O347" s="17">
        <v>0.38762840781647001</v>
      </c>
    </row>
    <row r="348" spans="2:15" x14ac:dyDescent="0.3">
      <c r="B348" t="s">
        <v>141</v>
      </c>
      <c r="C348" s="17">
        <v>0.17753768599598599</v>
      </c>
      <c r="D348" s="17">
        <v>0.159691598009334</v>
      </c>
      <c r="E348" s="17">
        <v>0.19665723317609099</v>
      </c>
      <c r="F348" s="17"/>
      <c r="G348" s="17">
        <v>0.24078223491224501</v>
      </c>
      <c r="H348" s="17">
        <v>0.1504286258117</v>
      </c>
      <c r="I348" s="17">
        <v>0.203650140928508</v>
      </c>
      <c r="J348" s="17">
        <v>0.10356764048678101</v>
      </c>
      <c r="K348" s="17"/>
      <c r="L348" s="17">
        <v>0.122580211008593</v>
      </c>
      <c r="M348" s="17">
        <v>0.168619210358354</v>
      </c>
      <c r="N348" s="17">
        <v>0.1747838780173</v>
      </c>
      <c r="O348" s="17">
        <v>0.24507257069167901</v>
      </c>
    </row>
    <row r="349" spans="2:15" x14ac:dyDescent="0.3">
      <c r="B349" t="s">
        <v>142</v>
      </c>
      <c r="C349" s="17">
        <v>2.3233577634070801E-2</v>
      </c>
      <c r="D349" s="17">
        <v>1.8745137922847599E-2</v>
      </c>
      <c r="E349" s="17">
        <v>2.78862194712877E-2</v>
      </c>
      <c r="F349" s="17"/>
      <c r="G349" s="17">
        <v>3.8746187162700101E-3</v>
      </c>
      <c r="H349" s="17">
        <v>4.35692179191072E-2</v>
      </c>
      <c r="I349" s="17">
        <v>0</v>
      </c>
      <c r="J349" s="17">
        <v>4.6737141091999099E-2</v>
      </c>
      <c r="K349" s="17"/>
      <c r="L349" s="17">
        <v>3.3121108915237799E-2</v>
      </c>
      <c r="M349" s="17">
        <v>2.08713717344223E-2</v>
      </c>
      <c r="N349" s="17">
        <v>2.0336252257122302E-2</v>
      </c>
      <c r="O349" s="17">
        <v>1.9025976403310701E-2</v>
      </c>
    </row>
    <row r="350" spans="2:15" x14ac:dyDescent="0.3">
      <c r="B350" t="s">
        <v>143</v>
      </c>
      <c r="C350" s="17">
        <v>0.24864700812325199</v>
      </c>
      <c r="D350" s="17">
        <v>0.21847955575125799</v>
      </c>
      <c r="E350" s="17">
        <v>0.28059209254595302</v>
      </c>
      <c r="F350" s="17"/>
      <c r="G350" s="17">
        <v>0.22306940650436499</v>
      </c>
      <c r="H350" s="17">
        <v>0.281027738427785</v>
      </c>
      <c r="I350" s="17">
        <v>0.22363319087317901</v>
      </c>
      <c r="J350" s="17">
        <v>0.26998635274733801</v>
      </c>
      <c r="K350" s="17"/>
      <c r="L350" s="17">
        <v>0.35605126100861501</v>
      </c>
      <c r="M350" s="17">
        <v>0.17829411707289999</v>
      </c>
      <c r="N350" s="17">
        <v>0.26438356698889398</v>
      </c>
      <c r="O350" s="17">
        <v>0.19987747199063999</v>
      </c>
    </row>
    <row r="351" spans="2:15" x14ac:dyDescent="0.3">
      <c r="B351" t="s">
        <v>144</v>
      </c>
      <c r="C351" s="17">
        <v>0.52208961970991496</v>
      </c>
      <c r="D351" s="17">
        <v>0.56654580232788998</v>
      </c>
      <c r="E351" s="17">
        <v>0.47854696832446603</v>
      </c>
      <c r="F351" s="17"/>
      <c r="G351" s="17">
        <v>0.60054860430359702</v>
      </c>
      <c r="H351" s="17">
        <v>0.498705527099434</v>
      </c>
      <c r="I351" s="17">
        <v>0.56004045538339398</v>
      </c>
      <c r="J351" s="17">
        <v>0.40808729567657998</v>
      </c>
      <c r="K351" s="17"/>
      <c r="L351" s="17">
        <v>0.40911692227461899</v>
      </c>
      <c r="M351" s="17">
        <v>0.55879623862436401</v>
      </c>
      <c r="N351" s="17">
        <v>0.48781938764166699</v>
      </c>
      <c r="O351" s="17">
        <v>0.63270097850814899</v>
      </c>
    </row>
    <row r="352" spans="2:15" x14ac:dyDescent="0.3">
      <c r="C352" s="17"/>
      <c r="D352" s="17"/>
      <c r="E352" s="17"/>
      <c r="F352" s="17"/>
      <c r="G352" s="17"/>
      <c r="H352" s="17"/>
      <c r="I352" s="17"/>
      <c r="J352" s="17"/>
      <c r="K352" s="17"/>
      <c r="L352" s="17"/>
      <c r="M352" s="17"/>
      <c r="N352" s="17"/>
      <c r="O352" s="17"/>
    </row>
    <row r="353" spans="2:15" x14ac:dyDescent="0.3">
      <c r="B353" s="6" t="s">
        <v>159</v>
      </c>
      <c r="C353" s="17"/>
      <c r="D353" s="17"/>
      <c r="E353" s="17"/>
      <c r="F353" s="17"/>
      <c r="G353" s="17"/>
      <c r="H353" s="17"/>
      <c r="I353" s="17"/>
      <c r="J353" s="17"/>
      <c r="K353" s="17"/>
      <c r="L353" s="17"/>
      <c r="M353" s="17"/>
      <c r="N353" s="17"/>
      <c r="O353" s="17"/>
    </row>
    <row r="354" spans="2:15" x14ac:dyDescent="0.3">
      <c r="B354" s="23" t="s">
        <v>46</v>
      </c>
      <c r="C354" s="17"/>
      <c r="D354" s="17"/>
      <c r="E354" s="17"/>
      <c r="F354" s="17"/>
      <c r="G354" s="17"/>
      <c r="H354" s="17"/>
      <c r="I354" s="17"/>
      <c r="J354" s="17"/>
      <c r="K354" s="17"/>
      <c r="L354" s="17"/>
      <c r="M354" s="17"/>
      <c r="N354" s="17"/>
      <c r="O354" s="17"/>
    </row>
    <row r="355" spans="2:15" x14ac:dyDescent="0.3">
      <c r="B355" t="s">
        <v>154</v>
      </c>
      <c r="C355" s="17">
        <v>2.33080328330128E-2</v>
      </c>
      <c r="D355" s="17">
        <v>2.55657298246302E-2</v>
      </c>
      <c r="E355" s="17">
        <v>2.1222756938419299E-2</v>
      </c>
      <c r="F355" s="17"/>
      <c r="G355" s="17">
        <v>2.0689755934940799E-2</v>
      </c>
      <c r="H355" s="17">
        <v>1.52198942884383E-2</v>
      </c>
      <c r="I355" s="17">
        <v>2.0044865314586099E-2</v>
      </c>
      <c r="J355" s="17">
        <v>3.1126669783509101E-2</v>
      </c>
      <c r="K355" s="17"/>
      <c r="L355" s="17">
        <v>3.1296856282778701E-2</v>
      </c>
      <c r="M355" s="17">
        <v>2.1607299260215498E-2</v>
      </c>
      <c r="N355" s="17">
        <v>3.9137681825500897E-2</v>
      </c>
      <c r="O355" s="17">
        <v>0</v>
      </c>
    </row>
    <row r="356" spans="2:15" x14ac:dyDescent="0.3">
      <c r="B356" t="s">
        <v>155</v>
      </c>
      <c r="C356" s="17">
        <v>5.3574222209499298E-2</v>
      </c>
      <c r="D356" s="17">
        <v>3.6615027988360999E-2</v>
      </c>
      <c r="E356" s="17">
        <v>7.0904528806643594E-2</v>
      </c>
      <c r="F356" s="17"/>
      <c r="G356" s="17">
        <v>4.7813045905391698E-2</v>
      </c>
      <c r="H356" s="17">
        <v>4.1590836952330498E-2</v>
      </c>
      <c r="I356" s="17">
        <v>3.8477010404053699E-2</v>
      </c>
      <c r="J356" s="17">
        <v>8.8875667236082798E-2</v>
      </c>
      <c r="K356" s="17"/>
      <c r="L356" s="17">
        <v>7.6085955231252403E-2</v>
      </c>
      <c r="M356" s="17">
        <v>4.0074047950941799E-2</v>
      </c>
      <c r="N356" s="17">
        <v>6.0052743740136902E-2</v>
      </c>
      <c r="O356" s="17">
        <v>3.8567005595579497E-2</v>
      </c>
    </row>
    <row r="357" spans="2:15" x14ac:dyDescent="0.3">
      <c r="B357" t="s">
        <v>156</v>
      </c>
      <c r="C357" s="17">
        <v>0.16922654952139099</v>
      </c>
      <c r="D357" s="17">
        <v>0.162600752302301</v>
      </c>
      <c r="E357" s="17">
        <v>0.17707800789932601</v>
      </c>
      <c r="F357" s="17"/>
      <c r="G357" s="17">
        <v>9.9473936625254694E-2</v>
      </c>
      <c r="H357" s="17">
        <v>0.151480252634841</v>
      </c>
      <c r="I357" s="17">
        <v>0.172937032771144</v>
      </c>
      <c r="J357" s="17">
        <v>0.278110219458787</v>
      </c>
      <c r="K357" s="17"/>
      <c r="L357" s="17">
        <v>0.17149215934871501</v>
      </c>
      <c r="M357" s="17">
        <v>0.23537744943307301</v>
      </c>
      <c r="N357" s="17">
        <v>0.135215175297971</v>
      </c>
      <c r="O357" s="17">
        <v>0.132644263379598</v>
      </c>
    </row>
    <row r="358" spans="2:15" x14ac:dyDescent="0.3">
      <c r="B358" t="s">
        <v>157</v>
      </c>
      <c r="C358" s="17">
        <v>0.48042193575110897</v>
      </c>
      <c r="D358" s="17">
        <v>0.49030232542723401</v>
      </c>
      <c r="E358" s="17">
        <v>0.46676648001717003</v>
      </c>
      <c r="F358" s="17"/>
      <c r="G358" s="17">
        <v>0.470748179177643</v>
      </c>
      <c r="H358" s="17">
        <v>0.48289741440656703</v>
      </c>
      <c r="I358" s="17">
        <v>0.54663185684348503</v>
      </c>
      <c r="J358" s="17">
        <v>0.433591520008972</v>
      </c>
      <c r="K358" s="17"/>
      <c r="L358" s="17">
        <v>0.50615884208140804</v>
      </c>
      <c r="M358" s="17">
        <v>0.44963691596785599</v>
      </c>
      <c r="N358" s="17">
        <v>0.480457686688679</v>
      </c>
      <c r="O358" s="17">
        <v>0.48776351749012298</v>
      </c>
    </row>
    <row r="359" spans="2:15" x14ac:dyDescent="0.3">
      <c r="B359" t="s">
        <v>158</v>
      </c>
      <c r="C359" s="17">
        <v>0.26794546619586201</v>
      </c>
      <c r="D359" s="17">
        <v>0.277679939512952</v>
      </c>
      <c r="E359" s="17">
        <v>0.26017466232818998</v>
      </c>
      <c r="F359" s="17"/>
      <c r="G359" s="17">
        <v>0.36127508235677003</v>
      </c>
      <c r="H359" s="17">
        <v>0.29474645770359598</v>
      </c>
      <c r="I359" s="17">
        <v>0.213028970042382</v>
      </c>
      <c r="J359" s="17">
        <v>0.16829592351264899</v>
      </c>
      <c r="K359" s="17"/>
      <c r="L359" s="17">
        <v>0.214966187055846</v>
      </c>
      <c r="M359" s="17">
        <v>0.23913929759810201</v>
      </c>
      <c r="N359" s="17">
        <v>0.27799591471780299</v>
      </c>
      <c r="O359" s="17">
        <v>0.3410252135347</v>
      </c>
    </row>
    <row r="360" spans="2:15" x14ac:dyDescent="0.3">
      <c r="B360" t="s">
        <v>80</v>
      </c>
      <c r="C360" s="17">
        <v>5.52379348912638E-3</v>
      </c>
      <c r="D360" s="17">
        <v>7.2362249445220199E-3</v>
      </c>
      <c r="E360" s="17">
        <v>3.8535640102513999E-3</v>
      </c>
      <c r="F360" s="17"/>
      <c r="G360" s="17">
        <v>0</v>
      </c>
      <c r="H360" s="17">
        <v>1.40651440142267E-2</v>
      </c>
      <c r="I360" s="17">
        <v>8.8802646243490296E-3</v>
      </c>
      <c r="J360" s="17">
        <v>0</v>
      </c>
      <c r="K360" s="17"/>
      <c r="L360" s="17">
        <v>0</v>
      </c>
      <c r="M360" s="17">
        <v>1.4164989789812701E-2</v>
      </c>
      <c r="N360" s="17">
        <v>7.1407977299089501E-3</v>
      </c>
      <c r="O360" s="17">
        <v>0</v>
      </c>
    </row>
    <row r="361" spans="2:15" x14ac:dyDescent="0.3">
      <c r="C361" s="17"/>
      <c r="D361" s="17"/>
      <c r="E361" s="17"/>
      <c r="F361" s="17"/>
      <c r="G361" s="17"/>
      <c r="H361" s="17"/>
      <c r="I361" s="17"/>
      <c r="J361" s="17"/>
      <c r="K361" s="17"/>
      <c r="L361" s="17"/>
      <c r="M361" s="17"/>
      <c r="N361" s="17"/>
      <c r="O361" s="17"/>
    </row>
    <row r="362" spans="2:15" x14ac:dyDescent="0.3">
      <c r="B362" s="6" t="s">
        <v>165</v>
      </c>
      <c r="C362" s="17"/>
      <c r="D362" s="17"/>
      <c r="E362" s="17"/>
      <c r="F362" s="17"/>
      <c r="G362" s="17"/>
      <c r="H362" s="17"/>
      <c r="I362" s="17"/>
      <c r="J362" s="17"/>
      <c r="K362" s="17"/>
      <c r="L362" s="17"/>
      <c r="M362" s="17"/>
      <c r="N362" s="17"/>
      <c r="O362" s="17"/>
    </row>
    <row r="363" spans="2:15" x14ac:dyDescent="0.3">
      <c r="B363" s="23" t="s">
        <v>46</v>
      </c>
      <c r="C363" s="17"/>
      <c r="D363" s="17"/>
      <c r="E363" s="17"/>
      <c r="F363" s="17"/>
      <c r="G363" s="17"/>
      <c r="H363" s="17"/>
      <c r="I363" s="17"/>
      <c r="J363" s="17"/>
      <c r="K363" s="17"/>
      <c r="L363" s="17"/>
      <c r="M363" s="17"/>
      <c r="N363" s="17"/>
      <c r="O363" s="17"/>
    </row>
    <row r="364" spans="2:15" x14ac:dyDescent="0.3">
      <c r="B364" t="s">
        <v>160</v>
      </c>
      <c r="C364" s="17">
        <v>1.93384884009596E-2</v>
      </c>
      <c r="D364" s="17">
        <v>3.0181825730526701E-2</v>
      </c>
      <c r="E364" s="17">
        <v>8.6484145588962107E-3</v>
      </c>
      <c r="F364" s="17"/>
      <c r="G364" s="17">
        <v>9.6738317878754393E-3</v>
      </c>
      <c r="H364" s="17">
        <v>6.7806466102750297E-3</v>
      </c>
      <c r="I364" s="17">
        <v>2.7510438244147999E-2</v>
      </c>
      <c r="J364" s="17">
        <v>3.0934211236957599E-2</v>
      </c>
      <c r="K364" s="17"/>
      <c r="L364" s="17">
        <v>1.9484331082774201E-2</v>
      </c>
      <c r="M364" s="17">
        <v>2.38997724496865E-2</v>
      </c>
      <c r="N364" s="17">
        <v>2.5733800949086599E-2</v>
      </c>
      <c r="O364" s="17">
        <v>7.3575545880741203E-3</v>
      </c>
    </row>
    <row r="365" spans="2:15" x14ac:dyDescent="0.3">
      <c r="B365" t="s">
        <v>161</v>
      </c>
      <c r="C365" s="17">
        <v>7.2705795422069799E-2</v>
      </c>
      <c r="D365" s="17">
        <v>5.0314217021154503E-2</v>
      </c>
      <c r="E365" s="17">
        <v>9.5601721775737003E-2</v>
      </c>
      <c r="F365" s="17"/>
      <c r="G365" s="17">
        <v>6.10584657098125E-2</v>
      </c>
      <c r="H365" s="17">
        <v>6.3086374497340295E-2</v>
      </c>
      <c r="I365" s="17">
        <v>9.7632798609867594E-2</v>
      </c>
      <c r="J365" s="17">
        <v>7.6611572444504297E-2</v>
      </c>
      <c r="K365" s="17"/>
      <c r="L365" s="17">
        <v>7.2777503892798898E-2</v>
      </c>
      <c r="M365" s="17">
        <v>4.6934988750369902E-2</v>
      </c>
      <c r="N365" s="17">
        <v>9.7570761412223997E-2</v>
      </c>
      <c r="O365" s="17">
        <v>7.3420180972471799E-2</v>
      </c>
    </row>
    <row r="366" spans="2:15" x14ac:dyDescent="0.3">
      <c r="B366" t="s">
        <v>162</v>
      </c>
      <c r="C366" s="17">
        <v>0.207396573364169</v>
      </c>
      <c r="D366" s="17">
        <v>0.20885196779755699</v>
      </c>
      <c r="E366" s="17">
        <v>0.20451252460748501</v>
      </c>
      <c r="F366" s="17"/>
      <c r="G366" s="17">
        <v>0.151974110858452</v>
      </c>
      <c r="H366" s="17">
        <v>0.172581875675305</v>
      </c>
      <c r="I366" s="17">
        <v>0.25015261357876201</v>
      </c>
      <c r="J366" s="17">
        <v>0.28167099541993201</v>
      </c>
      <c r="K366" s="17"/>
      <c r="L366" s="17">
        <v>0.23536325133529501</v>
      </c>
      <c r="M366" s="17">
        <v>0.24227355852117199</v>
      </c>
      <c r="N366" s="17">
        <v>0.208289459946844</v>
      </c>
      <c r="O366" s="17">
        <v>0.14094342059291601</v>
      </c>
    </row>
    <row r="367" spans="2:15" x14ac:dyDescent="0.3">
      <c r="B367" t="s">
        <v>163</v>
      </c>
      <c r="C367" s="17">
        <v>0.46467329983056499</v>
      </c>
      <c r="D367" s="17">
        <v>0.48322722373351301</v>
      </c>
      <c r="E367" s="17">
        <v>0.44518108131966</v>
      </c>
      <c r="F367" s="17"/>
      <c r="G367" s="17">
        <v>0.48946339134378802</v>
      </c>
      <c r="H367" s="17">
        <v>0.48825627158888002</v>
      </c>
      <c r="I367" s="17">
        <v>0.42605064124363301</v>
      </c>
      <c r="J367" s="17">
        <v>0.44457437859149701</v>
      </c>
      <c r="K367" s="17"/>
      <c r="L367" s="17">
        <v>0.45246692166910701</v>
      </c>
      <c r="M367" s="17">
        <v>0.47964018815834297</v>
      </c>
      <c r="N367" s="17">
        <v>0.43998122158080399</v>
      </c>
      <c r="O367" s="17">
        <v>0.48752868592513798</v>
      </c>
    </row>
    <row r="368" spans="2:15" x14ac:dyDescent="0.3">
      <c r="B368" t="s">
        <v>164</v>
      </c>
      <c r="C368" s="17">
        <v>0.20199303966465701</v>
      </c>
      <c r="D368" s="17">
        <v>0.184865589177163</v>
      </c>
      <c r="E368" s="17">
        <v>0.22057297999839401</v>
      </c>
      <c r="F368" s="17"/>
      <c r="G368" s="17">
        <v>0.282166900097375</v>
      </c>
      <c r="H368" s="17">
        <v>0.217679236018224</v>
      </c>
      <c r="I368" s="17">
        <v>0.16652369353179899</v>
      </c>
      <c r="J368" s="17">
        <v>0.113810794218</v>
      </c>
      <c r="K368" s="17"/>
      <c r="L368" s="17">
        <v>0.16897057684986799</v>
      </c>
      <c r="M368" s="17">
        <v>0.17202568788172001</v>
      </c>
      <c r="N368" s="17">
        <v>0.19857386430894799</v>
      </c>
      <c r="O368" s="17">
        <v>0.27095721482068502</v>
      </c>
    </row>
    <row r="369" spans="2:15" x14ac:dyDescent="0.3">
      <c r="B369" t="s">
        <v>107</v>
      </c>
      <c r="C369" s="17">
        <v>3.3892803317579399E-2</v>
      </c>
      <c r="D369" s="17">
        <v>4.25591765400865E-2</v>
      </c>
      <c r="E369" s="17">
        <v>2.5483277739827399E-2</v>
      </c>
      <c r="F369" s="17"/>
      <c r="G369" s="17">
        <v>5.6633002026967002E-3</v>
      </c>
      <c r="H369" s="17">
        <v>5.1615595609975397E-2</v>
      </c>
      <c r="I369" s="17">
        <v>3.2129814791790001E-2</v>
      </c>
      <c r="J369" s="17">
        <v>5.2398048089108397E-2</v>
      </c>
      <c r="K369" s="17"/>
      <c r="L369" s="17">
        <v>5.0937415170158103E-2</v>
      </c>
      <c r="M369" s="17">
        <v>3.5225804238709101E-2</v>
      </c>
      <c r="N369" s="17">
        <v>2.9850891802092099E-2</v>
      </c>
      <c r="O369" s="17">
        <v>1.97929431007151E-2</v>
      </c>
    </row>
    <row r="370" spans="2:15" x14ac:dyDescent="0.3">
      <c r="C370" s="17"/>
      <c r="D370" s="17"/>
      <c r="E370" s="17"/>
      <c r="F370" s="17"/>
      <c r="G370" s="17"/>
      <c r="H370" s="17"/>
      <c r="I370" s="17"/>
      <c r="J370" s="17"/>
      <c r="K370" s="17"/>
      <c r="L370" s="17"/>
      <c r="M370" s="17"/>
      <c r="N370" s="17"/>
      <c r="O370" s="17"/>
    </row>
    <row r="371" spans="2:15" x14ac:dyDescent="0.3">
      <c r="B371" s="6" t="s">
        <v>168</v>
      </c>
      <c r="C371" s="17"/>
      <c r="D371" s="17"/>
      <c r="E371" s="17"/>
      <c r="F371" s="17"/>
      <c r="G371" s="17"/>
      <c r="H371" s="17"/>
      <c r="I371" s="17"/>
      <c r="J371" s="17"/>
      <c r="K371" s="17"/>
      <c r="L371" s="17"/>
      <c r="M371" s="17"/>
      <c r="N371" s="17"/>
      <c r="O371" s="17"/>
    </row>
    <row r="372" spans="2:15" x14ac:dyDescent="0.3">
      <c r="B372" s="23" t="s">
        <v>46</v>
      </c>
      <c r="C372" s="17"/>
      <c r="D372" s="17"/>
      <c r="E372" s="17"/>
      <c r="F372" s="17"/>
      <c r="G372" s="17"/>
      <c r="H372" s="17"/>
      <c r="I372" s="17"/>
      <c r="J372" s="17"/>
      <c r="K372" s="17"/>
      <c r="L372" s="17"/>
      <c r="M372" s="17"/>
      <c r="N372" s="17"/>
      <c r="O372" s="17"/>
    </row>
    <row r="373" spans="2:15" x14ac:dyDescent="0.3">
      <c r="B373" t="s">
        <v>166</v>
      </c>
      <c r="C373" s="17">
        <v>0.205467041826742</v>
      </c>
      <c r="D373" s="17">
        <v>0.24394266627505001</v>
      </c>
      <c r="E373" s="17">
        <v>0.168532493700849</v>
      </c>
      <c r="F373" s="17"/>
      <c r="G373" s="17">
        <v>0.27438018130174502</v>
      </c>
      <c r="H373" s="17">
        <v>0.15898143369288001</v>
      </c>
      <c r="I373" s="17">
        <v>0.153235095480311</v>
      </c>
      <c r="J373" s="17">
        <v>0.20989641390215599</v>
      </c>
      <c r="K373" s="17"/>
      <c r="L373" s="17">
        <v>0.192471268189816</v>
      </c>
      <c r="M373" s="17">
        <v>0.199845901079134</v>
      </c>
      <c r="N373" s="17">
        <v>0.25562627667216498</v>
      </c>
      <c r="O373" s="17">
        <v>0.17017062912476399</v>
      </c>
    </row>
    <row r="374" spans="2:15" x14ac:dyDescent="0.3">
      <c r="B374" t="s">
        <v>138</v>
      </c>
      <c r="C374" s="17">
        <v>0.34982548097742899</v>
      </c>
      <c r="D374" s="17">
        <v>0.41151820426699798</v>
      </c>
      <c r="E374" s="17">
        <v>0.28781056592196602</v>
      </c>
      <c r="F374" s="17"/>
      <c r="G374" s="17">
        <v>0.375217636951996</v>
      </c>
      <c r="H374" s="17">
        <v>0.313447684486723</v>
      </c>
      <c r="I374" s="17">
        <v>0.3780008321576</v>
      </c>
      <c r="J374" s="17">
        <v>0.33512566080143003</v>
      </c>
      <c r="K374" s="17"/>
      <c r="L374" s="17">
        <v>0.23537722381243201</v>
      </c>
      <c r="M374" s="17">
        <v>0.42072358771499602</v>
      </c>
      <c r="N374" s="17">
        <v>0.39125286488955802</v>
      </c>
      <c r="O374" s="17">
        <v>0.343124896807812</v>
      </c>
    </row>
    <row r="375" spans="2:15" x14ac:dyDescent="0.3">
      <c r="B375" t="s">
        <v>139</v>
      </c>
      <c r="C375" s="17">
        <v>0.21114407393412901</v>
      </c>
      <c r="D375" s="17">
        <v>0.18667684643389901</v>
      </c>
      <c r="E375" s="17">
        <v>0.23712212549980499</v>
      </c>
      <c r="F375" s="17"/>
      <c r="G375" s="17">
        <v>0.184886509966324</v>
      </c>
      <c r="H375" s="17">
        <v>0.21936677486431699</v>
      </c>
      <c r="I375" s="17">
        <v>0.263611285467935</v>
      </c>
      <c r="J375" s="17">
        <v>0.18978105690152899</v>
      </c>
      <c r="K375" s="17"/>
      <c r="L375" s="17">
        <v>0.30023494985009902</v>
      </c>
      <c r="M375" s="17">
        <v>0.140768573664906</v>
      </c>
      <c r="N375" s="17">
        <v>0.18043960724274</v>
      </c>
      <c r="O375" s="17">
        <v>0.23102334782951101</v>
      </c>
    </row>
    <row r="376" spans="2:15" x14ac:dyDescent="0.3">
      <c r="B376" t="s">
        <v>140</v>
      </c>
      <c r="C376" s="17">
        <v>0.116533983379357</v>
      </c>
      <c r="D376" s="17">
        <v>6.11524754397419E-2</v>
      </c>
      <c r="E376" s="17">
        <v>0.16835607856707199</v>
      </c>
      <c r="F376" s="17"/>
      <c r="G376" s="17">
        <v>0.10746489156151499</v>
      </c>
      <c r="H376" s="17">
        <v>0.15168043004967599</v>
      </c>
      <c r="I376" s="17">
        <v>0.109335851540472</v>
      </c>
      <c r="J376" s="17">
        <v>9.5941540512103296E-2</v>
      </c>
      <c r="K376" s="17"/>
      <c r="L376" s="17">
        <v>0.12142642898223301</v>
      </c>
      <c r="M376" s="17">
        <v>0.113632299593179</v>
      </c>
      <c r="N376" s="17">
        <v>9.94663887730413E-2</v>
      </c>
      <c r="O376" s="17">
        <v>0.133252940248757</v>
      </c>
    </row>
    <row r="377" spans="2:15" x14ac:dyDescent="0.3">
      <c r="B377" t="s">
        <v>167</v>
      </c>
      <c r="C377" s="17">
        <v>0.11271328916856101</v>
      </c>
      <c r="D377" s="17">
        <v>9.1899094547250607E-2</v>
      </c>
      <c r="E377" s="17">
        <v>0.134325172300057</v>
      </c>
      <c r="F377" s="17"/>
      <c r="G377" s="17">
        <v>5.8050780218419903E-2</v>
      </c>
      <c r="H377" s="17">
        <v>0.149149539485149</v>
      </c>
      <c r="I377" s="17">
        <v>9.5816935353681507E-2</v>
      </c>
      <c r="J377" s="17">
        <v>0.15881916119890499</v>
      </c>
      <c r="K377" s="17"/>
      <c r="L377" s="17">
        <v>0.14052804666934901</v>
      </c>
      <c r="M377" s="17">
        <v>0.117603152930987</v>
      </c>
      <c r="N377" s="17">
        <v>7.3214862422495294E-2</v>
      </c>
      <c r="O377" s="17">
        <v>0.122428185989157</v>
      </c>
    </row>
    <row r="378" spans="2:15" x14ac:dyDescent="0.3">
      <c r="B378" t="s">
        <v>107</v>
      </c>
      <c r="C378" s="17">
        <v>4.3161307137824104E-3</v>
      </c>
      <c r="D378" s="17">
        <v>4.8107130370604097E-3</v>
      </c>
      <c r="E378" s="17">
        <v>3.8535640102513999E-3</v>
      </c>
      <c r="F378" s="17"/>
      <c r="G378" s="17">
        <v>0</v>
      </c>
      <c r="H378" s="17">
        <v>7.3741374212546998E-3</v>
      </c>
      <c r="I378" s="17">
        <v>0</v>
      </c>
      <c r="J378" s="17">
        <v>1.04361666838772E-2</v>
      </c>
      <c r="K378" s="17"/>
      <c r="L378" s="17">
        <v>9.9620824960707996E-3</v>
      </c>
      <c r="M378" s="17">
        <v>7.42648501679716E-3</v>
      </c>
      <c r="N378" s="17">
        <v>0</v>
      </c>
      <c r="O378" s="17">
        <v>0</v>
      </c>
    </row>
    <row r="379" spans="2:15" x14ac:dyDescent="0.3">
      <c r="B379" t="s">
        <v>143</v>
      </c>
      <c r="C379" s="17">
        <v>0.55529252280417096</v>
      </c>
      <c r="D379" s="17">
        <v>0.65546087054204805</v>
      </c>
      <c r="E379" s="17">
        <v>0.45634305962281502</v>
      </c>
      <c r="F379" s="17"/>
      <c r="G379" s="17">
        <v>0.64959781825374097</v>
      </c>
      <c r="H379" s="17">
        <v>0.47242911817960298</v>
      </c>
      <c r="I379" s="17">
        <v>0.53123592763791105</v>
      </c>
      <c r="J379" s="17">
        <v>0.54502207470358599</v>
      </c>
      <c r="K379" s="17"/>
      <c r="L379" s="17">
        <v>0.427848492002248</v>
      </c>
      <c r="M379" s="17">
        <v>0.62056948879412999</v>
      </c>
      <c r="N379" s="17">
        <v>0.64687914156172299</v>
      </c>
      <c r="O379" s="17">
        <v>0.51329552593257599</v>
      </c>
    </row>
    <row r="380" spans="2:15" x14ac:dyDescent="0.3">
      <c r="B380" t="s">
        <v>144</v>
      </c>
      <c r="C380" s="17">
        <v>0.22924727254791799</v>
      </c>
      <c r="D380" s="17">
        <v>0.15305156998699301</v>
      </c>
      <c r="E380" s="17">
        <v>0.30268125086712799</v>
      </c>
      <c r="F380" s="17"/>
      <c r="G380" s="17">
        <v>0.16551567177993501</v>
      </c>
      <c r="H380" s="17">
        <v>0.30082996953482599</v>
      </c>
      <c r="I380" s="17">
        <v>0.205152786894154</v>
      </c>
      <c r="J380" s="17">
        <v>0.25476070171100801</v>
      </c>
      <c r="K380" s="17"/>
      <c r="L380" s="17">
        <v>0.26195447565158198</v>
      </c>
      <c r="M380" s="17">
        <v>0.231235452524167</v>
      </c>
      <c r="N380" s="17">
        <v>0.17268125119553701</v>
      </c>
      <c r="O380" s="17">
        <v>0.255681126237914</v>
      </c>
    </row>
    <row r="381" spans="2:15" x14ac:dyDescent="0.3">
      <c r="C381" s="17"/>
      <c r="D381" s="17"/>
      <c r="E381" s="17"/>
      <c r="F381" s="17"/>
      <c r="G381" s="17"/>
      <c r="H381" s="17"/>
      <c r="I381" s="17"/>
      <c r="J381" s="17"/>
      <c r="K381" s="17"/>
      <c r="L381" s="17"/>
      <c r="M381" s="17"/>
      <c r="N381" s="17"/>
      <c r="O381" s="17"/>
    </row>
    <row r="382" spans="2:15" x14ac:dyDescent="0.3">
      <c r="B382" s="6" t="s">
        <v>180</v>
      </c>
      <c r="C382" s="17"/>
      <c r="D382" s="17"/>
      <c r="E382" s="17"/>
      <c r="F382" s="17"/>
      <c r="G382" s="17"/>
      <c r="H382" s="17"/>
      <c r="I382" s="17"/>
      <c r="J382" s="17"/>
      <c r="K382" s="17"/>
      <c r="L382" s="17"/>
      <c r="M382" s="17"/>
      <c r="N382" s="17"/>
      <c r="O382" s="17"/>
    </row>
    <row r="383" spans="2:15" x14ac:dyDescent="0.3">
      <c r="B383" s="23" t="s">
        <v>46</v>
      </c>
      <c r="C383" s="17"/>
      <c r="D383" s="17"/>
      <c r="E383" s="17"/>
      <c r="F383" s="17"/>
      <c r="G383" s="17"/>
      <c r="H383" s="17"/>
      <c r="I383" s="17"/>
      <c r="J383" s="17"/>
      <c r="K383" s="17"/>
      <c r="L383" s="17"/>
      <c r="M383" s="17"/>
      <c r="N383" s="17"/>
      <c r="O383" s="17"/>
    </row>
    <row r="384" spans="2:15" x14ac:dyDescent="0.3">
      <c r="B384" t="s">
        <v>169</v>
      </c>
      <c r="C384" s="17">
        <v>0.550388176172385</v>
      </c>
      <c r="D384" s="17">
        <v>0.60607162075610999</v>
      </c>
      <c r="E384" s="17">
        <v>0.49583725766609099</v>
      </c>
      <c r="F384" s="17"/>
      <c r="G384" s="17">
        <v>0.63372183789314995</v>
      </c>
      <c r="H384" s="17">
        <v>0.46893649360837197</v>
      </c>
      <c r="I384" s="17">
        <v>0.55336605451927601</v>
      </c>
      <c r="J384" s="17">
        <v>0.52808541854730995</v>
      </c>
      <c r="K384" s="17"/>
      <c r="L384" s="17">
        <v>0.51852716720778702</v>
      </c>
      <c r="M384" s="17">
        <v>0.51490907735590896</v>
      </c>
      <c r="N384" s="17">
        <v>0.57079415467307804</v>
      </c>
      <c r="O384" s="17">
        <v>0.59830961776077296</v>
      </c>
    </row>
    <row r="385" spans="2:15" x14ac:dyDescent="0.3">
      <c r="B385" t="s">
        <v>170</v>
      </c>
      <c r="C385" s="17">
        <v>0.40961032789144802</v>
      </c>
      <c r="D385" s="17">
        <v>0.43038840241585902</v>
      </c>
      <c r="E385" s="17">
        <v>0.38889917372258997</v>
      </c>
      <c r="F385" s="17"/>
      <c r="G385" s="17">
        <v>0.43755556302981002</v>
      </c>
      <c r="H385" s="17">
        <v>0.470431635757941</v>
      </c>
      <c r="I385" s="17">
        <v>0.41161130388467299</v>
      </c>
      <c r="J385" s="17">
        <v>0.305631825337844</v>
      </c>
      <c r="K385" s="17"/>
      <c r="L385" s="17">
        <v>0.27619695952278001</v>
      </c>
      <c r="M385" s="17">
        <v>0.504952187912733</v>
      </c>
      <c r="N385" s="17">
        <v>0.44780147867494902</v>
      </c>
      <c r="O385" s="17">
        <v>0.39908522137327501</v>
      </c>
    </row>
    <row r="386" spans="2:15" x14ac:dyDescent="0.3">
      <c r="B386" t="s">
        <v>171</v>
      </c>
      <c r="C386" s="17">
        <v>0.35021824241980798</v>
      </c>
      <c r="D386" s="17">
        <v>0.38608751550797399</v>
      </c>
      <c r="E386" s="17">
        <v>0.31400025535125498</v>
      </c>
      <c r="F386" s="17"/>
      <c r="G386" s="17">
        <v>0.431310411954346</v>
      </c>
      <c r="H386" s="17">
        <v>0.31421883336713202</v>
      </c>
      <c r="I386" s="17">
        <v>0.29799925402431399</v>
      </c>
      <c r="J386" s="17">
        <v>0.33596259197148798</v>
      </c>
      <c r="K386" s="17"/>
      <c r="L386" s="17">
        <v>0.27705156979745899</v>
      </c>
      <c r="M386" s="17">
        <v>0.39858920974568901</v>
      </c>
      <c r="N386" s="17">
        <v>0.36829434252773202</v>
      </c>
      <c r="O386" s="17">
        <v>0.35176703871103598</v>
      </c>
    </row>
    <row r="387" spans="2:15" x14ac:dyDescent="0.3">
      <c r="B387" t="s">
        <v>172</v>
      </c>
      <c r="C387" s="17">
        <v>0.30650005053235702</v>
      </c>
      <c r="D387" s="17">
        <v>0.375687908319493</v>
      </c>
      <c r="E387" s="17">
        <v>0.239624471813322</v>
      </c>
      <c r="F387" s="17"/>
      <c r="G387" s="17">
        <v>0.39003869004388297</v>
      </c>
      <c r="H387" s="17">
        <v>0.28552767553819502</v>
      </c>
      <c r="I387" s="17">
        <v>0.31319129504902299</v>
      </c>
      <c r="J387" s="17">
        <v>0.21789783469051699</v>
      </c>
      <c r="K387" s="17"/>
      <c r="L387" s="17">
        <v>0.24767126900304701</v>
      </c>
      <c r="M387" s="17">
        <v>0.26946439048596499</v>
      </c>
      <c r="N387" s="17">
        <v>0.33823204742240898</v>
      </c>
      <c r="O387" s="17">
        <v>0.37079389396553197</v>
      </c>
    </row>
    <row r="388" spans="2:15" x14ac:dyDescent="0.3">
      <c r="B388" t="s">
        <v>173</v>
      </c>
      <c r="C388" s="17">
        <v>0.26976273458627298</v>
      </c>
      <c r="D388" s="17">
        <v>0.24865339646868201</v>
      </c>
      <c r="E388" s="17">
        <v>0.292813888070386</v>
      </c>
      <c r="F388" s="17"/>
      <c r="G388" s="17">
        <v>0.33161459260107801</v>
      </c>
      <c r="H388" s="17">
        <v>0.23867372922218599</v>
      </c>
      <c r="I388" s="17">
        <v>0.28334494610211702</v>
      </c>
      <c r="J388" s="17">
        <v>0.214288806840461</v>
      </c>
      <c r="K388" s="17"/>
      <c r="L388" s="17">
        <v>0.20301029174190899</v>
      </c>
      <c r="M388" s="17">
        <v>0.23934429534132201</v>
      </c>
      <c r="N388" s="17">
        <v>0.30755555070198298</v>
      </c>
      <c r="O388" s="17">
        <v>0.328295826432428</v>
      </c>
    </row>
    <row r="389" spans="2:15" x14ac:dyDescent="0.3">
      <c r="B389" t="s">
        <v>174</v>
      </c>
      <c r="C389" s="17">
        <v>0.25787397910419702</v>
      </c>
      <c r="D389" s="17">
        <v>0.30237488361750298</v>
      </c>
      <c r="E389" s="17">
        <v>0.212361244341186</v>
      </c>
      <c r="F389" s="17"/>
      <c r="G389" s="17">
        <v>0.30532279049663802</v>
      </c>
      <c r="H389" s="17">
        <v>0.25562212949233398</v>
      </c>
      <c r="I389" s="17">
        <v>0.184375284435115</v>
      </c>
      <c r="J389" s="17">
        <v>0.26779204928900502</v>
      </c>
      <c r="K389" s="17"/>
      <c r="L389" s="17">
        <v>0.22033140067381499</v>
      </c>
      <c r="M389" s="17">
        <v>0.30974702001259302</v>
      </c>
      <c r="N389" s="17">
        <v>0.207243530806202</v>
      </c>
      <c r="O389" s="17">
        <v>0.29446339312261999</v>
      </c>
    </row>
    <row r="390" spans="2:15" x14ac:dyDescent="0.3">
      <c r="B390" t="s">
        <v>175</v>
      </c>
      <c r="C390" s="17">
        <v>0.169864977502553</v>
      </c>
      <c r="D390" s="17">
        <v>0.12500146128105599</v>
      </c>
      <c r="E390" s="17">
        <v>0.21156968703120599</v>
      </c>
      <c r="F390" s="17"/>
      <c r="G390" s="17">
        <v>0.11261606199539401</v>
      </c>
      <c r="H390" s="17">
        <v>0.217855932071642</v>
      </c>
      <c r="I390" s="17">
        <v>0.159153568504208</v>
      </c>
      <c r="J390" s="17">
        <v>0.20103216204934299</v>
      </c>
      <c r="K390" s="17"/>
      <c r="L390" s="17">
        <v>0.21886174869293601</v>
      </c>
      <c r="M390" s="17">
        <v>0.159170575830411</v>
      </c>
      <c r="N390" s="17">
        <v>0.109276405740152</v>
      </c>
      <c r="O390" s="17">
        <v>0.198010409338439</v>
      </c>
    </row>
    <row r="391" spans="2:15" x14ac:dyDescent="0.3">
      <c r="B391" t="s">
        <v>176</v>
      </c>
      <c r="C391" s="17">
        <v>0.115382163949551</v>
      </c>
      <c r="D391" s="17">
        <v>0.123307983259618</v>
      </c>
      <c r="E391" s="17">
        <v>0.108306185096571</v>
      </c>
      <c r="F391" s="17"/>
      <c r="G391" s="17">
        <v>0.153116207815789</v>
      </c>
      <c r="H391" s="17">
        <v>8.5216128689330206E-2</v>
      </c>
      <c r="I391" s="17">
        <v>0.124863784362963</v>
      </c>
      <c r="J391" s="17">
        <v>9.2768858253148401E-2</v>
      </c>
      <c r="K391" s="17"/>
      <c r="L391" s="17">
        <v>0.101640886250099</v>
      </c>
      <c r="M391" s="17">
        <v>0.10474248603311501</v>
      </c>
      <c r="N391" s="17">
        <v>0.111642184235914</v>
      </c>
      <c r="O391" s="17">
        <v>0.14462080046100201</v>
      </c>
    </row>
    <row r="392" spans="2:15" x14ac:dyDescent="0.3">
      <c r="B392" t="s">
        <v>177</v>
      </c>
      <c r="C392" s="17">
        <v>0.105385650505136</v>
      </c>
      <c r="D392" s="17">
        <v>0.12566608676928701</v>
      </c>
      <c r="E392" s="17">
        <v>8.5896265599977095E-2</v>
      </c>
      <c r="F392" s="17"/>
      <c r="G392" s="17">
        <v>0.15251609922279999</v>
      </c>
      <c r="H392" s="17">
        <v>7.2664192801225699E-2</v>
      </c>
      <c r="I392" s="17">
        <v>0.116218212048152</v>
      </c>
      <c r="J392" s="17">
        <v>7.2130615089087205E-2</v>
      </c>
      <c r="K392" s="17"/>
      <c r="L392" s="17">
        <v>6.5147370305180599E-2</v>
      </c>
      <c r="M392" s="17">
        <v>0.12543216900114801</v>
      </c>
      <c r="N392" s="17">
        <v>0.137899892381012</v>
      </c>
      <c r="O392" s="17">
        <v>8.8834974533244501E-2</v>
      </c>
    </row>
    <row r="393" spans="2:15" x14ac:dyDescent="0.3">
      <c r="B393" t="s">
        <v>178</v>
      </c>
      <c r="C393" s="17">
        <v>0.104288636520985</v>
      </c>
      <c r="D393" s="17">
        <v>0.13258339420114301</v>
      </c>
      <c r="E393" s="17">
        <v>7.6786055412338405E-2</v>
      </c>
      <c r="F393" s="17"/>
      <c r="G393" s="17">
        <v>0.15009267751195299</v>
      </c>
      <c r="H393" s="17">
        <v>8.8710442008948495E-2</v>
      </c>
      <c r="I393" s="17">
        <v>7.3779046505923901E-2</v>
      </c>
      <c r="J393" s="17">
        <v>9.1022776996857499E-2</v>
      </c>
      <c r="K393" s="17"/>
      <c r="L393" s="17">
        <v>0.102524925621695</v>
      </c>
      <c r="M393" s="17">
        <v>8.78290950856144E-2</v>
      </c>
      <c r="N393" s="17">
        <v>0.123991453382162</v>
      </c>
      <c r="O393" s="17">
        <v>0.102414105546596</v>
      </c>
    </row>
    <row r="394" spans="2:15" x14ac:dyDescent="0.3">
      <c r="B394" t="s">
        <v>179</v>
      </c>
      <c r="C394" s="17">
        <v>1.1551293024114799E-3</v>
      </c>
      <c r="D394" s="17">
        <v>0</v>
      </c>
      <c r="E394" s="17">
        <v>2.31736193529872E-3</v>
      </c>
      <c r="F394" s="17"/>
      <c r="G394" s="17">
        <v>3.8668710284980698E-3</v>
      </c>
      <c r="H394" s="17">
        <v>0</v>
      </c>
      <c r="I394" s="17">
        <v>0</v>
      </c>
      <c r="J394" s="17">
        <v>0</v>
      </c>
      <c r="K394" s="17"/>
      <c r="L394" s="17">
        <v>0</v>
      </c>
      <c r="M394" s="17">
        <v>0</v>
      </c>
      <c r="N394" s="17">
        <v>4.4347271819853203E-3</v>
      </c>
      <c r="O394" s="17">
        <v>0</v>
      </c>
    </row>
    <row r="395" spans="2:15" x14ac:dyDescent="0.3">
      <c r="C395" s="17"/>
      <c r="D395" s="17"/>
      <c r="E395" s="17"/>
      <c r="F395" s="17"/>
      <c r="G395" s="17"/>
      <c r="H395" s="17"/>
      <c r="I395" s="17"/>
      <c r="J395" s="17"/>
      <c r="K395" s="17"/>
      <c r="L395" s="17"/>
      <c r="M395" s="17"/>
      <c r="N395" s="17"/>
      <c r="O395" s="17"/>
    </row>
    <row r="396" spans="2:15" x14ac:dyDescent="0.3">
      <c r="B396" s="6" t="s">
        <v>194</v>
      </c>
      <c r="C396" s="17"/>
      <c r="D396" s="17"/>
      <c r="E396" s="17"/>
      <c r="F396" s="17"/>
      <c r="G396" s="17"/>
      <c r="H396" s="17"/>
      <c r="I396" s="17"/>
      <c r="J396" s="17"/>
      <c r="K396" s="17"/>
      <c r="L396" s="17"/>
      <c r="M396" s="17"/>
      <c r="N396" s="17"/>
      <c r="O396" s="17"/>
    </row>
    <row r="397" spans="2:15" x14ac:dyDescent="0.3">
      <c r="B397" s="23" t="s">
        <v>46</v>
      </c>
      <c r="C397" s="17"/>
      <c r="D397" s="17"/>
      <c r="E397" s="17"/>
      <c r="F397" s="17"/>
      <c r="G397" s="17"/>
      <c r="H397" s="17"/>
      <c r="I397" s="17"/>
      <c r="J397" s="17"/>
      <c r="K397" s="17"/>
      <c r="L397" s="17"/>
      <c r="M397" s="17"/>
      <c r="N397" s="17"/>
      <c r="O397" s="17"/>
    </row>
    <row r="398" spans="2:15" x14ac:dyDescent="0.3">
      <c r="B398" t="s">
        <v>181</v>
      </c>
      <c r="C398" s="17">
        <v>0.58921526423800996</v>
      </c>
      <c r="D398" s="17">
        <v>0.67408040549824599</v>
      </c>
      <c r="E398" s="17">
        <v>0.50579879848076603</v>
      </c>
      <c r="F398" s="17"/>
      <c r="G398" s="17">
        <v>0.642011763485552</v>
      </c>
      <c r="H398" s="17">
        <v>0.52353741351748095</v>
      </c>
      <c r="I398" s="17">
        <v>0.56546643429823895</v>
      </c>
      <c r="J398" s="17">
        <v>0.62138554874262797</v>
      </c>
      <c r="K398" s="17"/>
      <c r="L398" s="17">
        <v>0.54414049066720405</v>
      </c>
      <c r="M398" s="17">
        <v>0.61965793206517095</v>
      </c>
      <c r="N398" s="17">
        <v>0.64527452476798997</v>
      </c>
      <c r="O398" s="17">
        <v>0.54081024169332903</v>
      </c>
    </row>
    <row r="399" spans="2:15" x14ac:dyDescent="0.3">
      <c r="B399" t="s">
        <v>182</v>
      </c>
      <c r="C399" s="17">
        <v>0.35733831903776597</v>
      </c>
      <c r="D399" s="17">
        <v>0.35546032563052099</v>
      </c>
      <c r="E399" s="17">
        <v>0.361818198542532</v>
      </c>
      <c r="F399" s="17"/>
      <c r="G399" s="17">
        <v>0.43749876344352001</v>
      </c>
      <c r="H399" s="17">
        <v>0.34365185257346698</v>
      </c>
      <c r="I399" s="17">
        <v>0.32054459285839598</v>
      </c>
      <c r="J399" s="17">
        <v>0.30495083742256801</v>
      </c>
      <c r="K399" s="17"/>
      <c r="L399" s="17">
        <v>0.32565437269508302</v>
      </c>
      <c r="M399" s="17">
        <v>0.38627545181231798</v>
      </c>
      <c r="N399" s="17">
        <v>0.371407565451851</v>
      </c>
      <c r="O399" s="17">
        <v>0.34265124196226299</v>
      </c>
    </row>
    <row r="400" spans="2:15" x14ac:dyDescent="0.3">
      <c r="B400" t="s">
        <v>183</v>
      </c>
      <c r="C400" s="17">
        <v>0.29257324522136002</v>
      </c>
      <c r="D400" s="17">
        <v>0.39028939911483401</v>
      </c>
      <c r="E400" s="17">
        <v>0.19710034412431399</v>
      </c>
      <c r="F400" s="17"/>
      <c r="G400" s="17">
        <v>0.34294619297934598</v>
      </c>
      <c r="H400" s="17">
        <v>0.26237713685116898</v>
      </c>
      <c r="I400" s="17">
        <v>0.26671260612133002</v>
      </c>
      <c r="J400" s="17">
        <v>0.287202193135428</v>
      </c>
      <c r="K400" s="17"/>
      <c r="L400" s="17">
        <v>0.20784130189342001</v>
      </c>
      <c r="M400" s="17">
        <v>0.32325422308318302</v>
      </c>
      <c r="N400" s="17">
        <v>0.29847273398694102</v>
      </c>
      <c r="O400" s="17">
        <v>0.33790878135341401</v>
      </c>
    </row>
    <row r="401" spans="2:15" x14ac:dyDescent="0.3">
      <c r="B401" t="s">
        <v>184</v>
      </c>
      <c r="C401" s="17">
        <v>0.21818244192764499</v>
      </c>
      <c r="D401" s="17">
        <v>0.25280171440404497</v>
      </c>
      <c r="E401" s="17">
        <v>0.18519251828348701</v>
      </c>
      <c r="F401" s="17"/>
      <c r="G401" s="17">
        <v>0.30146888592361898</v>
      </c>
      <c r="H401" s="17">
        <v>0.14697652689398</v>
      </c>
      <c r="I401" s="17">
        <v>0.21767761059038601</v>
      </c>
      <c r="J401" s="17">
        <v>0.19278764782617899</v>
      </c>
      <c r="K401" s="17"/>
      <c r="L401" s="17">
        <v>0.17794382240967499</v>
      </c>
      <c r="M401" s="17">
        <v>0.24902605837740599</v>
      </c>
      <c r="N401" s="17">
        <v>0.25274606534646099</v>
      </c>
      <c r="O401" s="17">
        <v>0.18779688201563999</v>
      </c>
    </row>
    <row r="402" spans="2:15" x14ac:dyDescent="0.3">
      <c r="B402" t="s">
        <v>185</v>
      </c>
      <c r="C402" s="17">
        <v>0.20670169026280699</v>
      </c>
      <c r="D402" s="17">
        <v>0.23443356783628699</v>
      </c>
      <c r="E402" s="17">
        <v>0.17756599444045401</v>
      </c>
      <c r="F402" s="17"/>
      <c r="G402" s="17">
        <v>0.30198277093889703</v>
      </c>
      <c r="H402" s="17">
        <v>0.156942096456721</v>
      </c>
      <c r="I402" s="17">
        <v>0.16851253938344599</v>
      </c>
      <c r="J402" s="17">
        <v>0.175653883913514</v>
      </c>
      <c r="K402" s="17"/>
      <c r="L402" s="17">
        <v>0.15386953349794399</v>
      </c>
      <c r="M402" s="17">
        <v>0.22658397880557701</v>
      </c>
      <c r="N402" s="17">
        <v>0.22062377183076401</v>
      </c>
      <c r="O402" s="17">
        <v>0.22306306947243401</v>
      </c>
    </row>
    <row r="403" spans="2:15" x14ac:dyDescent="0.3">
      <c r="B403" t="s">
        <v>186</v>
      </c>
      <c r="C403" s="17">
        <v>0.18984691665408801</v>
      </c>
      <c r="D403" s="17">
        <v>0.213314996668687</v>
      </c>
      <c r="E403" s="17">
        <v>0.167789007783995</v>
      </c>
      <c r="F403" s="17"/>
      <c r="G403" s="17">
        <v>0.22691967999065499</v>
      </c>
      <c r="H403" s="17">
        <v>0.185378517675509</v>
      </c>
      <c r="I403" s="17">
        <v>0.156576451582145</v>
      </c>
      <c r="J403" s="17">
        <v>0.17853430454171601</v>
      </c>
      <c r="K403" s="17"/>
      <c r="L403" s="17">
        <v>0.13725103937348301</v>
      </c>
      <c r="M403" s="17">
        <v>0.19834276184822799</v>
      </c>
      <c r="N403" s="17">
        <v>0.19494561467433699</v>
      </c>
      <c r="O403" s="17">
        <v>0.22777973458269599</v>
      </c>
    </row>
    <row r="404" spans="2:15" x14ac:dyDescent="0.3">
      <c r="B404" t="s">
        <v>187</v>
      </c>
      <c r="C404" s="17">
        <v>0.18733104765917</v>
      </c>
      <c r="D404" s="17">
        <v>0.15858985549896201</v>
      </c>
      <c r="E404" s="17">
        <v>0.217404668460109</v>
      </c>
      <c r="F404" s="17"/>
      <c r="G404" s="17">
        <v>0.27392554460200202</v>
      </c>
      <c r="H404" s="17">
        <v>0.14792381751880901</v>
      </c>
      <c r="I404" s="17">
        <v>8.9615466046087305E-2</v>
      </c>
      <c r="J404" s="17">
        <v>0.21000916184565299</v>
      </c>
      <c r="K404" s="17"/>
      <c r="L404" s="17">
        <v>0.15316456528365099</v>
      </c>
      <c r="M404" s="17">
        <v>0.17637151765981901</v>
      </c>
      <c r="N404" s="17">
        <v>0.22026880714518099</v>
      </c>
      <c r="O404" s="17">
        <v>0.19760475468172201</v>
      </c>
    </row>
    <row r="405" spans="2:15" x14ac:dyDescent="0.3">
      <c r="B405" t="s">
        <v>188</v>
      </c>
      <c r="C405" s="17">
        <v>0.17324576207824899</v>
      </c>
      <c r="D405" s="17">
        <v>0.18468826282687401</v>
      </c>
      <c r="E405" s="17">
        <v>0.16307877142726199</v>
      </c>
      <c r="F405" s="17"/>
      <c r="G405" s="17">
        <v>0.19920909180240301</v>
      </c>
      <c r="H405" s="17">
        <v>0.178651335535078</v>
      </c>
      <c r="I405" s="17">
        <v>0.18217786094449501</v>
      </c>
      <c r="J405" s="17">
        <v>0.118609372955014</v>
      </c>
      <c r="K405" s="17"/>
      <c r="L405" s="17">
        <v>0.16307604532193501</v>
      </c>
      <c r="M405" s="17">
        <v>0.16657957060193301</v>
      </c>
      <c r="N405" s="17">
        <v>0.17723596810836001</v>
      </c>
      <c r="O405" s="17">
        <v>0.18626396161737399</v>
      </c>
    </row>
    <row r="406" spans="2:15" x14ac:dyDescent="0.3">
      <c r="B406" t="s">
        <v>189</v>
      </c>
      <c r="C406" s="17">
        <v>0.167697119353652</v>
      </c>
      <c r="D406" s="17">
        <v>0.21241254721792499</v>
      </c>
      <c r="E406" s="17">
        <v>0.124254628192888</v>
      </c>
      <c r="F406" s="17"/>
      <c r="G406" s="17">
        <v>0.23856315004084899</v>
      </c>
      <c r="H406" s="17">
        <v>0.117356177819833</v>
      </c>
      <c r="I406" s="17">
        <v>0.14556343117856599</v>
      </c>
      <c r="J406" s="17">
        <v>0.15412511512142599</v>
      </c>
      <c r="K406" s="17"/>
      <c r="L406" s="17">
        <v>0.11514714742957199</v>
      </c>
      <c r="M406" s="17">
        <v>0.16575993299379199</v>
      </c>
      <c r="N406" s="17">
        <v>0.17662512766088501</v>
      </c>
      <c r="O406" s="17">
        <v>0.212659025180502</v>
      </c>
    </row>
    <row r="407" spans="2:15" x14ac:dyDescent="0.3">
      <c r="B407" t="s">
        <v>190</v>
      </c>
      <c r="C407" s="17">
        <v>0.111265298366855</v>
      </c>
      <c r="D407" s="17">
        <v>9.3890520016654905E-2</v>
      </c>
      <c r="E407" s="17">
        <v>0.129431127012895</v>
      </c>
      <c r="F407" s="17"/>
      <c r="G407" s="17">
        <v>0.16403325476486899</v>
      </c>
      <c r="H407" s="17">
        <v>6.8689583845794697E-2</v>
      </c>
      <c r="I407" s="17">
        <v>9.62577300606762E-2</v>
      </c>
      <c r="J407" s="17">
        <v>0.105484857073451</v>
      </c>
      <c r="K407" s="17"/>
      <c r="L407" s="17">
        <v>0.13618273222642599</v>
      </c>
      <c r="M407" s="17">
        <v>9.2764952982396301E-2</v>
      </c>
      <c r="N407" s="17">
        <v>0.143276358555986</v>
      </c>
      <c r="O407" s="17">
        <v>7.1571102670521303E-2</v>
      </c>
    </row>
    <row r="408" spans="2:15" x14ac:dyDescent="0.3">
      <c r="B408" t="s">
        <v>191</v>
      </c>
      <c r="C408" s="17">
        <v>0.10889835668162499</v>
      </c>
      <c r="D408" s="17">
        <v>0.120278923007569</v>
      </c>
      <c r="E408" s="17">
        <v>9.8324312657308205E-2</v>
      </c>
      <c r="F408" s="17"/>
      <c r="G408" s="17">
        <v>0.13787627789276499</v>
      </c>
      <c r="H408" s="17">
        <v>0.107679977627965</v>
      </c>
      <c r="I408" s="17">
        <v>6.0612882696981001E-2</v>
      </c>
      <c r="J408" s="17">
        <v>0.11749338910412099</v>
      </c>
      <c r="K408" s="17"/>
      <c r="L408" s="17">
        <v>8.3093551811917798E-2</v>
      </c>
      <c r="M408" s="17">
        <v>6.2202519505574802E-2</v>
      </c>
      <c r="N408" s="17">
        <v>0.13138343957981599</v>
      </c>
      <c r="O408" s="17">
        <v>0.16057772234343801</v>
      </c>
    </row>
    <row r="409" spans="2:15" x14ac:dyDescent="0.3">
      <c r="B409" t="s">
        <v>192</v>
      </c>
      <c r="C409" s="17">
        <v>0.102860537118829</v>
      </c>
      <c r="D409" s="17">
        <v>0.163414740358266</v>
      </c>
      <c r="E409" s="17">
        <v>4.3124811358768597E-2</v>
      </c>
      <c r="F409" s="17"/>
      <c r="G409" s="17">
        <v>0.10323758670367</v>
      </c>
      <c r="H409" s="17">
        <v>0.127352566265031</v>
      </c>
      <c r="I409" s="17">
        <v>8.2178311271175405E-2</v>
      </c>
      <c r="J409" s="17">
        <v>9.42626794306856E-2</v>
      </c>
      <c r="K409" s="17"/>
      <c r="L409" s="17">
        <v>6.0086882713345301E-2</v>
      </c>
      <c r="M409" s="17">
        <v>0.13540016066237201</v>
      </c>
      <c r="N409" s="17">
        <v>0.112680492109954</v>
      </c>
      <c r="O409" s="17">
        <v>9.9991160411327107E-2</v>
      </c>
    </row>
    <row r="410" spans="2:15" x14ac:dyDescent="0.3">
      <c r="B410" t="s">
        <v>193</v>
      </c>
      <c r="C410" s="17">
        <v>8.2542682342068602E-2</v>
      </c>
      <c r="D410" s="17">
        <v>0.107167429032373</v>
      </c>
      <c r="E410" s="17">
        <v>5.8547467359897999E-2</v>
      </c>
      <c r="F410" s="17"/>
      <c r="G410" s="17">
        <v>0.123116559270738</v>
      </c>
      <c r="H410" s="17">
        <v>5.8406870354852897E-2</v>
      </c>
      <c r="I410" s="17">
        <v>7.9998348111779E-2</v>
      </c>
      <c r="J410" s="17">
        <v>6.0103433316865303E-2</v>
      </c>
      <c r="K410" s="17"/>
      <c r="L410" s="17">
        <v>5.9037114017183298E-2</v>
      </c>
      <c r="M410" s="17">
        <v>0.101200869605553</v>
      </c>
      <c r="N410" s="17">
        <v>0.101052501625447</v>
      </c>
      <c r="O410" s="17">
        <v>6.5924260144697905E-2</v>
      </c>
    </row>
    <row r="411" spans="2:15" x14ac:dyDescent="0.3">
      <c r="B411" t="s">
        <v>44</v>
      </c>
      <c r="C411" s="17">
        <v>0.193051870907127</v>
      </c>
      <c r="D411" s="17">
        <v>0.12954224959128999</v>
      </c>
      <c r="E411" s="17">
        <v>0.25355043751816098</v>
      </c>
      <c r="F411" s="17"/>
      <c r="G411" s="17">
        <v>0.14673094016345301</v>
      </c>
      <c r="H411" s="17">
        <v>0.22220227319292499</v>
      </c>
      <c r="I411" s="17">
        <v>0.22710686550461101</v>
      </c>
      <c r="J411" s="17">
        <v>0.19070959087051001</v>
      </c>
      <c r="K411" s="17"/>
      <c r="L411" s="17">
        <v>0.244065847340697</v>
      </c>
      <c r="M411" s="17">
        <v>0.17232680274555001</v>
      </c>
      <c r="N411" s="17">
        <v>0.13823268826867599</v>
      </c>
      <c r="O411" s="17">
        <v>0.223720491414787</v>
      </c>
    </row>
    <row r="412" spans="2:15" x14ac:dyDescent="0.3">
      <c r="C412" s="17"/>
      <c r="D412" s="17"/>
      <c r="E412" s="17"/>
      <c r="F412" s="17"/>
      <c r="G412" s="17"/>
      <c r="H412" s="17"/>
      <c r="I412" s="17"/>
      <c r="J412" s="17"/>
      <c r="K412" s="17"/>
      <c r="L412" s="17"/>
      <c r="M412" s="17"/>
      <c r="N412" s="17"/>
      <c r="O412" s="17"/>
    </row>
    <row r="413" spans="2:15" x14ac:dyDescent="0.3">
      <c r="B413" s="6" t="s">
        <v>213</v>
      </c>
      <c r="C413" s="17"/>
      <c r="D413" s="17"/>
      <c r="E413" s="17"/>
      <c r="F413" s="17"/>
      <c r="G413" s="17"/>
      <c r="H413" s="17"/>
      <c r="I413" s="17"/>
      <c r="J413" s="17"/>
      <c r="K413" s="17"/>
      <c r="L413" s="17"/>
      <c r="M413" s="17"/>
      <c r="N413" s="17"/>
      <c r="O413" s="17"/>
    </row>
    <row r="414" spans="2:15" x14ac:dyDescent="0.3">
      <c r="B414" s="23" t="s">
        <v>46</v>
      </c>
      <c r="C414" s="17"/>
      <c r="D414" s="17"/>
      <c r="E414" s="17"/>
      <c r="F414" s="17"/>
      <c r="G414" s="17"/>
      <c r="H414" s="17"/>
      <c r="I414" s="17"/>
      <c r="J414" s="17"/>
      <c r="K414" s="17"/>
      <c r="L414" s="17"/>
      <c r="M414" s="17"/>
      <c r="N414" s="17"/>
      <c r="O414" s="17"/>
    </row>
    <row r="415" spans="2:15" x14ac:dyDescent="0.3">
      <c r="B415" t="s">
        <v>195</v>
      </c>
      <c r="C415" s="17">
        <v>0.65395775891874497</v>
      </c>
      <c r="D415" s="17">
        <v>0.753835911556335</v>
      </c>
      <c r="E415" s="17">
        <v>0.55601716146108704</v>
      </c>
      <c r="F415" s="17"/>
      <c r="G415" s="17">
        <v>0.71946894756524404</v>
      </c>
      <c r="H415" s="17">
        <v>0.65178746664370701</v>
      </c>
      <c r="I415" s="17">
        <v>0.61417366002402096</v>
      </c>
      <c r="J415" s="17">
        <v>0.61264832931066404</v>
      </c>
      <c r="K415" s="17"/>
      <c r="L415" s="17">
        <v>0.59376963837363606</v>
      </c>
      <c r="M415" s="17">
        <v>0.69921179158403002</v>
      </c>
      <c r="N415" s="17">
        <v>0.71113356499373703</v>
      </c>
      <c r="O415" s="17">
        <v>0.60352305440935305</v>
      </c>
    </row>
    <row r="416" spans="2:15" x14ac:dyDescent="0.3">
      <c r="B416" t="s">
        <v>196</v>
      </c>
      <c r="C416" s="17">
        <v>0.236483701222542</v>
      </c>
      <c r="D416" s="17">
        <v>0.19137506872704901</v>
      </c>
      <c r="E416" s="17">
        <v>0.28326432689625503</v>
      </c>
      <c r="F416" s="17"/>
      <c r="G416" s="17">
        <v>0.28155266053065803</v>
      </c>
      <c r="H416" s="17">
        <v>0.21261453023837801</v>
      </c>
      <c r="I416" s="17">
        <v>0.22708437725292499</v>
      </c>
      <c r="J416" s="17">
        <v>0.207436416452661</v>
      </c>
      <c r="K416" s="17"/>
      <c r="L416" s="17">
        <v>0.211810846785395</v>
      </c>
      <c r="M416" s="17">
        <v>0.206737959862066</v>
      </c>
      <c r="N416" s="17">
        <v>0.27371402760524999</v>
      </c>
      <c r="O416" s="17">
        <v>0.25282290869347901</v>
      </c>
    </row>
    <row r="417" spans="2:15" x14ac:dyDescent="0.3">
      <c r="B417" t="s">
        <v>197</v>
      </c>
      <c r="C417" s="17">
        <v>0.19758958116893299</v>
      </c>
      <c r="D417" s="17">
        <v>0.202029953049913</v>
      </c>
      <c r="E417" s="17">
        <v>0.19459415183341999</v>
      </c>
      <c r="F417" s="17"/>
      <c r="G417" s="17">
        <v>0.30143086793121199</v>
      </c>
      <c r="H417" s="17">
        <v>0.16752845860544599</v>
      </c>
      <c r="I417" s="17">
        <v>0.19870514752118401</v>
      </c>
      <c r="J417" s="17">
        <v>9.7102234055053097E-2</v>
      </c>
      <c r="K417" s="17"/>
      <c r="L417" s="17">
        <v>0.19248297837498601</v>
      </c>
      <c r="M417" s="17">
        <v>0.215135232956641</v>
      </c>
      <c r="N417" s="17">
        <v>0.187143663467149</v>
      </c>
      <c r="O417" s="17">
        <v>0.195137726974247</v>
      </c>
    </row>
    <row r="418" spans="2:15" x14ac:dyDescent="0.3">
      <c r="B418" t="s">
        <v>198</v>
      </c>
      <c r="C418" s="17">
        <v>0.192126980244123</v>
      </c>
      <c r="D418" s="17">
        <v>0.130531306091591</v>
      </c>
      <c r="E418" s="17">
        <v>0.25070703762902602</v>
      </c>
      <c r="F418" s="17"/>
      <c r="G418" s="17">
        <v>0.142680629228459</v>
      </c>
      <c r="H418" s="17">
        <v>0.20501556283259001</v>
      </c>
      <c r="I418" s="17">
        <v>0.18425686834301999</v>
      </c>
      <c r="J418" s="17">
        <v>0.25056189373481103</v>
      </c>
      <c r="K418" s="17"/>
      <c r="L418" s="17">
        <v>0.23143694612843899</v>
      </c>
      <c r="M418" s="17">
        <v>0.176568078492324</v>
      </c>
      <c r="N418" s="17">
        <v>0.132120113393357</v>
      </c>
      <c r="O418" s="17">
        <v>0.234562059878103</v>
      </c>
    </row>
    <row r="419" spans="2:15" x14ac:dyDescent="0.3">
      <c r="B419" t="s">
        <v>199</v>
      </c>
      <c r="C419" s="17">
        <v>0.189658987993991</v>
      </c>
      <c r="D419" s="17">
        <v>0.24319101682583699</v>
      </c>
      <c r="E419" s="17">
        <v>0.13462830389713801</v>
      </c>
      <c r="F419" s="17"/>
      <c r="G419" s="17">
        <v>0.22980902086789701</v>
      </c>
      <c r="H419" s="17">
        <v>0.13609499649461401</v>
      </c>
      <c r="I419" s="17">
        <v>0.21386392312691299</v>
      </c>
      <c r="J419" s="17">
        <v>0.177609550265169</v>
      </c>
      <c r="K419" s="17"/>
      <c r="L419" s="17">
        <v>0.18088962990455101</v>
      </c>
      <c r="M419" s="17">
        <v>0.17683367410714701</v>
      </c>
      <c r="N419" s="17">
        <v>0.17733095253452</v>
      </c>
      <c r="O419" s="17">
        <v>0.22558064640643399</v>
      </c>
    </row>
    <row r="420" spans="2:15" x14ac:dyDescent="0.3">
      <c r="B420" t="s">
        <v>200</v>
      </c>
      <c r="C420" s="17">
        <v>0.1699191064043</v>
      </c>
      <c r="D420" s="17">
        <v>0.216314309522883</v>
      </c>
      <c r="E420" s="17">
        <v>0.124814943630671</v>
      </c>
      <c r="F420" s="17"/>
      <c r="G420" s="17">
        <v>0.20266029181539699</v>
      </c>
      <c r="H420" s="17">
        <v>0.1615813670515</v>
      </c>
      <c r="I420" s="17">
        <v>0.200530082228462</v>
      </c>
      <c r="J420" s="17">
        <v>0.110180396854431</v>
      </c>
      <c r="K420" s="17"/>
      <c r="L420" s="17">
        <v>0.111230980589997</v>
      </c>
      <c r="M420" s="17">
        <v>0.177429856657813</v>
      </c>
      <c r="N420" s="17">
        <v>0.22491673860605099</v>
      </c>
      <c r="O420" s="17">
        <v>0.16094671751519901</v>
      </c>
    </row>
    <row r="421" spans="2:15" x14ac:dyDescent="0.3">
      <c r="B421" t="s">
        <v>201</v>
      </c>
      <c r="C421" s="17">
        <v>0.150784188966749</v>
      </c>
      <c r="D421" s="17">
        <v>0.10578022719529601</v>
      </c>
      <c r="E421" s="17">
        <v>0.19389408045831699</v>
      </c>
      <c r="F421" s="17"/>
      <c r="G421" s="17">
        <v>0.207244655448904</v>
      </c>
      <c r="H421" s="17">
        <v>0.14878823123052401</v>
      </c>
      <c r="I421" s="17">
        <v>8.3172726631682903E-2</v>
      </c>
      <c r="J421" s="17">
        <v>0.14246073160370601</v>
      </c>
      <c r="K421" s="17"/>
      <c r="L421" s="17">
        <v>0.19005737777698101</v>
      </c>
      <c r="M421" s="17">
        <v>0.15192501110329501</v>
      </c>
      <c r="N421" s="17">
        <v>0.140473119394981</v>
      </c>
      <c r="O421" s="17">
        <v>0.121454077469953</v>
      </c>
    </row>
    <row r="422" spans="2:15" x14ac:dyDescent="0.3">
      <c r="B422" t="s">
        <v>202</v>
      </c>
      <c r="C422" s="17">
        <v>0.14656836331915399</v>
      </c>
      <c r="D422" s="17">
        <v>0.17403461001001699</v>
      </c>
      <c r="E422" s="17">
        <v>0.120201454491559</v>
      </c>
      <c r="F422" s="17"/>
      <c r="G422" s="17">
        <v>0.19055795194152</v>
      </c>
      <c r="H422" s="17">
        <v>0.12789423757402801</v>
      </c>
      <c r="I422" s="17">
        <v>0.116369593792018</v>
      </c>
      <c r="J422" s="17">
        <v>0.139229529073708</v>
      </c>
      <c r="K422" s="17"/>
      <c r="L422" s="17">
        <v>0.14489915136502099</v>
      </c>
      <c r="M422" s="17">
        <v>0.131888329583915</v>
      </c>
      <c r="N422" s="17">
        <v>0.14173662094925499</v>
      </c>
      <c r="O422" s="17">
        <v>0.169264120343736</v>
      </c>
    </row>
    <row r="423" spans="2:15" x14ac:dyDescent="0.3">
      <c r="B423" t="s">
        <v>203</v>
      </c>
      <c r="C423" s="17">
        <v>0.124822677236079</v>
      </c>
      <c r="D423" s="17">
        <v>0.14608545895257</v>
      </c>
      <c r="E423" s="17">
        <v>0.10449370766847101</v>
      </c>
      <c r="F423" s="17"/>
      <c r="G423" s="17">
        <v>0.185435880990619</v>
      </c>
      <c r="H423" s="17">
        <v>9.7204411147214204E-2</v>
      </c>
      <c r="I423" s="17">
        <v>0.11117850891447401</v>
      </c>
      <c r="J423" s="17">
        <v>9.0718600736586094E-2</v>
      </c>
      <c r="K423" s="17"/>
      <c r="L423" s="17">
        <v>0.11466763992522901</v>
      </c>
      <c r="M423" s="17">
        <v>0.136160905739004</v>
      </c>
      <c r="N423" s="17">
        <v>0.15104537270271801</v>
      </c>
      <c r="O423" s="17">
        <v>9.43726092503782E-2</v>
      </c>
    </row>
    <row r="424" spans="2:15" x14ac:dyDescent="0.3">
      <c r="B424" t="s">
        <v>204</v>
      </c>
      <c r="C424" s="17">
        <v>9.8020802934594101E-2</v>
      </c>
      <c r="D424" s="17">
        <v>0.121710289002573</v>
      </c>
      <c r="E424" s="17">
        <v>7.5072577687415099E-2</v>
      </c>
      <c r="F424" s="17"/>
      <c r="G424" s="17">
        <v>0.208101701927835</v>
      </c>
      <c r="H424" s="17">
        <v>9.2355407615640595E-2</v>
      </c>
      <c r="I424" s="17">
        <v>3.7939239297705298E-2</v>
      </c>
      <c r="J424" s="17">
        <v>1.6782232514293598E-2</v>
      </c>
      <c r="K424" s="17"/>
      <c r="L424" s="17">
        <v>3.3738972328922798E-2</v>
      </c>
      <c r="M424" s="17">
        <v>0.11851904540649801</v>
      </c>
      <c r="N424" s="17">
        <v>0.15694398202485099</v>
      </c>
      <c r="O424" s="17">
        <v>7.6418049896953097E-2</v>
      </c>
    </row>
    <row r="425" spans="2:15" x14ac:dyDescent="0.3">
      <c r="B425" t="s">
        <v>205</v>
      </c>
      <c r="C425" s="17">
        <v>8.5769536369015006E-2</v>
      </c>
      <c r="D425" s="17">
        <v>4.6558025420231998E-2</v>
      </c>
      <c r="E425" s="17">
        <v>0.125561455042455</v>
      </c>
      <c r="F425" s="17"/>
      <c r="G425" s="17">
        <v>0.10441490830753999</v>
      </c>
      <c r="H425" s="17">
        <v>9.5293494530775999E-2</v>
      </c>
      <c r="I425" s="17">
        <v>5.3769840192302999E-2</v>
      </c>
      <c r="J425" s="17">
        <v>8.0575222643475997E-2</v>
      </c>
      <c r="K425" s="17"/>
      <c r="L425" s="17">
        <v>0.10216151377159099</v>
      </c>
      <c r="M425" s="17">
        <v>7.3236517028191603E-2</v>
      </c>
      <c r="N425" s="17">
        <v>6.28192917611681E-2</v>
      </c>
      <c r="O425" s="17">
        <v>0.10772281446128</v>
      </c>
    </row>
    <row r="426" spans="2:15" x14ac:dyDescent="0.3">
      <c r="B426" t="s">
        <v>206</v>
      </c>
      <c r="C426" s="17">
        <v>8.0093645831008503E-2</v>
      </c>
      <c r="D426" s="17">
        <v>0.11300548888222101</v>
      </c>
      <c r="E426" s="17">
        <v>4.7802917528010601E-2</v>
      </c>
      <c r="F426" s="17"/>
      <c r="G426" s="17">
        <v>0.13945440101235601</v>
      </c>
      <c r="H426" s="17">
        <v>8.5607351998373896E-2</v>
      </c>
      <c r="I426" s="17">
        <v>5.8828637118464297E-2</v>
      </c>
      <c r="J426" s="17">
        <v>1.6616402877356599E-2</v>
      </c>
      <c r="K426" s="17"/>
      <c r="L426" s="17">
        <v>4.8353921401645399E-2</v>
      </c>
      <c r="M426" s="17">
        <v>8.4416228077438996E-2</v>
      </c>
      <c r="N426" s="17">
        <v>0.117133482368529</v>
      </c>
      <c r="O426" s="17">
        <v>6.7056830079624805E-2</v>
      </c>
    </row>
    <row r="427" spans="2:15" x14ac:dyDescent="0.3">
      <c r="B427" t="s">
        <v>207</v>
      </c>
      <c r="C427" s="17">
        <v>6.73128020254984E-2</v>
      </c>
      <c r="D427" s="17">
        <v>8.1748245452760396E-2</v>
      </c>
      <c r="E427" s="17">
        <v>5.3384311603224599E-2</v>
      </c>
      <c r="F427" s="17"/>
      <c r="G427" s="17">
        <v>9.5245991060234694E-2</v>
      </c>
      <c r="H427" s="17">
        <v>2.94588760489022E-2</v>
      </c>
      <c r="I427" s="17">
        <v>7.4430777620067903E-2</v>
      </c>
      <c r="J427" s="17">
        <v>6.7956925626455195E-2</v>
      </c>
      <c r="K427" s="17"/>
      <c r="L427" s="17">
        <v>8.9184992179091802E-2</v>
      </c>
      <c r="M427" s="17">
        <v>7.0008122359617703E-2</v>
      </c>
      <c r="N427" s="17">
        <v>5.1501985234466301E-2</v>
      </c>
      <c r="O427" s="17">
        <v>5.9669485460334099E-2</v>
      </c>
    </row>
    <row r="428" spans="2:15" x14ac:dyDescent="0.3">
      <c r="B428" t="s">
        <v>208</v>
      </c>
      <c r="C428" s="17">
        <v>5.8266265280545897E-2</v>
      </c>
      <c r="D428" s="17">
        <v>1.65135671868233E-2</v>
      </c>
      <c r="E428" s="17">
        <v>0.10039605555963001</v>
      </c>
      <c r="F428" s="17"/>
      <c r="G428" s="17">
        <v>8.9226632449219703E-2</v>
      </c>
      <c r="H428" s="17">
        <v>5.9946835457080301E-2</v>
      </c>
      <c r="I428" s="17">
        <v>5.4507007145774299E-2</v>
      </c>
      <c r="J428" s="17">
        <v>1.9955286259045399E-2</v>
      </c>
      <c r="K428" s="17"/>
      <c r="L428" s="17">
        <v>7.9897194750361999E-2</v>
      </c>
      <c r="M428" s="17">
        <v>8.0472664697792101E-2</v>
      </c>
      <c r="N428" s="17">
        <v>4.4961485033387698E-2</v>
      </c>
      <c r="O428" s="17">
        <v>2.7160145341749899E-2</v>
      </c>
    </row>
    <row r="429" spans="2:15" x14ac:dyDescent="0.3">
      <c r="B429" t="s">
        <v>209</v>
      </c>
      <c r="C429" s="17">
        <v>3.6612546980613302E-2</v>
      </c>
      <c r="D429" s="17">
        <v>2.6841386846561E-2</v>
      </c>
      <c r="E429" s="17">
        <v>4.6639394305339497E-2</v>
      </c>
      <c r="F429" s="17"/>
      <c r="G429" s="17">
        <v>7.6839078828515595E-2</v>
      </c>
      <c r="H429" s="17">
        <v>1.34988140292647E-2</v>
      </c>
      <c r="I429" s="17">
        <v>3.7726108909774597E-2</v>
      </c>
      <c r="J429" s="17">
        <v>9.7629290184502206E-3</v>
      </c>
      <c r="K429" s="17"/>
      <c r="L429" s="17">
        <v>2.14475571948817E-2</v>
      </c>
      <c r="M429" s="17">
        <v>6.1149847659092003E-2</v>
      </c>
      <c r="N429" s="17">
        <v>5.2689801068638402E-2</v>
      </c>
      <c r="O429" s="17">
        <v>7.9643244108029195E-3</v>
      </c>
    </row>
    <row r="430" spans="2:15" x14ac:dyDescent="0.3">
      <c r="B430" t="s">
        <v>210</v>
      </c>
      <c r="C430" s="17">
        <v>3.1039878188627801E-2</v>
      </c>
      <c r="D430" s="17">
        <v>2.5492330610197799E-2</v>
      </c>
      <c r="E430" s="17">
        <v>3.6807309408352903E-2</v>
      </c>
      <c r="F430" s="17"/>
      <c r="G430" s="17">
        <v>5.8553652005126501E-2</v>
      </c>
      <c r="H430" s="17">
        <v>2.2945546189663601E-2</v>
      </c>
      <c r="I430" s="17">
        <v>2.4993917515114698E-2</v>
      </c>
      <c r="J430" s="17">
        <v>1.0179711064890301E-2</v>
      </c>
      <c r="K430" s="17"/>
      <c r="L430" s="17">
        <v>3.8430636579898501E-2</v>
      </c>
      <c r="M430" s="17">
        <v>8.6283923035049906E-3</v>
      </c>
      <c r="N430" s="17">
        <v>3.5562545492690598E-2</v>
      </c>
      <c r="O430" s="17">
        <v>4.2858889276194002E-2</v>
      </c>
    </row>
    <row r="431" spans="2:15" x14ac:dyDescent="0.3">
      <c r="B431" t="s">
        <v>211</v>
      </c>
      <c r="C431" s="17">
        <v>2.40655094242564E-2</v>
      </c>
      <c r="D431" s="17">
        <v>1.8343885526490199E-2</v>
      </c>
      <c r="E431" s="17">
        <v>2.9955994730662201E-2</v>
      </c>
      <c r="F431" s="17"/>
      <c r="G431" s="17">
        <v>3.6893840391086202E-2</v>
      </c>
      <c r="H431" s="17">
        <v>3.2129399248576503E-2</v>
      </c>
      <c r="I431" s="17">
        <v>2.23205490552114E-2</v>
      </c>
      <c r="J431" s="17">
        <v>0</v>
      </c>
      <c r="K431" s="17"/>
      <c r="L431" s="17">
        <v>2.0602106858501199E-2</v>
      </c>
      <c r="M431" s="17">
        <v>3.0056528266011798E-2</v>
      </c>
      <c r="N431" s="17">
        <v>2.7999126869077198E-2</v>
      </c>
      <c r="O431" s="17">
        <v>1.6822609185930801E-2</v>
      </c>
    </row>
    <row r="432" spans="2:15" x14ac:dyDescent="0.3">
      <c r="B432" t="s">
        <v>212</v>
      </c>
      <c r="C432" s="17">
        <v>2.74267458952212E-3</v>
      </c>
      <c r="D432" s="17">
        <v>0</v>
      </c>
      <c r="E432" s="17">
        <v>5.5022149307450896E-3</v>
      </c>
      <c r="F432" s="17"/>
      <c r="G432" s="17">
        <v>9.1812828993952794E-3</v>
      </c>
      <c r="H432" s="17">
        <v>0</v>
      </c>
      <c r="I432" s="17">
        <v>0</v>
      </c>
      <c r="J432" s="17">
        <v>0</v>
      </c>
      <c r="K432" s="17"/>
      <c r="L432" s="17">
        <v>5.8541103247993099E-3</v>
      </c>
      <c r="M432" s="17">
        <v>0</v>
      </c>
      <c r="N432" s="17">
        <v>5.1257747326862403E-3</v>
      </c>
      <c r="O432" s="17">
        <v>0</v>
      </c>
    </row>
    <row r="433" spans="2:15" x14ac:dyDescent="0.3">
      <c r="C433" s="17"/>
      <c r="D433" s="17"/>
      <c r="E433" s="17"/>
      <c r="F433" s="17"/>
      <c r="G433" s="17"/>
      <c r="H433" s="17"/>
      <c r="I433" s="17"/>
      <c r="J433" s="17"/>
      <c r="K433" s="17"/>
      <c r="L433" s="17"/>
      <c r="M433" s="17"/>
      <c r="N433" s="17"/>
      <c r="O433" s="17"/>
    </row>
    <row r="434" spans="2:15" x14ac:dyDescent="0.3">
      <c r="B434" s="6" t="s">
        <v>242</v>
      </c>
      <c r="C434" s="17"/>
      <c r="D434" s="17"/>
      <c r="E434" s="17"/>
      <c r="F434" s="17"/>
      <c r="G434" s="17"/>
      <c r="H434" s="17"/>
      <c r="I434" s="17"/>
      <c r="J434" s="17"/>
      <c r="K434" s="17"/>
      <c r="L434" s="17"/>
      <c r="M434" s="17"/>
      <c r="N434" s="17"/>
      <c r="O434" s="17"/>
    </row>
    <row r="435" spans="2:15" x14ac:dyDescent="0.3">
      <c r="B435" s="23" t="s">
        <v>241</v>
      </c>
      <c r="C435" s="17"/>
      <c r="D435" s="17"/>
      <c r="E435" s="17"/>
      <c r="F435" s="17"/>
      <c r="G435" s="17"/>
      <c r="H435" s="17"/>
      <c r="I435" s="17"/>
      <c r="J435" s="17"/>
      <c r="K435" s="17"/>
      <c r="L435" s="17"/>
      <c r="M435" s="17"/>
      <c r="N435" s="17"/>
      <c r="O435" s="17"/>
    </row>
    <row r="436" spans="2:15" x14ac:dyDescent="0.3">
      <c r="B436" t="s">
        <v>231</v>
      </c>
      <c r="C436" s="17">
        <v>7.2426798876808803E-3</v>
      </c>
      <c r="D436" s="17">
        <v>0</v>
      </c>
      <c r="E436" s="17">
        <v>1.1789048412801499E-2</v>
      </c>
      <c r="F436" s="17"/>
      <c r="G436" s="17">
        <v>2.0470716384026401E-2</v>
      </c>
      <c r="H436" s="17">
        <v>0</v>
      </c>
      <c r="I436" s="17">
        <v>0</v>
      </c>
      <c r="J436" s="17">
        <v>0</v>
      </c>
      <c r="K436" s="17"/>
      <c r="L436" s="17">
        <v>3.2855039626278698E-2</v>
      </c>
      <c r="M436" s="17">
        <v>0</v>
      </c>
      <c r="N436" s="17">
        <v>0</v>
      </c>
      <c r="O436" s="17">
        <v>0</v>
      </c>
    </row>
    <row r="437" spans="2:15" x14ac:dyDescent="0.3">
      <c r="B437" t="s">
        <v>232</v>
      </c>
      <c r="C437" s="17">
        <v>8.4567079387064897E-2</v>
      </c>
      <c r="D437" s="17">
        <v>0.153175595970274</v>
      </c>
      <c r="E437" s="17">
        <v>4.1500202873625797E-2</v>
      </c>
      <c r="F437" s="17"/>
      <c r="G437" s="17">
        <v>0.216084382974706</v>
      </c>
      <c r="H437" s="17">
        <v>3.78620152990332E-2</v>
      </c>
      <c r="I437" s="17">
        <v>0</v>
      </c>
      <c r="J437" s="17">
        <v>0</v>
      </c>
      <c r="K437" s="17"/>
      <c r="L437" s="17">
        <v>7.8740213472570098E-2</v>
      </c>
      <c r="M437" s="17">
        <v>0.14267744239365801</v>
      </c>
      <c r="N437" s="17">
        <v>9.3158318220265601E-2</v>
      </c>
      <c r="O437" s="17">
        <v>3.0047315271952899E-2</v>
      </c>
    </row>
    <row r="438" spans="2:15" x14ac:dyDescent="0.3">
      <c r="B438" t="s">
        <v>233</v>
      </c>
      <c r="C438" s="17">
        <v>0.24302919851326399</v>
      </c>
      <c r="D438" s="17">
        <v>0.30546717432895598</v>
      </c>
      <c r="E438" s="17">
        <v>0.20383568831774501</v>
      </c>
      <c r="F438" s="17"/>
      <c r="G438" s="17">
        <v>0.26112245931003703</v>
      </c>
      <c r="H438" s="17">
        <v>0.24718596035601201</v>
      </c>
      <c r="I438" s="17">
        <v>0.156828473250403</v>
      </c>
      <c r="J438" s="17">
        <v>0.25802529146178199</v>
      </c>
      <c r="K438" s="17"/>
      <c r="L438" s="17">
        <v>0.17717596900813601</v>
      </c>
      <c r="M438" s="17">
        <v>0.34203652686430103</v>
      </c>
      <c r="N438" s="17">
        <v>0.26521530688045197</v>
      </c>
      <c r="O438" s="17">
        <v>0.18811322798324701</v>
      </c>
    </row>
    <row r="439" spans="2:15" x14ac:dyDescent="0.3">
      <c r="B439" t="s">
        <v>234</v>
      </c>
      <c r="C439" s="17">
        <v>0.164638791437792</v>
      </c>
      <c r="D439" s="17">
        <v>0.117179705576167</v>
      </c>
      <c r="E439" s="17">
        <v>0.194429766261806</v>
      </c>
      <c r="F439" s="17"/>
      <c r="G439" s="17">
        <v>0.187417960720687</v>
      </c>
      <c r="H439" s="17">
        <v>8.1467307975337605E-2</v>
      </c>
      <c r="I439" s="17">
        <v>0.27642014432087902</v>
      </c>
      <c r="J439" s="17">
        <v>0.115337164453531</v>
      </c>
      <c r="K439" s="17"/>
      <c r="L439" s="17">
        <v>0.25502666055833501</v>
      </c>
      <c r="M439" s="17">
        <v>6.5758764011294393E-2</v>
      </c>
      <c r="N439" s="17">
        <v>0.200268183343529</v>
      </c>
      <c r="O439" s="17">
        <v>0.14063480175439899</v>
      </c>
    </row>
    <row r="440" spans="2:15" x14ac:dyDescent="0.3">
      <c r="B440" t="s">
        <v>235</v>
      </c>
      <c r="C440" s="17">
        <v>0.12566151599535499</v>
      </c>
      <c r="D440" s="17">
        <v>0.118022062119522</v>
      </c>
      <c r="E440" s="17">
        <v>0.13045694713256101</v>
      </c>
      <c r="F440" s="17"/>
      <c r="G440" s="17">
        <v>7.6063435943920399E-2</v>
      </c>
      <c r="H440" s="17">
        <v>0.25531298030101002</v>
      </c>
      <c r="I440" s="17">
        <v>0.14511263236442201</v>
      </c>
      <c r="J440" s="17">
        <v>6.7570330767428299E-2</v>
      </c>
      <c r="K440" s="17"/>
      <c r="L440" s="17">
        <v>3.4048697817150503E-2</v>
      </c>
      <c r="M440" s="17">
        <v>3.5597276709756397E-2</v>
      </c>
      <c r="N440" s="17">
        <v>0.100092274554213</v>
      </c>
      <c r="O440" s="17">
        <v>0.30476907040481199</v>
      </c>
    </row>
    <row r="441" spans="2:15" x14ac:dyDescent="0.3">
      <c r="B441" t="s">
        <v>236</v>
      </c>
      <c r="C441" s="17">
        <v>0.327064548793708</v>
      </c>
      <c r="D441" s="17">
        <v>0.28951640214769198</v>
      </c>
      <c r="E441" s="17">
        <v>0.35063423773970398</v>
      </c>
      <c r="F441" s="17"/>
      <c r="G441" s="17">
        <v>0.23884104466662301</v>
      </c>
      <c r="H441" s="17">
        <v>0.23011231119197001</v>
      </c>
      <c r="I441" s="17">
        <v>0.373154612920369</v>
      </c>
      <c r="J441" s="17">
        <v>0.53046384068846697</v>
      </c>
      <c r="K441" s="17"/>
      <c r="L441" s="17">
        <v>0.37974756610427901</v>
      </c>
      <c r="M441" s="17">
        <v>0.331242441714451</v>
      </c>
      <c r="N441" s="17">
        <v>0.30613759821736303</v>
      </c>
      <c r="O441" s="17">
        <v>0.30170610448776602</v>
      </c>
    </row>
    <row r="442" spans="2:15" x14ac:dyDescent="0.3">
      <c r="B442" t="s">
        <v>237</v>
      </c>
      <c r="C442" s="17">
        <v>3.16472654702106E-2</v>
      </c>
      <c r="D442" s="17">
        <v>1.6639059857387801E-2</v>
      </c>
      <c r="E442" s="17">
        <v>4.1068202840745797E-2</v>
      </c>
      <c r="F442" s="17"/>
      <c r="G442" s="17">
        <v>0</v>
      </c>
      <c r="H442" s="17">
        <v>0.11771844769968</v>
      </c>
      <c r="I442" s="17">
        <v>0</v>
      </c>
      <c r="J442" s="17">
        <v>2.8603372628791101E-2</v>
      </c>
      <c r="K442" s="17"/>
      <c r="L442" s="17">
        <v>4.2405853413250101E-2</v>
      </c>
      <c r="M442" s="17">
        <v>5.5002678930002498E-2</v>
      </c>
      <c r="N442" s="17">
        <v>0</v>
      </c>
      <c r="O442" s="17">
        <v>3.4729480097822903E-2</v>
      </c>
    </row>
    <row r="443" spans="2:15" x14ac:dyDescent="0.3">
      <c r="B443" t="s">
        <v>238</v>
      </c>
      <c r="C443" s="17">
        <v>1.61489205149234E-2</v>
      </c>
      <c r="D443" s="17">
        <v>0</v>
      </c>
      <c r="E443" s="17">
        <v>2.62859064210107E-2</v>
      </c>
      <c r="F443" s="17"/>
      <c r="G443" s="17">
        <v>0</v>
      </c>
      <c r="H443" s="17">
        <v>3.03409771769571E-2</v>
      </c>
      <c r="I443" s="17">
        <v>4.8484137143926603E-2</v>
      </c>
      <c r="J443" s="17">
        <v>0</v>
      </c>
      <c r="K443" s="17"/>
      <c r="L443" s="17">
        <v>0</v>
      </c>
      <c r="M443" s="17">
        <v>2.76848693765364E-2</v>
      </c>
      <c r="N443" s="17">
        <v>3.5128318784176403E-2</v>
      </c>
      <c r="O443" s="17">
        <v>0</v>
      </c>
    </row>
    <row r="444" spans="2:15" x14ac:dyDescent="0.3">
      <c r="B444" t="s">
        <v>239</v>
      </c>
      <c r="C444" s="17">
        <v>0</v>
      </c>
      <c r="D444" s="17">
        <v>0</v>
      </c>
      <c r="E444" s="17">
        <v>0</v>
      </c>
      <c r="F444" s="17"/>
      <c r="G444" s="17">
        <v>0</v>
      </c>
      <c r="H444" s="17">
        <v>0</v>
      </c>
      <c r="I444" s="17">
        <v>0</v>
      </c>
      <c r="J444" s="17">
        <v>0</v>
      </c>
      <c r="K444" s="17"/>
      <c r="L444" s="17">
        <v>0</v>
      </c>
      <c r="M444" s="17">
        <v>0</v>
      </c>
      <c r="N444" s="17">
        <v>0</v>
      </c>
      <c r="O444" s="17">
        <v>0</v>
      </c>
    </row>
    <row r="445" spans="2:15" x14ac:dyDescent="0.3">
      <c r="C445" s="17"/>
      <c r="D445" s="17"/>
      <c r="E445" s="17"/>
      <c r="F445" s="17"/>
      <c r="G445" s="17"/>
      <c r="H445" s="17"/>
      <c r="I445" s="17"/>
      <c r="J445" s="17"/>
      <c r="K445" s="17"/>
      <c r="L445" s="17"/>
      <c r="M445" s="17"/>
      <c r="N445" s="17"/>
      <c r="O445" s="17"/>
    </row>
    <row r="446" spans="2:15" x14ac:dyDescent="0.3">
      <c r="B446" s="6" t="s">
        <v>243</v>
      </c>
      <c r="C446" s="17"/>
      <c r="D446" s="17"/>
      <c r="E446" s="17"/>
      <c r="F446" s="17"/>
      <c r="G446" s="17"/>
      <c r="H446" s="17"/>
      <c r="I446" s="17"/>
      <c r="J446" s="17"/>
      <c r="K446" s="17"/>
      <c r="L446" s="17"/>
      <c r="M446" s="17"/>
      <c r="N446" s="17"/>
      <c r="O446" s="17"/>
    </row>
    <row r="447" spans="2:15" x14ac:dyDescent="0.3">
      <c r="B447" s="23" t="s">
        <v>241</v>
      </c>
      <c r="C447" s="17"/>
      <c r="D447" s="17"/>
      <c r="E447" s="17"/>
      <c r="F447" s="17"/>
      <c r="G447" s="17"/>
      <c r="H447" s="17"/>
      <c r="I447" s="17"/>
      <c r="J447" s="17"/>
      <c r="K447" s="17"/>
      <c r="L447" s="17"/>
      <c r="M447" s="17"/>
      <c r="N447" s="17"/>
      <c r="O447" s="17"/>
    </row>
    <row r="448" spans="2:15" x14ac:dyDescent="0.3">
      <c r="B448" t="s">
        <v>231</v>
      </c>
      <c r="C448" s="17">
        <v>7.1765005998355003E-2</v>
      </c>
      <c r="D448" s="17">
        <v>0.101197841794609</v>
      </c>
      <c r="E448" s="17">
        <v>3.2537069337543398E-2</v>
      </c>
      <c r="F448" s="17"/>
      <c r="G448" s="17">
        <v>8.6065706535148501E-2</v>
      </c>
      <c r="H448" s="17">
        <v>5.7504632260816403E-2</v>
      </c>
      <c r="I448" s="17">
        <v>4.0096920085227299E-2</v>
      </c>
      <c r="J448" s="17">
        <v>9.3945970749178306E-2</v>
      </c>
      <c r="K448" s="17"/>
      <c r="L448" s="17">
        <v>5.6547649628038203E-2</v>
      </c>
      <c r="M448" s="17">
        <v>8.4007294848036096E-2</v>
      </c>
      <c r="N448" s="17">
        <v>8.7735869035631395E-2</v>
      </c>
      <c r="O448" s="17">
        <v>5.28439260485246E-2</v>
      </c>
    </row>
    <row r="449" spans="2:15" x14ac:dyDescent="0.3">
      <c r="B449" t="s">
        <v>232</v>
      </c>
      <c r="C449" s="17">
        <v>0.33623474458943298</v>
      </c>
      <c r="D449" s="17">
        <v>0.39125179642580299</v>
      </c>
      <c r="E449" s="17">
        <v>0.264084268929628</v>
      </c>
      <c r="F449" s="17"/>
      <c r="G449" s="17">
        <v>0.41824948491337199</v>
      </c>
      <c r="H449" s="17">
        <v>0.29762914155334802</v>
      </c>
      <c r="I449" s="17">
        <v>0.25445834984141003</v>
      </c>
      <c r="J449" s="17">
        <v>0.33549009546069097</v>
      </c>
      <c r="K449" s="17"/>
      <c r="L449" s="17">
        <v>0.29398241261744201</v>
      </c>
      <c r="M449" s="17">
        <v>0.34324823682591799</v>
      </c>
      <c r="N449" s="17">
        <v>0.40094435889836899</v>
      </c>
      <c r="O449" s="17">
        <v>0.29163478698275402</v>
      </c>
    </row>
    <row r="450" spans="2:15" x14ac:dyDescent="0.3">
      <c r="B450" t="s">
        <v>233</v>
      </c>
      <c r="C450" s="17">
        <v>0.28304192032905401</v>
      </c>
      <c r="D450" s="17">
        <v>0.28014590918329302</v>
      </c>
      <c r="E450" s="17">
        <v>0.28277074104634797</v>
      </c>
      <c r="F450" s="17"/>
      <c r="G450" s="17">
        <v>0.25602562707906901</v>
      </c>
      <c r="H450" s="17">
        <v>0.29645529163929502</v>
      </c>
      <c r="I450" s="17">
        <v>0.39825381105623298</v>
      </c>
      <c r="J450" s="17">
        <v>0.210157274839126</v>
      </c>
      <c r="K450" s="17"/>
      <c r="L450" s="17">
        <v>0.28275990095742498</v>
      </c>
      <c r="M450" s="17">
        <v>0.24654078757953299</v>
      </c>
      <c r="N450" s="17">
        <v>0.26034144432217898</v>
      </c>
      <c r="O450" s="17">
        <v>0.35277180870029801</v>
      </c>
    </row>
    <row r="451" spans="2:15" x14ac:dyDescent="0.3">
      <c r="B451" t="s">
        <v>234</v>
      </c>
      <c r="C451" s="17">
        <v>0.15399753851202599</v>
      </c>
      <c r="D451" s="17">
        <v>0.121480738286004</v>
      </c>
      <c r="E451" s="17">
        <v>0.198693261775723</v>
      </c>
      <c r="F451" s="17"/>
      <c r="G451" s="17">
        <v>0.106559081725941</v>
      </c>
      <c r="H451" s="17">
        <v>0.15126157075244501</v>
      </c>
      <c r="I451" s="17">
        <v>0.17888050275151601</v>
      </c>
      <c r="J451" s="17">
        <v>0.19956274433180601</v>
      </c>
      <c r="K451" s="17"/>
      <c r="L451" s="17">
        <v>0.18690969639793301</v>
      </c>
      <c r="M451" s="17">
        <v>0.23854854934735101</v>
      </c>
      <c r="N451" s="17">
        <v>7.8725265154265395E-2</v>
      </c>
      <c r="O451" s="17">
        <v>0.11191099191078401</v>
      </c>
    </row>
    <row r="452" spans="2:15" x14ac:dyDescent="0.3">
      <c r="B452" t="s">
        <v>235</v>
      </c>
      <c r="C452" s="17">
        <v>6.6569629437287697E-2</v>
      </c>
      <c r="D452" s="17">
        <v>4.5326364850383702E-2</v>
      </c>
      <c r="E452" s="17">
        <v>9.5571333115778506E-2</v>
      </c>
      <c r="F452" s="17"/>
      <c r="G452" s="17">
        <v>7.2408043258148203E-2</v>
      </c>
      <c r="H452" s="17">
        <v>7.1258947226650396E-2</v>
      </c>
      <c r="I452" s="17">
        <v>5.5614649800652498E-2</v>
      </c>
      <c r="J452" s="17">
        <v>6.2788544951091194E-2</v>
      </c>
      <c r="K452" s="17"/>
      <c r="L452" s="17">
        <v>9.4898314136859202E-2</v>
      </c>
      <c r="M452" s="17">
        <v>3.9479154673506503E-2</v>
      </c>
      <c r="N452" s="17">
        <v>9.0136356805557899E-2</v>
      </c>
      <c r="O452" s="17">
        <v>4.4563869083079799E-2</v>
      </c>
    </row>
    <row r="453" spans="2:15" x14ac:dyDescent="0.3">
      <c r="B453" t="s">
        <v>236</v>
      </c>
      <c r="C453" s="17">
        <v>6.6448593496886699E-2</v>
      </c>
      <c r="D453" s="17">
        <v>4.88493735905427E-2</v>
      </c>
      <c r="E453" s="17">
        <v>9.0541124669887896E-2</v>
      </c>
      <c r="F453" s="17"/>
      <c r="G453" s="17">
        <v>6.0692056488321801E-2</v>
      </c>
      <c r="H453" s="17">
        <v>7.7278022220526807E-2</v>
      </c>
      <c r="I453" s="17">
        <v>5.7722727279818503E-2</v>
      </c>
      <c r="J453" s="17">
        <v>6.9697284647426902E-2</v>
      </c>
      <c r="K453" s="17"/>
      <c r="L453" s="17">
        <v>6.7850511001285002E-2</v>
      </c>
      <c r="M453" s="17">
        <v>3.9717321369351001E-2</v>
      </c>
      <c r="N453" s="17">
        <v>5.2570115710810397E-2</v>
      </c>
      <c r="O453" s="17">
        <v>0.112810374166866</v>
      </c>
    </row>
    <row r="454" spans="2:15" x14ac:dyDescent="0.3">
      <c r="B454" t="s">
        <v>237</v>
      </c>
      <c r="C454" s="17">
        <v>1.3068050153665399E-2</v>
      </c>
      <c r="D454" s="17">
        <v>7.8099454276126298E-3</v>
      </c>
      <c r="E454" s="17">
        <v>2.02266750764039E-2</v>
      </c>
      <c r="F454" s="17"/>
      <c r="G454" s="17">
        <v>0</v>
      </c>
      <c r="H454" s="17">
        <v>3.3963467603014497E-2</v>
      </c>
      <c r="I454" s="17">
        <v>0</v>
      </c>
      <c r="J454" s="17">
        <v>1.8852191978080302E-2</v>
      </c>
      <c r="K454" s="17"/>
      <c r="L454" s="17">
        <v>0</v>
      </c>
      <c r="M454" s="17">
        <v>8.4586553563036904E-3</v>
      </c>
      <c r="N454" s="17">
        <v>1.0649196971596799E-2</v>
      </c>
      <c r="O454" s="17">
        <v>3.34642431076934E-2</v>
      </c>
    </row>
    <row r="455" spans="2:15" x14ac:dyDescent="0.3">
      <c r="B455" t="s">
        <v>238</v>
      </c>
      <c r="C455" s="17">
        <v>8.8745174832921096E-3</v>
      </c>
      <c r="D455" s="17">
        <v>3.9380304417518004E-3</v>
      </c>
      <c r="E455" s="17">
        <v>1.55755260486879E-2</v>
      </c>
      <c r="F455" s="17"/>
      <c r="G455" s="17">
        <v>0</v>
      </c>
      <c r="H455" s="17">
        <v>1.46489267439034E-2</v>
      </c>
      <c r="I455" s="17">
        <v>1.49730391851438E-2</v>
      </c>
      <c r="J455" s="17">
        <v>9.5058930426000898E-3</v>
      </c>
      <c r="K455" s="17"/>
      <c r="L455" s="17">
        <v>1.7051515261018502E-2</v>
      </c>
      <c r="M455" s="17">
        <v>0</v>
      </c>
      <c r="N455" s="17">
        <v>1.8897393101589902E-2</v>
      </c>
      <c r="O455" s="17">
        <v>0</v>
      </c>
    </row>
    <row r="456" spans="2:15" x14ac:dyDescent="0.3">
      <c r="B456" t="s">
        <v>239</v>
      </c>
      <c r="C456" s="17">
        <v>0</v>
      </c>
      <c r="D456" s="17">
        <v>0</v>
      </c>
      <c r="E456" s="17">
        <v>0</v>
      </c>
      <c r="F456" s="17"/>
      <c r="G456" s="17">
        <v>0</v>
      </c>
      <c r="H456" s="17">
        <v>0</v>
      </c>
      <c r="I456" s="17">
        <v>0</v>
      </c>
      <c r="J456" s="17">
        <v>0</v>
      </c>
      <c r="K456" s="17"/>
      <c r="L456" s="17">
        <v>0</v>
      </c>
      <c r="M456" s="17">
        <v>0</v>
      </c>
      <c r="N456" s="17">
        <v>0</v>
      </c>
      <c r="O456" s="17">
        <v>0</v>
      </c>
    </row>
    <row r="457" spans="2:15" x14ac:dyDescent="0.3">
      <c r="C457" s="17"/>
      <c r="D457" s="17"/>
      <c r="E457" s="17"/>
      <c r="F457" s="17"/>
      <c r="G457" s="17"/>
      <c r="H457" s="17"/>
      <c r="I457" s="17"/>
      <c r="J457" s="17"/>
      <c r="K457" s="17"/>
      <c r="L457" s="17"/>
      <c r="M457" s="17"/>
      <c r="N457" s="17"/>
      <c r="O457" s="17"/>
    </row>
    <row r="458" spans="2:15" x14ac:dyDescent="0.3">
      <c r="B458" s="6" t="s">
        <v>244</v>
      </c>
      <c r="C458" s="17"/>
      <c r="D458" s="17"/>
      <c r="E458" s="17"/>
      <c r="F458" s="17"/>
      <c r="G458" s="17"/>
      <c r="H458" s="17"/>
      <c r="I458" s="17"/>
      <c r="J458" s="17"/>
      <c r="K458" s="17"/>
      <c r="L458" s="17"/>
      <c r="M458" s="17"/>
      <c r="N458" s="17"/>
      <c r="O458" s="17"/>
    </row>
    <row r="459" spans="2:15" x14ac:dyDescent="0.3">
      <c r="B459" s="23" t="s">
        <v>241</v>
      </c>
      <c r="C459" s="17"/>
      <c r="D459" s="17"/>
      <c r="E459" s="17"/>
      <c r="F459" s="17"/>
      <c r="G459" s="17"/>
      <c r="H459" s="17"/>
      <c r="I459" s="17"/>
      <c r="J459" s="17"/>
      <c r="K459" s="17"/>
      <c r="L459" s="17"/>
      <c r="M459" s="17"/>
      <c r="N459" s="17"/>
      <c r="O459" s="17"/>
    </row>
    <row r="460" spans="2:15" x14ac:dyDescent="0.3">
      <c r="B460" t="s">
        <v>231</v>
      </c>
      <c r="C460" s="17">
        <v>2.15435070485623E-2</v>
      </c>
      <c r="D460" s="17">
        <v>0.14343592702900501</v>
      </c>
      <c r="E460" s="17">
        <v>0</v>
      </c>
      <c r="F460" s="17"/>
      <c r="G460" s="17">
        <v>4.6325472620665997E-2</v>
      </c>
      <c r="H460" s="17">
        <v>0</v>
      </c>
      <c r="I460" s="17">
        <v>0</v>
      </c>
      <c r="J460" s="17">
        <v>0</v>
      </c>
      <c r="K460" s="17"/>
      <c r="L460" s="17">
        <v>6.1391464454795902E-2</v>
      </c>
      <c r="M460" s="17">
        <v>0</v>
      </c>
      <c r="N460" s="17">
        <v>0</v>
      </c>
      <c r="O460" s="17">
        <v>0</v>
      </c>
    </row>
    <row r="461" spans="2:15" x14ac:dyDescent="0.3">
      <c r="B461" t="s">
        <v>232</v>
      </c>
      <c r="C461" s="17">
        <v>0.140907091557325</v>
      </c>
      <c r="D461" s="17">
        <v>0.31320222783316498</v>
      </c>
      <c r="E461" s="17">
        <v>0.110455308883824</v>
      </c>
      <c r="F461" s="17"/>
      <c r="G461" s="17">
        <v>0.30299558921778003</v>
      </c>
      <c r="H461" s="17">
        <v>0</v>
      </c>
      <c r="I461" s="17">
        <v>0</v>
      </c>
      <c r="J461" s="17">
        <v>0</v>
      </c>
      <c r="K461" s="17"/>
      <c r="L461" s="17">
        <v>7.3270536507450801E-2</v>
      </c>
      <c r="M461" s="17">
        <v>0.23882157293589901</v>
      </c>
      <c r="N461" s="17">
        <v>0.16306869956191999</v>
      </c>
      <c r="O461" s="17">
        <v>0</v>
      </c>
    </row>
    <row r="462" spans="2:15" x14ac:dyDescent="0.3">
      <c r="B462" t="s">
        <v>233</v>
      </c>
      <c r="C462" s="17">
        <v>0.15333498595856701</v>
      </c>
      <c r="D462" s="17">
        <v>0.12829815538292699</v>
      </c>
      <c r="E462" s="17">
        <v>0.15776004484300399</v>
      </c>
      <c r="F462" s="17"/>
      <c r="G462" s="17">
        <v>0.24336792676953201</v>
      </c>
      <c r="H462" s="17">
        <v>0.14077886870617901</v>
      </c>
      <c r="I462" s="17">
        <v>0</v>
      </c>
      <c r="J462" s="17">
        <v>0</v>
      </c>
      <c r="K462" s="17"/>
      <c r="L462" s="17">
        <v>0.114434953483582</v>
      </c>
      <c r="M462" s="17">
        <v>0.12937655106686999</v>
      </c>
      <c r="N462" s="17">
        <v>0.42781175838345298</v>
      </c>
      <c r="O462" s="17">
        <v>0</v>
      </c>
    </row>
    <row r="463" spans="2:15" x14ac:dyDescent="0.3">
      <c r="B463" t="s">
        <v>234</v>
      </c>
      <c r="C463" s="17">
        <v>0.20096168114573701</v>
      </c>
      <c r="D463" s="17">
        <v>0.41506368975490299</v>
      </c>
      <c r="E463" s="17">
        <v>0.16312086928620601</v>
      </c>
      <c r="F463" s="17"/>
      <c r="G463" s="17">
        <v>0.154730201091068</v>
      </c>
      <c r="H463" s="17">
        <v>0.32448503928129901</v>
      </c>
      <c r="I463" s="17">
        <v>0.219499263042962</v>
      </c>
      <c r="J463" s="17">
        <v>0</v>
      </c>
      <c r="K463" s="17"/>
      <c r="L463" s="17">
        <v>0</v>
      </c>
      <c r="M463" s="17">
        <v>0.36760426129618601</v>
      </c>
      <c r="N463" s="17">
        <v>0.40911954205462697</v>
      </c>
      <c r="O463" s="17">
        <v>0</v>
      </c>
    </row>
    <row r="464" spans="2:15" x14ac:dyDescent="0.3">
      <c r="B464" t="s">
        <v>235</v>
      </c>
      <c r="C464" s="17">
        <v>0.24715397379604301</v>
      </c>
      <c r="D464" s="17">
        <v>0</v>
      </c>
      <c r="E464" s="17">
        <v>0.290836455261335</v>
      </c>
      <c r="F464" s="17"/>
      <c r="G464" s="17">
        <v>0.18142255089269901</v>
      </c>
      <c r="H464" s="17">
        <v>0</v>
      </c>
      <c r="I464" s="17">
        <v>0.78050073695703803</v>
      </c>
      <c r="J464" s="17">
        <v>0.39673744627079399</v>
      </c>
      <c r="K464" s="17"/>
      <c r="L464" s="17">
        <v>0.37901812252936901</v>
      </c>
      <c r="M464" s="17">
        <v>0.178942689458884</v>
      </c>
      <c r="N464" s="17">
        <v>0</v>
      </c>
      <c r="O464" s="17">
        <v>0.386536960149791</v>
      </c>
    </row>
    <row r="465" spans="2:15" x14ac:dyDescent="0.3">
      <c r="B465" t="s">
        <v>236</v>
      </c>
      <c r="C465" s="17">
        <v>6.5507891725644599E-2</v>
      </c>
      <c r="D465" s="17">
        <v>0</v>
      </c>
      <c r="E465" s="17">
        <v>7.7085885889303901E-2</v>
      </c>
      <c r="F465" s="17"/>
      <c r="G465" s="17">
        <v>7.1158259408254099E-2</v>
      </c>
      <c r="H465" s="17">
        <v>0.113639552746749</v>
      </c>
      <c r="I465" s="17">
        <v>0</v>
      </c>
      <c r="J465" s="17">
        <v>0</v>
      </c>
      <c r="K465" s="17"/>
      <c r="L465" s="17">
        <v>0</v>
      </c>
      <c r="M465" s="17">
        <v>8.5254925242161106E-2</v>
      </c>
      <c r="N465" s="17">
        <v>0</v>
      </c>
      <c r="O465" s="17">
        <v>0.27740411074167198</v>
      </c>
    </row>
    <row r="466" spans="2:15" x14ac:dyDescent="0.3">
      <c r="B466" t="s">
        <v>237</v>
      </c>
      <c r="C466" s="17">
        <v>0</v>
      </c>
      <c r="D466" s="17">
        <v>0</v>
      </c>
      <c r="E466" s="17">
        <v>0</v>
      </c>
      <c r="F466" s="17"/>
      <c r="G466" s="17">
        <v>0</v>
      </c>
      <c r="H466" s="17">
        <v>0</v>
      </c>
      <c r="I466" s="17">
        <v>0</v>
      </c>
      <c r="J466" s="17">
        <v>0</v>
      </c>
      <c r="K466" s="17"/>
      <c r="L466" s="17">
        <v>0</v>
      </c>
      <c r="M466" s="17">
        <v>0</v>
      </c>
      <c r="N466" s="17">
        <v>0</v>
      </c>
      <c r="O466" s="17">
        <v>0</v>
      </c>
    </row>
    <row r="467" spans="2:15" x14ac:dyDescent="0.3">
      <c r="B467" t="s">
        <v>238</v>
      </c>
      <c r="C467" s="17">
        <v>0</v>
      </c>
      <c r="D467" s="17">
        <v>0</v>
      </c>
      <c r="E467" s="17">
        <v>0</v>
      </c>
      <c r="F467" s="17"/>
      <c r="G467" s="17">
        <v>0</v>
      </c>
      <c r="H467" s="17">
        <v>0</v>
      </c>
      <c r="I467" s="17">
        <v>0</v>
      </c>
      <c r="J467" s="17">
        <v>0</v>
      </c>
      <c r="K467" s="17"/>
      <c r="L467" s="17">
        <v>0</v>
      </c>
      <c r="M467" s="17">
        <v>0</v>
      </c>
      <c r="N467" s="17">
        <v>0</v>
      </c>
      <c r="O467" s="17">
        <v>0</v>
      </c>
    </row>
    <row r="468" spans="2:15" x14ac:dyDescent="0.3">
      <c r="B468" t="s">
        <v>239</v>
      </c>
      <c r="C468" s="17">
        <v>0.17059086876812099</v>
      </c>
      <c r="D468" s="17">
        <v>0</v>
      </c>
      <c r="E468" s="17">
        <v>0.200741435836328</v>
      </c>
      <c r="F468" s="17"/>
      <c r="G468" s="17">
        <v>0</v>
      </c>
      <c r="H468" s="17">
        <v>0.42109653926577201</v>
      </c>
      <c r="I468" s="17">
        <v>0</v>
      </c>
      <c r="J468" s="17">
        <v>0.60326255372920601</v>
      </c>
      <c r="K468" s="17"/>
      <c r="L468" s="17">
        <v>0.37188492302480203</v>
      </c>
      <c r="M468" s="17">
        <v>0</v>
      </c>
      <c r="N468" s="17">
        <v>0</v>
      </c>
      <c r="O468" s="17">
        <v>0.33605892910853702</v>
      </c>
    </row>
    <row r="469" spans="2:15" x14ac:dyDescent="0.3">
      <c r="C469" s="17"/>
      <c r="D469" s="17"/>
      <c r="E469" s="17"/>
      <c r="F469" s="17"/>
      <c r="G469" s="17"/>
      <c r="H469" s="17"/>
      <c r="I469" s="17"/>
      <c r="J469" s="17"/>
      <c r="K469" s="17"/>
      <c r="L469" s="17"/>
      <c r="M469" s="17"/>
      <c r="N469" s="17"/>
      <c r="O469" s="17"/>
    </row>
    <row r="470" spans="2:15" x14ac:dyDescent="0.3">
      <c r="B470" s="6" t="s">
        <v>245</v>
      </c>
      <c r="C470" s="17"/>
      <c r="D470" s="17"/>
      <c r="E470" s="17"/>
      <c r="F470" s="17"/>
      <c r="G470" s="17"/>
      <c r="H470" s="17"/>
      <c r="I470" s="17"/>
      <c r="J470" s="17"/>
      <c r="K470" s="17"/>
      <c r="L470" s="17"/>
      <c r="M470" s="17"/>
      <c r="N470" s="17"/>
      <c r="O470" s="17"/>
    </row>
    <row r="471" spans="2:15" x14ac:dyDescent="0.3">
      <c r="B471" s="23" t="s">
        <v>241</v>
      </c>
      <c r="C471" s="17"/>
      <c r="D471" s="17"/>
      <c r="E471" s="17"/>
      <c r="F471" s="17"/>
      <c r="G471" s="17"/>
      <c r="H471" s="17"/>
      <c r="I471" s="17"/>
      <c r="J471" s="17"/>
      <c r="K471" s="17"/>
      <c r="L471" s="17"/>
      <c r="M471" s="17"/>
      <c r="N471" s="17"/>
      <c r="O471" s="17"/>
    </row>
    <row r="472" spans="2:15" x14ac:dyDescent="0.3">
      <c r="B472" t="s">
        <v>231</v>
      </c>
      <c r="C472" s="17">
        <v>0</v>
      </c>
      <c r="D472" s="17">
        <v>0</v>
      </c>
      <c r="E472" s="17">
        <v>0</v>
      </c>
      <c r="F472" s="17"/>
      <c r="G472" s="17">
        <v>0</v>
      </c>
      <c r="H472" s="17">
        <v>0</v>
      </c>
      <c r="I472" s="17">
        <v>0</v>
      </c>
      <c r="J472" s="17">
        <v>0</v>
      </c>
      <c r="K472" s="17"/>
      <c r="L472" s="17">
        <v>0</v>
      </c>
      <c r="M472" s="17">
        <v>0</v>
      </c>
      <c r="N472" s="17">
        <v>0</v>
      </c>
      <c r="O472" s="17">
        <v>0</v>
      </c>
    </row>
    <row r="473" spans="2:15" x14ac:dyDescent="0.3">
      <c r="B473" t="s">
        <v>232</v>
      </c>
      <c r="C473" s="17">
        <v>0.113094374895613</v>
      </c>
      <c r="D473" s="17">
        <v>0.172416612721705</v>
      </c>
      <c r="E473" s="17">
        <v>9.0274210782348097E-2</v>
      </c>
      <c r="F473" s="17"/>
      <c r="G473" s="17">
        <v>0.24733299027126701</v>
      </c>
      <c r="H473" s="17">
        <v>6.9379695833734198E-2</v>
      </c>
      <c r="I473" s="17">
        <v>0</v>
      </c>
      <c r="J473" s="17">
        <v>0</v>
      </c>
      <c r="K473" s="17"/>
      <c r="L473" s="17">
        <v>0.17745688343357599</v>
      </c>
      <c r="M473" s="17">
        <v>5.5188804879680101E-2</v>
      </c>
      <c r="N473" s="17">
        <v>0.164602563685881</v>
      </c>
      <c r="O473" s="17">
        <v>6.6492773593437304E-2</v>
      </c>
    </row>
    <row r="474" spans="2:15" x14ac:dyDescent="0.3">
      <c r="B474" t="s">
        <v>233</v>
      </c>
      <c r="C474" s="17">
        <v>0.154501877523642</v>
      </c>
      <c r="D474" s="17">
        <v>6.2832952748614904E-2</v>
      </c>
      <c r="E474" s="17">
        <v>0.18976521188377199</v>
      </c>
      <c r="F474" s="17"/>
      <c r="G474" s="17">
        <v>8.6194590919940403E-2</v>
      </c>
      <c r="H474" s="17">
        <v>8.8560585585805096E-2</v>
      </c>
      <c r="I474" s="17">
        <v>0.26894408141623299</v>
      </c>
      <c r="J474" s="17">
        <v>0.302930610091527</v>
      </c>
      <c r="K474" s="17"/>
      <c r="L474" s="17">
        <v>0.174997714194392</v>
      </c>
      <c r="M474" s="17">
        <v>0.25631572647029</v>
      </c>
      <c r="N474" s="17">
        <v>0.26633367702016603</v>
      </c>
      <c r="O474" s="17">
        <v>0</v>
      </c>
    </row>
    <row r="475" spans="2:15" x14ac:dyDescent="0.3">
      <c r="B475" t="s">
        <v>234</v>
      </c>
      <c r="C475" s="17">
        <v>0.205585961635666</v>
      </c>
      <c r="D475" s="17">
        <v>0.28300274676326798</v>
      </c>
      <c r="E475" s="17">
        <v>0.175805160936402</v>
      </c>
      <c r="F475" s="17"/>
      <c r="G475" s="17">
        <v>0.20626316194676</v>
      </c>
      <c r="H475" s="17">
        <v>8.3572739676555402E-2</v>
      </c>
      <c r="I475" s="17">
        <v>0.50884407011784005</v>
      </c>
      <c r="J475" s="17">
        <v>0.221702031382596</v>
      </c>
      <c r="K475" s="17"/>
      <c r="L475" s="17">
        <v>0.22754432650496001</v>
      </c>
      <c r="M475" s="17">
        <v>0.20698799134985099</v>
      </c>
      <c r="N475" s="17">
        <v>0.22957237172327799</v>
      </c>
      <c r="O475" s="17">
        <v>0.170737720749709</v>
      </c>
    </row>
    <row r="476" spans="2:15" x14ac:dyDescent="0.3">
      <c r="B476" t="s">
        <v>235</v>
      </c>
      <c r="C476" s="17">
        <v>0.17544693617634799</v>
      </c>
      <c r="D476" s="17">
        <v>0.18967419605477701</v>
      </c>
      <c r="E476" s="17">
        <v>0.16997397330094799</v>
      </c>
      <c r="F476" s="17"/>
      <c r="G476" s="17">
        <v>0.179073595596725</v>
      </c>
      <c r="H476" s="17">
        <v>0.27147067705468197</v>
      </c>
      <c r="I476" s="17">
        <v>0</v>
      </c>
      <c r="J476" s="17">
        <v>0.12520596783149299</v>
      </c>
      <c r="K476" s="17"/>
      <c r="L476" s="17">
        <v>0.16463765967351601</v>
      </c>
      <c r="M476" s="17">
        <v>0.115130946696943</v>
      </c>
      <c r="N476" s="17">
        <v>0.198033075740468</v>
      </c>
      <c r="O476" s="17">
        <v>0.21757189552255199</v>
      </c>
    </row>
    <row r="477" spans="2:15" x14ac:dyDescent="0.3">
      <c r="B477" t="s">
        <v>236</v>
      </c>
      <c r="C477" s="17">
        <v>0.131428073774046</v>
      </c>
      <c r="D477" s="17">
        <v>0</v>
      </c>
      <c r="E477" s="17">
        <v>0.18198601498668901</v>
      </c>
      <c r="F477" s="17"/>
      <c r="G477" s="17">
        <v>0.107727371788991</v>
      </c>
      <c r="H477" s="17">
        <v>0.14404761878966901</v>
      </c>
      <c r="I477" s="17">
        <v>0.22221184846592601</v>
      </c>
      <c r="J477" s="17">
        <v>0.110602432324965</v>
      </c>
      <c r="K477" s="17"/>
      <c r="L477" s="17">
        <v>7.7007127050215202E-2</v>
      </c>
      <c r="M477" s="17">
        <v>0.19218648524117901</v>
      </c>
      <c r="N477" s="17">
        <v>0.14145831183020599</v>
      </c>
      <c r="O477" s="17">
        <v>0.13316755358021201</v>
      </c>
    </row>
    <row r="478" spans="2:15" x14ac:dyDescent="0.3">
      <c r="B478" t="s">
        <v>237</v>
      </c>
      <c r="C478" s="17">
        <v>8.4492998986583204E-2</v>
      </c>
      <c r="D478" s="17">
        <v>0.20946708969001901</v>
      </c>
      <c r="E478" s="17">
        <v>3.64177853016397E-2</v>
      </c>
      <c r="F478" s="17"/>
      <c r="G478" s="17">
        <v>0.112015537183563</v>
      </c>
      <c r="H478" s="17">
        <v>8.84092649379873E-2</v>
      </c>
      <c r="I478" s="17">
        <v>0</v>
      </c>
      <c r="J478" s="17">
        <v>7.3637787422942594E-2</v>
      </c>
      <c r="K478" s="17"/>
      <c r="L478" s="17">
        <v>0</v>
      </c>
      <c r="M478" s="17">
        <v>7.1890131298675497E-2</v>
      </c>
      <c r="N478" s="17">
        <v>0</v>
      </c>
      <c r="O478" s="17">
        <v>0.21962755085182101</v>
      </c>
    </row>
    <row r="479" spans="2:15" x14ac:dyDescent="0.3">
      <c r="B479" t="s">
        <v>238</v>
      </c>
      <c r="C479" s="17">
        <v>8.2945839121967194E-2</v>
      </c>
      <c r="D479" s="17">
        <v>8.2606402021614997E-2</v>
      </c>
      <c r="E479" s="17">
        <v>8.3076414275906604E-2</v>
      </c>
      <c r="F479" s="17"/>
      <c r="G479" s="17">
        <v>6.1392752292753601E-2</v>
      </c>
      <c r="H479" s="17">
        <v>7.8067022403604802E-2</v>
      </c>
      <c r="I479" s="17">
        <v>0</v>
      </c>
      <c r="J479" s="17">
        <v>0.16592117094647599</v>
      </c>
      <c r="K479" s="17"/>
      <c r="L479" s="17">
        <v>0</v>
      </c>
      <c r="M479" s="17">
        <v>0.102299914063382</v>
      </c>
      <c r="N479" s="17">
        <v>0</v>
      </c>
      <c r="O479" s="17">
        <v>0.192402505702268</v>
      </c>
    </row>
    <row r="480" spans="2:15" x14ac:dyDescent="0.3">
      <c r="B480" t="s">
        <v>239</v>
      </c>
      <c r="C480" s="17">
        <v>5.2503937886134298E-2</v>
      </c>
      <c r="D480" s="17">
        <v>0</v>
      </c>
      <c r="E480" s="17">
        <v>7.2701228532294604E-2</v>
      </c>
      <c r="F480" s="17"/>
      <c r="G480" s="17">
        <v>0</v>
      </c>
      <c r="H480" s="17">
        <v>0.17649239571796199</v>
      </c>
      <c r="I480" s="17">
        <v>0</v>
      </c>
      <c r="J480" s="17">
        <v>0</v>
      </c>
      <c r="K480" s="17"/>
      <c r="L480" s="17">
        <v>0.17835628914334001</v>
      </c>
      <c r="M480" s="17">
        <v>0</v>
      </c>
      <c r="N480" s="17">
        <v>0</v>
      </c>
      <c r="O480" s="17">
        <v>0</v>
      </c>
    </row>
    <row r="481" spans="2:15" x14ac:dyDescent="0.3">
      <c r="C481" s="17"/>
      <c r="D481" s="17"/>
      <c r="E481" s="17"/>
      <c r="F481" s="17"/>
      <c r="G481" s="17"/>
      <c r="H481" s="17"/>
      <c r="I481" s="17"/>
      <c r="J481" s="17"/>
      <c r="K481" s="17"/>
      <c r="L481" s="17"/>
      <c r="M481" s="17"/>
      <c r="N481" s="17"/>
      <c r="O481" s="17"/>
    </row>
    <row r="482" spans="2:15" x14ac:dyDescent="0.3">
      <c r="B482" s="6" t="s">
        <v>246</v>
      </c>
      <c r="C482" s="17"/>
      <c r="D482" s="17"/>
      <c r="E482" s="17"/>
      <c r="F482" s="17"/>
      <c r="G482" s="17"/>
      <c r="H482" s="17"/>
      <c r="I482" s="17"/>
      <c r="J482" s="17"/>
      <c r="K482" s="17"/>
      <c r="L482" s="17"/>
      <c r="M482" s="17"/>
      <c r="N482" s="17"/>
      <c r="O482" s="17"/>
    </row>
    <row r="483" spans="2:15" x14ac:dyDescent="0.3">
      <c r="B483" s="23" t="s">
        <v>241</v>
      </c>
      <c r="C483" s="17"/>
      <c r="D483" s="17"/>
      <c r="E483" s="17"/>
      <c r="F483" s="17"/>
      <c r="G483" s="17"/>
      <c r="H483" s="17"/>
      <c r="I483" s="17"/>
      <c r="J483" s="17"/>
      <c r="K483" s="17"/>
      <c r="L483" s="17"/>
      <c r="M483" s="17"/>
      <c r="N483" s="17"/>
      <c r="O483" s="17"/>
    </row>
    <row r="484" spans="2:15" x14ac:dyDescent="0.3">
      <c r="B484" t="s">
        <v>231</v>
      </c>
      <c r="C484" s="17">
        <v>2.1393703554300401E-2</v>
      </c>
      <c r="D484" s="17">
        <v>0</v>
      </c>
      <c r="E484" s="17">
        <v>3.3979928892520703E-2</v>
      </c>
      <c r="F484" s="17"/>
      <c r="G484" s="17">
        <v>2.1083489077217899E-2</v>
      </c>
      <c r="H484" s="17">
        <v>5.2153933974564602E-2</v>
      </c>
      <c r="I484" s="17">
        <v>0</v>
      </c>
      <c r="J484" s="17">
        <v>0</v>
      </c>
      <c r="K484" s="17"/>
      <c r="L484" s="17">
        <v>4.03786170003139E-2</v>
      </c>
      <c r="M484" s="17">
        <v>0</v>
      </c>
      <c r="N484" s="17">
        <v>0</v>
      </c>
      <c r="O484" s="17">
        <v>3.9719560455628203E-2</v>
      </c>
    </row>
    <row r="485" spans="2:15" x14ac:dyDescent="0.3">
      <c r="B485" t="s">
        <v>232</v>
      </c>
      <c r="C485" s="17">
        <v>9.6949524694379299E-2</v>
      </c>
      <c r="D485" s="17">
        <v>9.7163584178839205E-2</v>
      </c>
      <c r="E485" s="17">
        <v>9.8471396692628499E-2</v>
      </c>
      <c r="F485" s="17"/>
      <c r="G485" s="17">
        <v>0.153510289533931</v>
      </c>
      <c r="H485" s="17">
        <v>0.151421314943983</v>
      </c>
      <c r="I485" s="17">
        <v>0</v>
      </c>
      <c r="J485" s="17">
        <v>0</v>
      </c>
      <c r="K485" s="17"/>
      <c r="L485" s="17">
        <v>2.5808026233585399E-2</v>
      </c>
      <c r="M485" s="17">
        <v>0.269450427600466</v>
      </c>
      <c r="N485" s="17">
        <v>3.8810839877966199E-2</v>
      </c>
      <c r="O485" s="17">
        <v>6.2595435778941499E-2</v>
      </c>
    </row>
    <row r="486" spans="2:15" x14ac:dyDescent="0.3">
      <c r="B486" t="s">
        <v>233</v>
      </c>
      <c r="C486" s="17">
        <v>0.26766132874570803</v>
      </c>
      <c r="D486" s="17">
        <v>0.355288125456654</v>
      </c>
      <c r="E486" s="17">
        <v>0.20517548756610701</v>
      </c>
      <c r="F486" s="17"/>
      <c r="G486" s="17">
        <v>0.27445062650512603</v>
      </c>
      <c r="H486" s="17">
        <v>0.15085192530078401</v>
      </c>
      <c r="I486" s="17">
        <v>0.32059498295345501</v>
      </c>
      <c r="J486" s="17">
        <v>0.35508874055107698</v>
      </c>
      <c r="K486" s="17"/>
      <c r="L486" s="17">
        <v>0.22027059834449</v>
      </c>
      <c r="M486" s="17">
        <v>0.39237636341236598</v>
      </c>
      <c r="N486" s="17">
        <v>0.39462192303578703</v>
      </c>
      <c r="O486" s="17">
        <v>5.3295324677693101E-2</v>
      </c>
    </row>
    <row r="487" spans="2:15" x14ac:dyDescent="0.3">
      <c r="B487" t="s">
        <v>234</v>
      </c>
      <c r="C487" s="17">
        <v>0.21295625533384099</v>
      </c>
      <c r="D487" s="17">
        <v>0.229574805455698</v>
      </c>
      <c r="E487" s="17">
        <v>0.207072702396363</v>
      </c>
      <c r="F487" s="17"/>
      <c r="G487" s="17">
        <v>0.25888585292656102</v>
      </c>
      <c r="H487" s="17">
        <v>0.134831358904138</v>
      </c>
      <c r="I487" s="17">
        <v>0.27119609330024302</v>
      </c>
      <c r="J487" s="17">
        <v>0.19365116579291</v>
      </c>
      <c r="K487" s="17"/>
      <c r="L487" s="17">
        <v>0.26647095153593597</v>
      </c>
      <c r="M487" s="17">
        <v>0.13779640347406</v>
      </c>
      <c r="N487" s="17">
        <v>0.19302036397611699</v>
      </c>
      <c r="O487" s="17">
        <v>0.23949353703981099</v>
      </c>
    </row>
    <row r="488" spans="2:15" x14ac:dyDescent="0.3">
      <c r="B488" t="s">
        <v>235</v>
      </c>
      <c r="C488" s="17">
        <v>0.18680358443998299</v>
      </c>
      <c r="D488" s="17">
        <v>0.13171685253454701</v>
      </c>
      <c r="E488" s="17">
        <v>0.22144570424077301</v>
      </c>
      <c r="F488" s="17"/>
      <c r="G488" s="17">
        <v>0.174507432480562</v>
      </c>
      <c r="H488" s="17">
        <v>0.19382377778955101</v>
      </c>
      <c r="I488" s="17">
        <v>0.26232763547836002</v>
      </c>
      <c r="J488" s="17">
        <v>0.15846109070780701</v>
      </c>
      <c r="K488" s="17"/>
      <c r="L488" s="17">
        <v>0.24257768422665199</v>
      </c>
      <c r="M488" s="17">
        <v>0.16073945001050799</v>
      </c>
      <c r="N488" s="17">
        <v>0.129859028499964</v>
      </c>
      <c r="O488" s="17">
        <v>0.18831610580199401</v>
      </c>
    </row>
    <row r="489" spans="2:15" x14ac:dyDescent="0.3">
      <c r="B489" t="s">
        <v>236</v>
      </c>
      <c r="C489" s="17">
        <v>0.126600231687858</v>
      </c>
      <c r="D489" s="17">
        <v>0.15869029300710299</v>
      </c>
      <c r="E489" s="17">
        <v>0.110412427801028</v>
      </c>
      <c r="F489" s="17"/>
      <c r="G489" s="17">
        <v>9.1933846814702597E-2</v>
      </c>
      <c r="H489" s="17">
        <v>0.124619864852098</v>
      </c>
      <c r="I489" s="17">
        <v>0</v>
      </c>
      <c r="J489" s="17">
        <v>0.25114976354178598</v>
      </c>
      <c r="K489" s="17"/>
      <c r="L489" s="17">
        <v>0</v>
      </c>
      <c r="M489" s="17">
        <v>0</v>
      </c>
      <c r="N489" s="17">
        <v>0.19905567421071901</v>
      </c>
      <c r="O489" s="17">
        <v>0.41658003624593198</v>
      </c>
    </row>
    <row r="490" spans="2:15" x14ac:dyDescent="0.3">
      <c r="B490" t="s">
        <v>237</v>
      </c>
      <c r="C490" s="17">
        <v>5.5733710285063798E-2</v>
      </c>
      <c r="D490" s="17">
        <v>2.7566339367158299E-2</v>
      </c>
      <c r="E490" s="17">
        <v>7.2772482260318697E-2</v>
      </c>
      <c r="F490" s="17"/>
      <c r="G490" s="17">
        <v>2.5628462661900501E-2</v>
      </c>
      <c r="H490" s="17">
        <v>6.8467603450622402E-2</v>
      </c>
      <c r="I490" s="17">
        <v>0.145881288267943</v>
      </c>
      <c r="J490" s="17">
        <v>4.1649239406420499E-2</v>
      </c>
      <c r="K490" s="17"/>
      <c r="L490" s="17">
        <v>0.108622293305739</v>
      </c>
      <c r="M490" s="17">
        <v>3.9637355502599197E-2</v>
      </c>
      <c r="N490" s="17">
        <v>4.4632170399447398E-2</v>
      </c>
      <c r="O490" s="17">
        <v>0</v>
      </c>
    </row>
    <row r="491" spans="2:15" x14ac:dyDescent="0.3">
      <c r="B491" t="s">
        <v>238</v>
      </c>
      <c r="C491" s="17">
        <v>0</v>
      </c>
      <c r="D491" s="17">
        <v>0</v>
      </c>
      <c r="E491" s="17">
        <v>0</v>
      </c>
      <c r="F491" s="17"/>
      <c r="G491" s="17">
        <v>0</v>
      </c>
      <c r="H491" s="17">
        <v>0</v>
      </c>
      <c r="I491" s="17">
        <v>0</v>
      </c>
      <c r="J491" s="17">
        <v>0</v>
      </c>
      <c r="K491" s="17"/>
      <c r="L491" s="17">
        <v>0</v>
      </c>
      <c r="M491" s="17">
        <v>0</v>
      </c>
      <c r="N491" s="17">
        <v>0</v>
      </c>
      <c r="O491" s="17">
        <v>0</v>
      </c>
    </row>
    <row r="492" spans="2:15" x14ac:dyDescent="0.3">
      <c r="B492" t="s">
        <v>239</v>
      </c>
      <c r="C492" s="17">
        <v>3.1901661258867203E-2</v>
      </c>
      <c r="D492" s="17">
        <v>0</v>
      </c>
      <c r="E492" s="17">
        <v>5.0669870150261503E-2</v>
      </c>
      <c r="F492" s="17"/>
      <c r="G492" s="17">
        <v>0</v>
      </c>
      <c r="H492" s="17">
        <v>0.123830220784259</v>
      </c>
      <c r="I492" s="17">
        <v>0</v>
      </c>
      <c r="J492" s="17">
        <v>0</v>
      </c>
      <c r="K492" s="17"/>
      <c r="L492" s="17">
        <v>9.5871829353283894E-2</v>
      </c>
      <c r="M492" s="17">
        <v>0</v>
      </c>
      <c r="N492" s="17">
        <v>0</v>
      </c>
      <c r="O492" s="17">
        <v>0</v>
      </c>
    </row>
    <row r="493" spans="2:15" x14ac:dyDescent="0.3">
      <c r="C493" s="17"/>
      <c r="D493" s="17"/>
      <c r="E493" s="17"/>
      <c r="F493" s="17"/>
      <c r="G493" s="17"/>
      <c r="H493" s="17"/>
      <c r="I493" s="17"/>
      <c r="J493" s="17"/>
      <c r="K493" s="17"/>
      <c r="L493" s="17"/>
      <c r="M493" s="17"/>
      <c r="N493" s="17"/>
      <c r="O493" s="17"/>
    </row>
    <row r="494" spans="2:15" x14ac:dyDescent="0.3">
      <c r="B494" s="6" t="s">
        <v>247</v>
      </c>
      <c r="C494" s="17"/>
      <c r="D494" s="17"/>
      <c r="E494" s="17"/>
      <c r="F494" s="17"/>
      <c r="G494" s="17"/>
      <c r="H494" s="17"/>
      <c r="I494" s="17"/>
      <c r="J494" s="17"/>
      <c r="K494" s="17"/>
      <c r="L494" s="17"/>
      <c r="M494" s="17"/>
      <c r="N494" s="17"/>
      <c r="O494" s="17"/>
    </row>
    <row r="495" spans="2:15" x14ac:dyDescent="0.3">
      <c r="B495" s="23" t="s">
        <v>241</v>
      </c>
      <c r="C495" s="17"/>
      <c r="D495" s="17"/>
      <c r="E495" s="17"/>
      <c r="F495" s="17"/>
      <c r="G495" s="17"/>
      <c r="H495" s="17"/>
      <c r="I495" s="17"/>
      <c r="J495" s="17"/>
      <c r="K495" s="17"/>
      <c r="L495" s="17"/>
      <c r="M495" s="17"/>
      <c r="N495" s="17"/>
      <c r="O495" s="17"/>
    </row>
    <row r="496" spans="2:15" x14ac:dyDescent="0.3">
      <c r="B496" t="s">
        <v>231</v>
      </c>
      <c r="C496" s="17">
        <v>3.9233392819755401E-2</v>
      </c>
      <c r="D496" s="17">
        <v>6.7099235891181594E-2</v>
      </c>
      <c r="E496" s="17">
        <v>0</v>
      </c>
      <c r="F496" s="17"/>
      <c r="G496" s="17">
        <v>9.2226451951001306E-2</v>
      </c>
      <c r="H496" s="17">
        <v>0</v>
      </c>
      <c r="I496" s="17">
        <v>0</v>
      </c>
      <c r="J496" s="17">
        <v>0</v>
      </c>
      <c r="K496" s="17"/>
      <c r="L496" s="17">
        <v>4.7928569309296502E-2</v>
      </c>
      <c r="M496" s="17">
        <v>0</v>
      </c>
      <c r="N496" s="17">
        <v>4.1827757435801499E-2</v>
      </c>
      <c r="O496" s="17">
        <v>8.5882745029469604E-2</v>
      </c>
    </row>
    <row r="497" spans="2:15" x14ac:dyDescent="0.3">
      <c r="B497" t="s">
        <v>232</v>
      </c>
      <c r="C497" s="17">
        <v>0.25994056649034503</v>
      </c>
      <c r="D497" s="17">
        <v>0.28078691283363499</v>
      </c>
      <c r="E497" s="17">
        <v>0.230590193244985</v>
      </c>
      <c r="F497" s="17"/>
      <c r="G497" s="17">
        <v>0.286878964555281</v>
      </c>
      <c r="H497" s="17">
        <v>0.149784817322589</v>
      </c>
      <c r="I497" s="17">
        <v>0.37331246860452999</v>
      </c>
      <c r="J497" s="17">
        <v>0.227671382068523</v>
      </c>
      <c r="K497" s="17"/>
      <c r="L497" s="17">
        <v>0.272753249020804</v>
      </c>
      <c r="M497" s="17">
        <v>0.34504225822121198</v>
      </c>
      <c r="N497" s="17">
        <v>0.34289937304875701</v>
      </c>
      <c r="O497" s="17">
        <v>0</v>
      </c>
    </row>
    <row r="498" spans="2:15" x14ac:dyDescent="0.3">
      <c r="B498" t="s">
        <v>233</v>
      </c>
      <c r="C498" s="17">
        <v>0.15248185566574901</v>
      </c>
      <c r="D498" s="17">
        <v>0.191906695423533</v>
      </c>
      <c r="E498" s="17">
        <v>9.6974106587123701E-2</v>
      </c>
      <c r="F498" s="17"/>
      <c r="G498" s="17">
        <v>0.22521079956012299</v>
      </c>
      <c r="H498" s="17">
        <v>9.2129530875872098E-2</v>
      </c>
      <c r="I498" s="17">
        <v>0.121739621456621</v>
      </c>
      <c r="J498" s="17">
        <v>8.6043183173306503E-2</v>
      </c>
      <c r="K498" s="17"/>
      <c r="L498" s="17">
        <v>0.27234464501966299</v>
      </c>
      <c r="M498" s="17">
        <v>9.2405694472916106E-2</v>
      </c>
      <c r="N498" s="17">
        <v>0.19091590564427699</v>
      </c>
      <c r="O498" s="17">
        <v>5.4793515302947703E-2</v>
      </c>
    </row>
    <row r="499" spans="2:15" x14ac:dyDescent="0.3">
      <c r="B499" t="s">
        <v>234</v>
      </c>
      <c r="C499" s="17">
        <v>0.249365730418106</v>
      </c>
      <c r="D499" s="17">
        <v>0.21064513173619701</v>
      </c>
      <c r="E499" s="17">
        <v>0.303881951384741</v>
      </c>
      <c r="F499" s="17"/>
      <c r="G499" s="17">
        <v>0.203393071002993</v>
      </c>
      <c r="H499" s="17">
        <v>0.411294258819559</v>
      </c>
      <c r="I499" s="17">
        <v>0.104861857018171</v>
      </c>
      <c r="J499" s="17">
        <v>0.29179580910745501</v>
      </c>
      <c r="K499" s="17"/>
      <c r="L499" s="17">
        <v>0.16908810064954899</v>
      </c>
      <c r="M499" s="17">
        <v>0.42987848421094199</v>
      </c>
      <c r="N499" s="17">
        <v>0.22159725176235001</v>
      </c>
      <c r="O499" s="17">
        <v>0.10253948517511099</v>
      </c>
    </row>
    <row r="500" spans="2:15" x14ac:dyDescent="0.3">
      <c r="B500" t="s">
        <v>235</v>
      </c>
      <c r="C500" s="17">
        <v>0.13795031277377301</v>
      </c>
      <c r="D500" s="17">
        <v>0.110495350116796</v>
      </c>
      <c r="E500" s="17">
        <v>0.17660521124614001</v>
      </c>
      <c r="F500" s="17"/>
      <c r="G500" s="17">
        <v>7.4604669819892402E-2</v>
      </c>
      <c r="H500" s="17">
        <v>6.6837207729745496E-2</v>
      </c>
      <c r="I500" s="17">
        <v>0.24031204548385901</v>
      </c>
      <c r="J500" s="17">
        <v>0.27195066313015198</v>
      </c>
      <c r="K500" s="17"/>
      <c r="L500" s="17">
        <v>0</v>
      </c>
      <c r="M500" s="17">
        <v>4.8169397155098798E-2</v>
      </c>
      <c r="N500" s="17">
        <v>6.6717938063440396E-2</v>
      </c>
      <c r="O500" s="17">
        <v>0.53141025396182895</v>
      </c>
    </row>
    <row r="501" spans="2:15" x14ac:dyDescent="0.3">
      <c r="B501" t="s">
        <v>236</v>
      </c>
      <c r="C501" s="17">
        <v>7.6501456994331293E-2</v>
      </c>
      <c r="D501" s="17">
        <v>6.1734096720560697E-2</v>
      </c>
      <c r="E501" s="17">
        <v>9.7292991815173896E-2</v>
      </c>
      <c r="F501" s="17"/>
      <c r="G501" s="17">
        <v>0.11768604311071</v>
      </c>
      <c r="H501" s="17">
        <v>0</v>
      </c>
      <c r="I501" s="17">
        <v>0.15977400743681899</v>
      </c>
      <c r="J501" s="17">
        <v>0</v>
      </c>
      <c r="K501" s="17"/>
      <c r="L501" s="17">
        <v>6.3945533964655493E-2</v>
      </c>
      <c r="M501" s="17">
        <v>3.1861303273233499E-2</v>
      </c>
      <c r="N501" s="17">
        <v>2.8744627347339499E-2</v>
      </c>
      <c r="O501" s="17">
        <v>0.22537400053064299</v>
      </c>
    </row>
    <row r="502" spans="2:15" x14ac:dyDescent="0.3">
      <c r="B502" t="s">
        <v>237</v>
      </c>
      <c r="C502" s="17">
        <v>2.9389165654348501E-2</v>
      </c>
      <c r="D502" s="17">
        <v>5.0263064628281999E-2</v>
      </c>
      <c r="E502" s="17">
        <v>0</v>
      </c>
      <c r="F502" s="17"/>
      <c r="G502" s="17">
        <v>0</v>
      </c>
      <c r="H502" s="17">
        <v>0.13451517594599399</v>
      </c>
      <c r="I502" s="17">
        <v>0</v>
      </c>
      <c r="J502" s="17">
        <v>0</v>
      </c>
      <c r="K502" s="17"/>
      <c r="L502" s="17">
        <v>0</v>
      </c>
      <c r="M502" s="17">
        <v>5.2642862666597297E-2</v>
      </c>
      <c r="N502" s="17">
        <v>4.9050730131404097E-2</v>
      </c>
      <c r="O502" s="17">
        <v>0</v>
      </c>
    </row>
    <row r="503" spans="2:15" x14ac:dyDescent="0.3">
      <c r="B503" t="s">
        <v>238</v>
      </c>
      <c r="C503" s="17">
        <v>3.1775828318594303E-2</v>
      </c>
      <c r="D503" s="17">
        <v>2.7069512649815702E-2</v>
      </c>
      <c r="E503" s="17">
        <v>3.8402031261519101E-2</v>
      </c>
      <c r="F503" s="17"/>
      <c r="G503" s="17">
        <v>0</v>
      </c>
      <c r="H503" s="17">
        <v>0.14543900930624001</v>
      </c>
      <c r="I503" s="17">
        <v>0</v>
      </c>
      <c r="J503" s="17">
        <v>0</v>
      </c>
      <c r="K503" s="17"/>
      <c r="L503" s="17">
        <v>7.0250442772862604E-2</v>
      </c>
      <c r="M503" s="17">
        <v>0</v>
      </c>
      <c r="N503" s="17">
        <v>5.82464165666308E-2</v>
      </c>
      <c r="O503" s="17">
        <v>0</v>
      </c>
    </row>
    <row r="504" spans="2:15" x14ac:dyDescent="0.3">
      <c r="B504" t="s">
        <v>239</v>
      </c>
      <c r="C504" s="17">
        <v>2.3361690864998601E-2</v>
      </c>
      <c r="D504" s="17">
        <v>0</v>
      </c>
      <c r="E504" s="17">
        <v>5.6253514460317303E-2</v>
      </c>
      <c r="F504" s="17"/>
      <c r="G504" s="17">
        <v>0</v>
      </c>
      <c r="H504" s="17">
        <v>0</v>
      </c>
      <c r="I504" s="17">
        <v>0</v>
      </c>
      <c r="J504" s="17">
        <v>0.122538962520563</v>
      </c>
      <c r="K504" s="17"/>
      <c r="L504" s="17">
        <v>0.103689459263169</v>
      </c>
      <c r="M504" s="17">
        <v>0</v>
      </c>
      <c r="N504" s="17">
        <v>0</v>
      </c>
      <c r="O504" s="17">
        <v>0</v>
      </c>
    </row>
    <row r="505" spans="2:15" x14ac:dyDescent="0.3">
      <c r="C505" s="17"/>
      <c r="D505" s="17"/>
      <c r="E505" s="17"/>
      <c r="F505" s="17"/>
      <c r="G505" s="17"/>
      <c r="H505" s="17"/>
      <c r="I505" s="17"/>
      <c r="J505" s="17"/>
      <c r="K505" s="17"/>
      <c r="L505" s="17"/>
      <c r="M505" s="17"/>
      <c r="N505" s="17"/>
      <c r="O505" s="17"/>
    </row>
    <row r="506" spans="2:15" x14ac:dyDescent="0.3">
      <c r="B506" s="6" t="s">
        <v>248</v>
      </c>
      <c r="C506" s="17"/>
      <c r="D506" s="17"/>
      <c r="E506" s="17"/>
      <c r="F506" s="17"/>
      <c r="G506" s="17"/>
      <c r="H506" s="17"/>
      <c r="I506" s="17"/>
      <c r="J506" s="17"/>
      <c r="K506" s="17"/>
      <c r="L506" s="17"/>
      <c r="M506" s="17"/>
      <c r="N506" s="17"/>
      <c r="O506" s="17"/>
    </row>
    <row r="507" spans="2:15" x14ac:dyDescent="0.3">
      <c r="B507" s="23" t="s">
        <v>241</v>
      </c>
      <c r="C507" s="17"/>
      <c r="D507" s="17"/>
      <c r="E507" s="17"/>
      <c r="F507" s="17"/>
      <c r="G507" s="17"/>
      <c r="H507" s="17"/>
      <c r="I507" s="17"/>
      <c r="J507" s="17"/>
      <c r="K507" s="17"/>
      <c r="L507" s="17"/>
      <c r="M507" s="17"/>
      <c r="N507" s="17"/>
      <c r="O507" s="17"/>
    </row>
    <row r="508" spans="2:15" x14ac:dyDescent="0.3">
      <c r="B508" t="s">
        <v>231</v>
      </c>
      <c r="C508" s="17">
        <v>0</v>
      </c>
      <c r="D508" s="17">
        <v>0</v>
      </c>
      <c r="E508" s="17">
        <v>0</v>
      </c>
      <c r="F508" s="17"/>
      <c r="G508" s="17">
        <v>0</v>
      </c>
      <c r="H508" s="17">
        <v>0</v>
      </c>
      <c r="I508" s="17">
        <v>0</v>
      </c>
      <c r="J508" s="17">
        <v>0</v>
      </c>
      <c r="K508" s="17"/>
      <c r="L508" s="17">
        <v>0</v>
      </c>
      <c r="M508" s="17">
        <v>0</v>
      </c>
      <c r="N508" s="17">
        <v>0</v>
      </c>
      <c r="O508" s="17">
        <v>0</v>
      </c>
    </row>
    <row r="509" spans="2:15" x14ac:dyDescent="0.3">
      <c r="B509" t="s">
        <v>232</v>
      </c>
      <c r="C509" s="17">
        <v>0.11708851082089</v>
      </c>
      <c r="D509" s="17">
        <v>0</v>
      </c>
      <c r="E509" s="17">
        <v>0.168200767189849</v>
      </c>
      <c r="F509" s="17"/>
      <c r="G509" s="17">
        <v>0.188596293081187</v>
      </c>
      <c r="H509" s="17">
        <v>0</v>
      </c>
      <c r="I509" s="17">
        <v>0</v>
      </c>
      <c r="J509" s="17">
        <v>0</v>
      </c>
      <c r="K509" s="17"/>
      <c r="L509" s="17">
        <v>0</v>
      </c>
      <c r="M509" s="17">
        <v>9.2946242060383599E-2</v>
      </c>
      <c r="N509" s="17">
        <v>0.216684667203079</v>
      </c>
      <c r="O509" s="17">
        <v>0</v>
      </c>
    </row>
    <row r="510" spans="2:15" x14ac:dyDescent="0.3">
      <c r="B510" t="s">
        <v>233</v>
      </c>
      <c r="C510" s="17">
        <v>0.13142443036234999</v>
      </c>
      <c r="D510" s="17">
        <v>0.43249293975332098</v>
      </c>
      <c r="E510" s="17">
        <v>0</v>
      </c>
      <c r="F510" s="17"/>
      <c r="G510" s="17">
        <v>0.117113653043321</v>
      </c>
      <c r="H510" s="17">
        <v>0</v>
      </c>
      <c r="I510" s="17">
        <v>0.29740913060265201</v>
      </c>
      <c r="J510" s="17">
        <v>0</v>
      </c>
      <c r="K510" s="17"/>
      <c r="L510" s="17">
        <v>0</v>
      </c>
      <c r="M510" s="17">
        <v>9.6683496079087203E-2</v>
      </c>
      <c r="N510" s="17">
        <v>0.25193575029885801</v>
      </c>
      <c r="O510" s="17">
        <v>0</v>
      </c>
    </row>
    <row r="511" spans="2:15" x14ac:dyDescent="0.3">
      <c r="B511" t="s">
        <v>234</v>
      </c>
      <c r="C511" s="17">
        <v>0.20510065735031899</v>
      </c>
      <c r="D511" s="17">
        <v>0.232774276769665</v>
      </c>
      <c r="E511" s="17">
        <v>0.19302038473858199</v>
      </c>
      <c r="F511" s="17"/>
      <c r="G511" s="17">
        <v>0.21642546380132199</v>
      </c>
      <c r="H511" s="17">
        <v>0</v>
      </c>
      <c r="I511" s="17">
        <v>0</v>
      </c>
      <c r="J511" s="17">
        <v>1</v>
      </c>
      <c r="K511" s="17"/>
      <c r="L511" s="17">
        <v>0</v>
      </c>
      <c r="M511" s="17">
        <v>0.240299163888095</v>
      </c>
      <c r="N511" s="17">
        <v>0.29114124541904202</v>
      </c>
      <c r="O511" s="17">
        <v>0</v>
      </c>
    </row>
    <row r="512" spans="2:15" x14ac:dyDescent="0.3">
      <c r="B512" t="s">
        <v>235</v>
      </c>
      <c r="C512" s="17">
        <v>0.220143500878418</v>
      </c>
      <c r="D512" s="17">
        <v>0</v>
      </c>
      <c r="E512" s="17">
        <v>0.316242007691524</v>
      </c>
      <c r="F512" s="17"/>
      <c r="G512" s="17">
        <v>0.234021787345983</v>
      </c>
      <c r="H512" s="17">
        <v>0</v>
      </c>
      <c r="I512" s="17">
        <v>0.379150359155082</v>
      </c>
      <c r="J512" s="17">
        <v>0</v>
      </c>
      <c r="K512" s="17"/>
      <c r="L512" s="17">
        <v>0.69487524565125802</v>
      </c>
      <c r="M512" s="17">
        <v>0.18081662484618699</v>
      </c>
      <c r="N512" s="17">
        <v>8.8683574815633201E-2</v>
      </c>
      <c r="O512" s="17">
        <v>0</v>
      </c>
    </row>
    <row r="513" spans="2:15" x14ac:dyDescent="0.3">
      <c r="B513" t="s">
        <v>236</v>
      </c>
      <c r="C513" s="17">
        <v>0.15479303887654999</v>
      </c>
      <c r="D513" s="17">
        <v>0.13580535473660399</v>
      </c>
      <c r="E513" s="17">
        <v>0.163081669185448</v>
      </c>
      <c r="F513" s="17"/>
      <c r="G513" s="17">
        <v>0.14647606481386899</v>
      </c>
      <c r="H513" s="17">
        <v>0</v>
      </c>
      <c r="I513" s="17">
        <v>0.323440510242266</v>
      </c>
      <c r="J513" s="17">
        <v>0</v>
      </c>
      <c r="K513" s="17"/>
      <c r="L513" s="17">
        <v>0.30512475434874198</v>
      </c>
      <c r="M513" s="17">
        <v>0.25393676925438402</v>
      </c>
      <c r="N513" s="17">
        <v>0</v>
      </c>
      <c r="O513" s="17">
        <v>0</v>
      </c>
    </row>
    <row r="514" spans="2:15" x14ac:dyDescent="0.3">
      <c r="B514" t="s">
        <v>237</v>
      </c>
      <c r="C514" s="17">
        <v>5.6017675301206098E-2</v>
      </c>
      <c r="D514" s="17">
        <v>0</v>
      </c>
      <c r="E514" s="17">
        <v>8.0470883913348404E-2</v>
      </c>
      <c r="F514" s="17"/>
      <c r="G514" s="17">
        <v>0</v>
      </c>
      <c r="H514" s="17">
        <v>0.50466148768008801</v>
      </c>
      <c r="I514" s="17">
        <v>0</v>
      </c>
      <c r="J514" s="17">
        <v>0</v>
      </c>
      <c r="K514" s="17"/>
      <c r="L514" s="17">
        <v>0</v>
      </c>
      <c r="M514" s="17">
        <v>0.13531770387186301</v>
      </c>
      <c r="N514" s="17">
        <v>0</v>
      </c>
      <c r="O514" s="17">
        <v>0</v>
      </c>
    </row>
    <row r="515" spans="2:15" x14ac:dyDescent="0.3">
      <c r="B515" t="s">
        <v>238</v>
      </c>
      <c r="C515" s="17">
        <v>0.11543218641026599</v>
      </c>
      <c r="D515" s="17">
        <v>0.19892742874041</v>
      </c>
      <c r="E515" s="17">
        <v>7.8984287281248705E-2</v>
      </c>
      <c r="F515" s="17"/>
      <c r="G515" s="17">
        <v>9.7366737914318602E-2</v>
      </c>
      <c r="H515" s="17">
        <v>0.49533851231991199</v>
      </c>
      <c r="I515" s="17">
        <v>0</v>
      </c>
      <c r="J515" s="17">
        <v>0</v>
      </c>
      <c r="K515" s="17"/>
      <c r="L515" s="17">
        <v>0</v>
      </c>
      <c r="M515" s="17">
        <v>0</v>
      </c>
      <c r="N515" s="17">
        <v>0.15155476226338799</v>
      </c>
      <c r="O515" s="17">
        <v>1</v>
      </c>
    </row>
    <row r="516" spans="2:15" x14ac:dyDescent="0.3">
      <c r="B516" t="s">
        <v>239</v>
      </c>
      <c r="C516" s="17">
        <v>0</v>
      </c>
      <c r="D516" s="17">
        <v>0</v>
      </c>
      <c r="E516" s="17">
        <v>0</v>
      </c>
      <c r="F516" s="17"/>
      <c r="G516" s="17">
        <v>0</v>
      </c>
      <c r="H516" s="17">
        <v>0</v>
      </c>
      <c r="I516" s="17">
        <v>0</v>
      </c>
      <c r="J516" s="17">
        <v>0</v>
      </c>
      <c r="K516" s="17"/>
      <c r="L516" s="17">
        <v>0</v>
      </c>
      <c r="M516" s="17">
        <v>0</v>
      </c>
      <c r="N516" s="17">
        <v>0</v>
      </c>
      <c r="O516" s="17">
        <v>0</v>
      </c>
    </row>
    <row r="517" spans="2:15" x14ac:dyDescent="0.3">
      <c r="C517" s="17"/>
      <c r="D517" s="17"/>
      <c r="E517" s="17"/>
      <c r="F517" s="17"/>
      <c r="G517" s="17"/>
      <c r="H517" s="17"/>
      <c r="I517" s="17"/>
      <c r="J517" s="17"/>
      <c r="K517" s="17"/>
      <c r="L517" s="17"/>
      <c r="M517" s="17"/>
      <c r="N517" s="17"/>
      <c r="O517" s="17"/>
    </row>
    <row r="518" spans="2:15" x14ac:dyDescent="0.3">
      <c r="B518" s="6" t="s">
        <v>249</v>
      </c>
      <c r="C518" s="17"/>
      <c r="D518" s="17"/>
      <c r="E518" s="17"/>
      <c r="F518" s="17"/>
      <c r="G518" s="17"/>
      <c r="H518" s="17"/>
      <c r="I518" s="17"/>
      <c r="J518" s="17"/>
      <c r="K518" s="17"/>
      <c r="L518" s="17"/>
      <c r="M518" s="17"/>
      <c r="N518" s="17"/>
      <c r="O518" s="17"/>
    </row>
    <row r="519" spans="2:15" x14ac:dyDescent="0.3">
      <c r="B519" s="23" t="s">
        <v>241</v>
      </c>
      <c r="C519" s="17"/>
      <c r="D519" s="17"/>
      <c r="E519" s="17"/>
      <c r="F519" s="17"/>
      <c r="G519" s="17"/>
      <c r="H519" s="17"/>
      <c r="I519" s="17"/>
      <c r="J519" s="17"/>
      <c r="K519" s="17"/>
      <c r="L519" s="17"/>
      <c r="M519" s="17"/>
      <c r="N519" s="17"/>
      <c r="O519" s="17"/>
    </row>
    <row r="520" spans="2:15" x14ac:dyDescent="0.3">
      <c r="B520" t="s">
        <v>231</v>
      </c>
      <c r="C520" s="17">
        <v>1.9587687069497501E-2</v>
      </c>
      <c r="D520" s="17">
        <v>3.31197453001979E-2</v>
      </c>
      <c r="E520" s="17">
        <v>0</v>
      </c>
      <c r="F520" s="17"/>
      <c r="G520" s="17">
        <v>0</v>
      </c>
      <c r="H520" s="17">
        <v>0</v>
      </c>
      <c r="I520" s="17">
        <v>0.12408358000174</v>
      </c>
      <c r="J520" s="17">
        <v>0</v>
      </c>
      <c r="K520" s="17"/>
      <c r="L520" s="17">
        <v>8.2495631712368303E-2</v>
      </c>
      <c r="M520" s="17">
        <v>0</v>
      </c>
      <c r="N520" s="17">
        <v>0</v>
      </c>
      <c r="O520" s="17">
        <v>0</v>
      </c>
    </row>
    <row r="521" spans="2:15" x14ac:dyDescent="0.3">
      <c r="B521" t="s">
        <v>232</v>
      </c>
      <c r="C521" s="17">
        <v>0.111614476038711</v>
      </c>
      <c r="D521" s="17">
        <v>0.14759284108083601</v>
      </c>
      <c r="E521" s="17">
        <v>5.9535705484911501E-2</v>
      </c>
      <c r="F521" s="17"/>
      <c r="G521" s="17">
        <v>0.21559309024798701</v>
      </c>
      <c r="H521" s="17">
        <v>6.5476663248573597E-2</v>
      </c>
      <c r="I521" s="17">
        <v>7.7303417339781896E-2</v>
      </c>
      <c r="J521" s="17">
        <v>0</v>
      </c>
      <c r="K521" s="17"/>
      <c r="L521" s="17">
        <v>3.5037220817071203E-2</v>
      </c>
      <c r="M521" s="17">
        <v>3.0645894607108499E-2</v>
      </c>
      <c r="N521" s="17">
        <v>8.4468431563603397E-2</v>
      </c>
      <c r="O521" s="17">
        <v>0.26502488724633799</v>
      </c>
    </row>
    <row r="522" spans="2:15" x14ac:dyDescent="0.3">
      <c r="B522" t="s">
        <v>233</v>
      </c>
      <c r="C522" s="17">
        <v>0.217560368793698</v>
      </c>
      <c r="D522" s="17">
        <v>0.26322592059918298</v>
      </c>
      <c r="E522" s="17">
        <v>0.151459371933335</v>
      </c>
      <c r="F522" s="17"/>
      <c r="G522" s="17">
        <v>0.12585996957694401</v>
      </c>
      <c r="H522" s="17">
        <v>0.23973656936667101</v>
      </c>
      <c r="I522" s="17">
        <v>0.33376281693538201</v>
      </c>
      <c r="J522" s="17">
        <v>0.27416470723022901</v>
      </c>
      <c r="K522" s="17"/>
      <c r="L522" s="17">
        <v>0.19119834478613401</v>
      </c>
      <c r="M522" s="17">
        <v>0.24674545413077001</v>
      </c>
      <c r="N522" s="17">
        <v>0.27784647014052399</v>
      </c>
      <c r="O522" s="17">
        <v>0.16558485863445299</v>
      </c>
    </row>
    <row r="523" spans="2:15" x14ac:dyDescent="0.3">
      <c r="B523" t="s">
        <v>234</v>
      </c>
      <c r="C523" s="17">
        <v>0.27639694534534198</v>
      </c>
      <c r="D523" s="17">
        <v>0.29056220490124002</v>
      </c>
      <c r="E523" s="17">
        <v>0.25589269782372998</v>
      </c>
      <c r="F523" s="17"/>
      <c r="G523" s="17">
        <v>0.27838172356651603</v>
      </c>
      <c r="H523" s="17">
        <v>0.279049607458912</v>
      </c>
      <c r="I523" s="17">
        <v>0.39121499284684902</v>
      </c>
      <c r="J523" s="17">
        <v>0.18989704366264301</v>
      </c>
      <c r="K523" s="17"/>
      <c r="L523" s="17">
        <v>0.35255707630366501</v>
      </c>
      <c r="M523" s="17">
        <v>0.32597713753443602</v>
      </c>
      <c r="N523" s="17">
        <v>0.31571166133680201</v>
      </c>
      <c r="O523" s="17">
        <v>0.13968750633728699</v>
      </c>
    </row>
    <row r="524" spans="2:15" x14ac:dyDescent="0.3">
      <c r="B524" t="s">
        <v>235</v>
      </c>
      <c r="C524" s="17">
        <v>0.176459091445648</v>
      </c>
      <c r="D524" s="17">
        <v>8.6549273427364307E-2</v>
      </c>
      <c r="E524" s="17">
        <v>0.30660377082798301</v>
      </c>
      <c r="F524" s="17"/>
      <c r="G524" s="17">
        <v>0.16788675418441601</v>
      </c>
      <c r="H524" s="17">
        <v>0.185360592353535</v>
      </c>
      <c r="I524" s="17">
        <v>0</v>
      </c>
      <c r="J524" s="17">
        <v>0.30616240073283901</v>
      </c>
      <c r="K524" s="17"/>
      <c r="L524" s="17">
        <v>0.16951323234253801</v>
      </c>
      <c r="M524" s="17">
        <v>0.16386146303445101</v>
      </c>
      <c r="N524" s="17">
        <v>0.19898023726708899</v>
      </c>
      <c r="O524" s="17">
        <v>0.17434053079483999</v>
      </c>
    </row>
    <row r="525" spans="2:15" x14ac:dyDescent="0.3">
      <c r="B525" t="s">
        <v>236</v>
      </c>
      <c r="C525" s="17">
        <v>0.16467017443277099</v>
      </c>
      <c r="D525" s="17">
        <v>0.15611006708382399</v>
      </c>
      <c r="E525" s="17">
        <v>0.17706095055669199</v>
      </c>
      <c r="F525" s="17"/>
      <c r="G525" s="17">
        <v>0.12654934756767799</v>
      </c>
      <c r="H525" s="17">
        <v>0.23037656757230801</v>
      </c>
      <c r="I525" s="17">
        <v>7.3635192876248201E-2</v>
      </c>
      <c r="J525" s="17">
        <v>0.22977584837428899</v>
      </c>
      <c r="K525" s="17"/>
      <c r="L525" s="17">
        <v>0.16919849403822401</v>
      </c>
      <c r="M525" s="17">
        <v>0.19186354019469701</v>
      </c>
      <c r="N525" s="17">
        <v>0.122993199691982</v>
      </c>
      <c r="O525" s="17">
        <v>0.17222377300890199</v>
      </c>
    </row>
    <row r="526" spans="2:15" x14ac:dyDescent="0.3">
      <c r="B526" t="s">
        <v>237</v>
      </c>
      <c r="C526" s="17">
        <v>9.8436359853099793E-3</v>
      </c>
      <c r="D526" s="17">
        <v>0</v>
      </c>
      <c r="E526" s="17">
        <v>2.4092322919634299E-2</v>
      </c>
      <c r="F526" s="17"/>
      <c r="G526" s="17">
        <v>2.5032771787050101E-2</v>
      </c>
      <c r="H526" s="17">
        <v>0</v>
      </c>
      <c r="I526" s="17">
        <v>0</v>
      </c>
      <c r="J526" s="17">
        <v>0</v>
      </c>
      <c r="K526" s="17"/>
      <c r="L526" s="17">
        <v>0</v>
      </c>
      <c r="M526" s="17">
        <v>4.0906510498537697E-2</v>
      </c>
      <c r="N526" s="17">
        <v>0</v>
      </c>
      <c r="O526" s="17">
        <v>0</v>
      </c>
    </row>
    <row r="527" spans="2:15" x14ac:dyDescent="0.3">
      <c r="B527" t="s">
        <v>238</v>
      </c>
      <c r="C527" s="17">
        <v>2.3867620889023399E-2</v>
      </c>
      <c r="D527" s="17">
        <v>2.2839947607354E-2</v>
      </c>
      <c r="E527" s="17">
        <v>2.5355180453713599E-2</v>
      </c>
      <c r="F527" s="17"/>
      <c r="G527" s="17">
        <v>6.0696343069408798E-2</v>
      </c>
      <c r="H527" s="17">
        <v>0</v>
      </c>
      <c r="I527" s="17">
        <v>0</v>
      </c>
      <c r="J527" s="17">
        <v>0</v>
      </c>
      <c r="K527" s="17"/>
      <c r="L527" s="17">
        <v>0</v>
      </c>
      <c r="M527" s="17">
        <v>0</v>
      </c>
      <c r="N527" s="17">
        <v>0</v>
      </c>
      <c r="O527" s="17">
        <v>8.3138443978180807E-2</v>
      </c>
    </row>
    <row r="528" spans="2:15" x14ac:dyDescent="0.3">
      <c r="B528" t="s">
        <v>239</v>
      </c>
      <c r="C528" s="17">
        <v>0</v>
      </c>
      <c r="D528" s="17">
        <v>0</v>
      </c>
      <c r="E528" s="17">
        <v>0</v>
      </c>
      <c r="F528" s="17"/>
      <c r="G528" s="17">
        <v>0</v>
      </c>
      <c r="H528" s="17">
        <v>0</v>
      </c>
      <c r="I528" s="17">
        <v>0</v>
      </c>
      <c r="J528" s="17">
        <v>0</v>
      </c>
      <c r="K528" s="17"/>
      <c r="L528" s="17">
        <v>0</v>
      </c>
      <c r="M528" s="17">
        <v>0</v>
      </c>
      <c r="N528" s="17">
        <v>0</v>
      </c>
      <c r="O528" s="17">
        <v>0</v>
      </c>
    </row>
    <row r="529" spans="2:15" x14ac:dyDescent="0.3">
      <c r="C529" s="17"/>
      <c r="D529" s="17"/>
      <c r="E529" s="17"/>
      <c r="F529" s="17"/>
      <c r="G529" s="17"/>
      <c r="H529" s="17"/>
      <c r="I529" s="17"/>
      <c r="J529" s="17"/>
      <c r="K529" s="17"/>
      <c r="L529" s="17"/>
      <c r="M529" s="17"/>
      <c r="N529" s="17"/>
      <c r="O529" s="17"/>
    </row>
    <row r="530" spans="2:15" x14ac:dyDescent="0.3">
      <c r="B530" s="6" t="s">
        <v>250</v>
      </c>
      <c r="C530" s="17"/>
      <c r="D530" s="17"/>
      <c r="E530" s="17"/>
      <c r="F530" s="17"/>
      <c r="G530" s="17"/>
      <c r="H530" s="17"/>
      <c r="I530" s="17"/>
      <c r="J530" s="17"/>
      <c r="K530" s="17"/>
      <c r="L530" s="17"/>
      <c r="M530" s="17"/>
      <c r="N530" s="17"/>
      <c r="O530" s="17"/>
    </row>
    <row r="531" spans="2:15" x14ac:dyDescent="0.3">
      <c r="B531" s="23" t="s">
        <v>241</v>
      </c>
      <c r="C531" s="17"/>
      <c r="D531" s="17"/>
      <c r="E531" s="17"/>
      <c r="F531" s="17"/>
      <c r="G531" s="17"/>
      <c r="H531" s="17"/>
      <c r="I531" s="17"/>
      <c r="J531" s="17"/>
      <c r="K531" s="17"/>
      <c r="L531" s="17"/>
      <c r="M531" s="17"/>
      <c r="N531" s="17"/>
      <c r="O531" s="17"/>
    </row>
    <row r="532" spans="2:15" x14ac:dyDescent="0.3">
      <c r="B532" t="s">
        <v>231</v>
      </c>
      <c r="C532" s="17">
        <v>1.2662886536104E-2</v>
      </c>
      <c r="D532" s="17">
        <v>2.0492024060323199E-2</v>
      </c>
      <c r="E532" s="17">
        <v>0</v>
      </c>
      <c r="F532" s="17"/>
      <c r="G532" s="17">
        <v>2.0333665961558299E-2</v>
      </c>
      <c r="H532" s="17">
        <v>0</v>
      </c>
      <c r="I532" s="17">
        <v>0</v>
      </c>
      <c r="J532" s="17">
        <v>0</v>
      </c>
      <c r="K532" s="17"/>
      <c r="L532" s="17">
        <v>0</v>
      </c>
      <c r="M532" s="17">
        <v>0</v>
      </c>
      <c r="N532" s="17">
        <v>3.1660801165605698E-2</v>
      </c>
      <c r="O532" s="17">
        <v>0</v>
      </c>
    </row>
    <row r="533" spans="2:15" x14ac:dyDescent="0.3">
      <c r="B533" t="s">
        <v>232</v>
      </c>
      <c r="C533" s="17">
        <v>0.12526700160916299</v>
      </c>
      <c r="D533" s="17">
        <v>0.15573109066802401</v>
      </c>
      <c r="E533" s="17">
        <v>7.5994230248999498E-2</v>
      </c>
      <c r="F533" s="17"/>
      <c r="G533" s="17">
        <v>0.16068956195289599</v>
      </c>
      <c r="H533" s="17">
        <v>0</v>
      </c>
      <c r="I533" s="17">
        <v>0</v>
      </c>
      <c r="J533" s="17">
        <v>0.53488207401750998</v>
      </c>
      <c r="K533" s="17"/>
      <c r="L533" s="17">
        <v>0</v>
      </c>
      <c r="M533" s="17">
        <v>0.16084651275606099</v>
      </c>
      <c r="N533" s="17">
        <v>0.18067553568421901</v>
      </c>
      <c r="O533" s="17">
        <v>0</v>
      </c>
    </row>
    <row r="534" spans="2:15" x14ac:dyDescent="0.3">
      <c r="B534" t="s">
        <v>233</v>
      </c>
      <c r="C534" s="17">
        <v>0.22892982418282701</v>
      </c>
      <c r="D534" s="17">
        <v>0.24068493392353199</v>
      </c>
      <c r="E534" s="17">
        <v>0.209917050374024</v>
      </c>
      <c r="F534" s="17"/>
      <c r="G534" s="17">
        <v>0.28817207172069698</v>
      </c>
      <c r="H534" s="17">
        <v>0.11541203618784</v>
      </c>
      <c r="I534" s="17">
        <v>0.23237837147287599</v>
      </c>
      <c r="J534" s="17">
        <v>0</v>
      </c>
      <c r="K534" s="17"/>
      <c r="L534" s="17">
        <v>0.73490984824892402</v>
      </c>
      <c r="M534" s="17">
        <v>0.10221436480446899</v>
      </c>
      <c r="N534" s="17">
        <v>0.146545838940872</v>
      </c>
      <c r="O534" s="17">
        <v>0.40556915777554797</v>
      </c>
    </row>
    <row r="535" spans="2:15" x14ac:dyDescent="0.3">
      <c r="B535" t="s">
        <v>234</v>
      </c>
      <c r="C535" s="17">
        <v>0.34671733378830999</v>
      </c>
      <c r="D535" s="17">
        <v>0.29474951669740601</v>
      </c>
      <c r="E535" s="17">
        <v>0.43077034337147802</v>
      </c>
      <c r="F535" s="17"/>
      <c r="G535" s="17">
        <v>0.28723540019930199</v>
      </c>
      <c r="H535" s="17">
        <v>0.51148335651502397</v>
      </c>
      <c r="I535" s="17">
        <v>0.50098814463916896</v>
      </c>
      <c r="J535" s="17">
        <v>0</v>
      </c>
      <c r="K535" s="17"/>
      <c r="L535" s="17">
        <v>0</v>
      </c>
      <c r="M535" s="17">
        <v>0.33899285477504698</v>
      </c>
      <c r="N535" s="17">
        <v>0.41643453377380202</v>
      </c>
      <c r="O535" s="17">
        <v>0.36265066273033603</v>
      </c>
    </row>
    <row r="536" spans="2:15" x14ac:dyDescent="0.3">
      <c r="B536" t="s">
        <v>235</v>
      </c>
      <c r="C536" s="17">
        <v>0.10399528552935999</v>
      </c>
      <c r="D536" s="17">
        <v>0.11702323574011</v>
      </c>
      <c r="E536" s="17">
        <v>8.2923813121779003E-2</v>
      </c>
      <c r="F536" s="17"/>
      <c r="G536" s="17">
        <v>6.66874500438841E-2</v>
      </c>
      <c r="H536" s="17">
        <v>0.15690956133363801</v>
      </c>
      <c r="I536" s="17">
        <v>0.26663348388795499</v>
      </c>
      <c r="J536" s="17">
        <v>0</v>
      </c>
      <c r="K536" s="17"/>
      <c r="L536" s="17">
        <v>0</v>
      </c>
      <c r="M536" s="17">
        <v>0.18955459163065599</v>
      </c>
      <c r="N536" s="17">
        <v>0.103836568382324</v>
      </c>
      <c r="O536" s="17">
        <v>0</v>
      </c>
    </row>
    <row r="537" spans="2:15" x14ac:dyDescent="0.3">
      <c r="B537" t="s">
        <v>236</v>
      </c>
      <c r="C537" s="17">
        <v>0.15125018821545699</v>
      </c>
      <c r="D537" s="17">
        <v>0.12086548353358401</v>
      </c>
      <c r="E537" s="17">
        <v>0.20039456288372001</v>
      </c>
      <c r="F537" s="17"/>
      <c r="G537" s="17">
        <v>0.15616547564456101</v>
      </c>
      <c r="H537" s="17">
        <v>0.13774026529667999</v>
      </c>
      <c r="I537" s="17">
        <v>0</v>
      </c>
      <c r="J537" s="17">
        <v>0.46511792598249002</v>
      </c>
      <c r="K537" s="17"/>
      <c r="L537" s="17">
        <v>0.26509015175107598</v>
      </c>
      <c r="M537" s="17">
        <v>0.11378188872938801</v>
      </c>
      <c r="N537" s="17">
        <v>0.12084672205317799</v>
      </c>
      <c r="O537" s="17">
        <v>0.231780179494116</v>
      </c>
    </row>
    <row r="538" spans="2:15" x14ac:dyDescent="0.3">
      <c r="B538" t="s">
        <v>237</v>
      </c>
      <c r="C538" s="17">
        <v>3.11774801387786E-2</v>
      </c>
      <c r="D538" s="17">
        <v>5.0453715377020703E-2</v>
      </c>
      <c r="E538" s="17">
        <v>0</v>
      </c>
      <c r="F538" s="17"/>
      <c r="G538" s="17">
        <v>2.07163744771021E-2</v>
      </c>
      <c r="H538" s="17">
        <v>7.8454780666818796E-2</v>
      </c>
      <c r="I538" s="17">
        <v>0</v>
      </c>
      <c r="J538" s="17">
        <v>0</v>
      </c>
      <c r="K538" s="17"/>
      <c r="L538" s="17">
        <v>0</v>
      </c>
      <c r="M538" s="17">
        <v>9.4609787304378704E-2</v>
      </c>
      <c r="N538" s="17">
        <v>0</v>
      </c>
      <c r="O538" s="17">
        <v>0</v>
      </c>
    </row>
    <row r="539" spans="2:15" x14ac:dyDescent="0.3">
      <c r="B539" t="s">
        <v>238</v>
      </c>
      <c r="C539" s="17">
        <v>0</v>
      </c>
      <c r="D539" s="17">
        <v>0</v>
      </c>
      <c r="E539" s="17">
        <v>0</v>
      </c>
      <c r="F539" s="17"/>
      <c r="G539" s="17">
        <v>0</v>
      </c>
      <c r="H539" s="17">
        <v>0</v>
      </c>
      <c r="I539" s="17">
        <v>0</v>
      </c>
      <c r="J539" s="17">
        <v>0</v>
      </c>
      <c r="K539" s="17"/>
      <c r="L539" s="17">
        <v>0</v>
      </c>
      <c r="M539" s="17">
        <v>0</v>
      </c>
      <c r="N539" s="17">
        <v>0</v>
      </c>
      <c r="O539" s="17">
        <v>0</v>
      </c>
    </row>
    <row r="540" spans="2:15" x14ac:dyDescent="0.3">
      <c r="B540" t="s">
        <v>239</v>
      </c>
      <c r="C540" s="17">
        <v>0</v>
      </c>
      <c r="D540" s="17">
        <v>0</v>
      </c>
      <c r="E540" s="17">
        <v>0</v>
      </c>
      <c r="F540" s="17"/>
      <c r="G540" s="17">
        <v>0</v>
      </c>
      <c r="H540" s="17">
        <v>0</v>
      </c>
      <c r="I540" s="17">
        <v>0</v>
      </c>
      <c r="J540" s="17">
        <v>0</v>
      </c>
      <c r="K540" s="17"/>
      <c r="L540" s="17">
        <v>0</v>
      </c>
      <c r="M540" s="17">
        <v>0</v>
      </c>
      <c r="N540" s="17">
        <v>0</v>
      </c>
      <c r="O540" s="17">
        <v>0</v>
      </c>
    </row>
    <row r="541" spans="2:15" x14ac:dyDescent="0.3">
      <c r="C541" s="17"/>
      <c r="D541" s="17"/>
      <c r="E541" s="17"/>
      <c r="F541" s="17"/>
      <c r="G541" s="17"/>
      <c r="H541" s="17"/>
      <c r="I541" s="17"/>
      <c r="J541" s="17"/>
      <c r="K541" s="17"/>
      <c r="L541" s="17"/>
      <c r="M541" s="17"/>
      <c r="N541" s="17"/>
      <c r="O541" s="17"/>
    </row>
    <row r="542" spans="2:15" x14ac:dyDescent="0.3">
      <c r="B542" s="6" t="s">
        <v>251</v>
      </c>
      <c r="C542" s="17"/>
      <c r="D542" s="17"/>
      <c r="E542" s="17"/>
      <c r="F542" s="17"/>
      <c r="G542" s="17"/>
      <c r="H542" s="17"/>
      <c r="I542" s="17"/>
      <c r="J542" s="17"/>
      <c r="K542" s="17"/>
      <c r="L542" s="17"/>
      <c r="M542" s="17"/>
      <c r="N542" s="17"/>
      <c r="O542" s="17"/>
    </row>
    <row r="543" spans="2:15" x14ac:dyDescent="0.3">
      <c r="B543" s="23" t="s">
        <v>241</v>
      </c>
      <c r="C543" s="17"/>
      <c r="D543" s="17"/>
      <c r="E543" s="17"/>
      <c r="F543" s="17"/>
      <c r="G543" s="17"/>
      <c r="H543" s="17"/>
      <c r="I543" s="17"/>
      <c r="J543" s="17"/>
      <c r="K543" s="17"/>
      <c r="L543" s="17"/>
      <c r="M543" s="17"/>
      <c r="N543" s="17"/>
      <c r="O543" s="17"/>
    </row>
    <row r="544" spans="2:15" x14ac:dyDescent="0.3">
      <c r="B544" t="s">
        <v>231</v>
      </c>
      <c r="C544" s="17">
        <v>2.1840925421719001E-2</v>
      </c>
      <c r="D544" s="17">
        <v>4.1989841144069701E-2</v>
      </c>
      <c r="E544" s="17">
        <v>0</v>
      </c>
      <c r="F544" s="17"/>
      <c r="G544" s="17">
        <v>4.83928590533199E-2</v>
      </c>
      <c r="H544" s="17">
        <v>0</v>
      </c>
      <c r="I544" s="17">
        <v>0</v>
      </c>
      <c r="J544" s="17">
        <v>0</v>
      </c>
      <c r="K544" s="17"/>
      <c r="L544" s="17">
        <v>0</v>
      </c>
      <c r="M544" s="17">
        <v>7.8375835507309005E-2</v>
      </c>
      <c r="N544" s="17">
        <v>0</v>
      </c>
      <c r="O544" s="17">
        <v>0</v>
      </c>
    </row>
    <row r="545" spans="2:15" x14ac:dyDescent="0.3">
      <c r="B545" t="s">
        <v>232</v>
      </c>
      <c r="C545" s="17">
        <v>8.5686612028382597E-2</v>
      </c>
      <c r="D545" s="17">
        <v>6.6991938415428803E-2</v>
      </c>
      <c r="E545" s="17">
        <v>0.105951175034667</v>
      </c>
      <c r="F545" s="17"/>
      <c r="G545" s="17">
        <v>0.16797543183783201</v>
      </c>
      <c r="H545" s="17">
        <v>4.4563523996551502E-2</v>
      </c>
      <c r="I545" s="17">
        <v>0</v>
      </c>
      <c r="J545" s="17">
        <v>0</v>
      </c>
      <c r="K545" s="17"/>
      <c r="L545" s="17">
        <v>0.100631335032784</v>
      </c>
      <c r="M545" s="17">
        <v>6.2894016435216193E-2</v>
      </c>
      <c r="N545" s="17">
        <v>0.151396021847264</v>
      </c>
      <c r="O545" s="17">
        <v>3.9021655083565802E-2</v>
      </c>
    </row>
    <row r="546" spans="2:15" x14ac:dyDescent="0.3">
      <c r="B546" t="s">
        <v>233</v>
      </c>
      <c r="C546" s="17">
        <v>0.18399412739076201</v>
      </c>
      <c r="D546" s="17">
        <v>0.21282196637178699</v>
      </c>
      <c r="E546" s="17">
        <v>0.152745464190713</v>
      </c>
      <c r="F546" s="17"/>
      <c r="G546" s="17">
        <v>0.20695983475989299</v>
      </c>
      <c r="H546" s="17">
        <v>0.22468340193515399</v>
      </c>
      <c r="I546" s="17">
        <v>5.3129661721230799E-2</v>
      </c>
      <c r="J546" s="17">
        <v>0.236412589618269</v>
      </c>
      <c r="K546" s="17"/>
      <c r="L546" s="17">
        <v>0.20984921593470601</v>
      </c>
      <c r="M546" s="17">
        <v>0.28934368599708599</v>
      </c>
      <c r="N546" s="17">
        <v>0.18465098355284301</v>
      </c>
      <c r="O546" s="17">
        <v>4.2039602729986497E-2</v>
      </c>
    </row>
    <row r="547" spans="2:15" x14ac:dyDescent="0.3">
      <c r="B547" t="s">
        <v>234</v>
      </c>
      <c r="C547" s="17">
        <v>0.21471211666065801</v>
      </c>
      <c r="D547" s="17">
        <v>0.22405499709279</v>
      </c>
      <c r="E547" s="17">
        <v>0.20458466575689299</v>
      </c>
      <c r="F547" s="17"/>
      <c r="G547" s="17">
        <v>0.23868744199192701</v>
      </c>
      <c r="H547" s="17">
        <v>0.25802870310675302</v>
      </c>
      <c r="I547" s="17">
        <v>0.18330962633940501</v>
      </c>
      <c r="J547" s="17">
        <v>0.10389563981189801</v>
      </c>
      <c r="K547" s="17"/>
      <c r="L547" s="17">
        <v>0.16867504055907201</v>
      </c>
      <c r="M547" s="17">
        <v>0.220055484255478</v>
      </c>
      <c r="N547" s="17">
        <v>0.128211594376966</v>
      </c>
      <c r="O547" s="17">
        <v>0.32917319534186501</v>
      </c>
    </row>
    <row r="548" spans="2:15" x14ac:dyDescent="0.3">
      <c r="B548" t="s">
        <v>235</v>
      </c>
      <c r="C548" s="17">
        <v>0.13801700982197099</v>
      </c>
      <c r="D548" s="17">
        <v>0.153897979696696</v>
      </c>
      <c r="E548" s="17">
        <v>0.120802431953958</v>
      </c>
      <c r="F548" s="17"/>
      <c r="G548" s="17">
        <v>0.15569014771578299</v>
      </c>
      <c r="H548" s="17">
        <v>8.0416548630551907E-2</v>
      </c>
      <c r="I548" s="17">
        <v>0.250539791233515</v>
      </c>
      <c r="J548" s="17">
        <v>0</v>
      </c>
      <c r="K548" s="17"/>
      <c r="L548" s="17">
        <v>0.11969788715447401</v>
      </c>
      <c r="M548" s="17">
        <v>0.14383186825303201</v>
      </c>
      <c r="N548" s="17">
        <v>0.11785983653205501</v>
      </c>
      <c r="O548" s="17">
        <v>0.16710813844437999</v>
      </c>
    </row>
    <row r="549" spans="2:15" x14ac:dyDescent="0.3">
      <c r="B549" t="s">
        <v>236</v>
      </c>
      <c r="C549" s="17">
        <v>0.27133713396188203</v>
      </c>
      <c r="D549" s="17">
        <v>0.23539861775193199</v>
      </c>
      <c r="E549" s="17">
        <v>0.31029359509979099</v>
      </c>
      <c r="F549" s="17"/>
      <c r="G549" s="17">
        <v>0.14815783952591399</v>
      </c>
      <c r="H549" s="17">
        <v>0.15972520489296599</v>
      </c>
      <c r="I549" s="17">
        <v>0.51302092070584804</v>
      </c>
      <c r="J549" s="17">
        <v>0.52301085209939902</v>
      </c>
      <c r="K549" s="17"/>
      <c r="L549" s="17">
        <v>0.19445037634135301</v>
      </c>
      <c r="M549" s="17">
        <v>0.17710189758736899</v>
      </c>
      <c r="N549" s="17">
        <v>0.35536391702445103</v>
      </c>
      <c r="O549" s="17">
        <v>0.377555149468144</v>
      </c>
    </row>
    <row r="550" spans="2:15" x14ac:dyDescent="0.3">
      <c r="B550" t="s">
        <v>237</v>
      </c>
      <c r="C550" s="17">
        <v>8.4412074714625099E-2</v>
      </c>
      <c r="D550" s="17">
        <v>6.4844659527296594E-2</v>
      </c>
      <c r="E550" s="17">
        <v>0.105622667963977</v>
      </c>
      <c r="F550" s="17"/>
      <c r="G550" s="17">
        <v>3.4136445115331301E-2</v>
      </c>
      <c r="H550" s="17">
        <v>0.232582617438024</v>
      </c>
      <c r="I550" s="17">
        <v>0</v>
      </c>
      <c r="J550" s="17">
        <v>0.13668091847043401</v>
      </c>
      <c r="K550" s="17"/>
      <c r="L550" s="17">
        <v>0.20669614497761099</v>
      </c>
      <c r="M550" s="17">
        <v>2.8397211964509301E-2</v>
      </c>
      <c r="N550" s="17">
        <v>6.2517646666420901E-2</v>
      </c>
      <c r="O550" s="17">
        <v>4.5102258932058201E-2</v>
      </c>
    </row>
    <row r="551" spans="2:15" x14ac:dyDescent="0.3">
      <c r="B551" t="s">
        <v>238</v>
      </c>
      <c r="C551" s="17">
        <v>0</v>
      </c>
      <c r="D551" s="17">
        <v>0</v>
      </c>
      <c r="E551" s="17">
        <v>0</v>
      </c>
      <c r="F551" s="17"/>
      <c r="G551" s="17">
        <v>0</v>
      </c>
      <c r="H551" s="17">
        <v>0</v>
      </c>
      <c r="I551" s="17">
        <v>0</v>
      </c>
      <c r="J551" s="17">
        <v>0</v>
      </c>
      <c r="K551" s="17"/>
      <c r="L551" s="17">
        <v>0</v>
      </c>
      <c r="M551" s="17">
        <v>0</v>
      </c>
      <c r="N551" s="17">
        <v>0</v>
      </c>
      <c r="O551" s="17">
        <v>0</v>
      </c>
    </row>
    <row r="552" spans="2:15" x14ac:dyDescent="0.3">
      <c r="B552" t="s">
        <v>239</v>
      </c>
      <c r="C552" s="17">
        <v>0</v>
      </c>
      <c r="D552" s="17">
        <v>0</v>
      </c>
      <c r="E552" s="17">
        <v>0</v>
      </c>
      <c r="F552" s="17"/>
      <c r="G552" s="17">
        <v>0</v>
      </c>
      <c r="H552" s="17">
        <v>0</v>
      </c>
      <c r="I552" s="17">
        <v>0</v>
      </c>
      <c r="J552" s="17">
        <v>0</v>
      </c>
      <c r="K552" s="17"/>
      <c r="L552" s="17">
        <v>0</v>
      </c>
      <c r="M552" s="17">
        <v>0</v>
      </c>
      <c r="N552" s="17">
        <v>0</v>
      </c>
      <c r="O552" s="17">
        <v>0</v>
      </c>
    </row>
    <row r="553" spans="2:15" x14ac:dyDescent="0.3">
      <c r="C553" s="17"/>
      <c r="D553" s="17"/>
      <c r="E553" s="17"/>
      <c r="F553" s="17"/>
      <c r="G553" s="17"/>
      <c r="H553" s="17"/>
      <c r="I553" s="17"/>
      <c r="J553" s="17"/>
      <c r="K553" s="17"/>
      <c r="L553" s="17"/>
      <c r="M553" s="17"/>
      <c r="N553" s="17"/>
      <c r="O553" s="17"/>
    </row>
    <row r="554" spans="2:15" x14ac:dyDescent="0.3">
      <c r="B554" s="6" t="s">
        <v>252</v>
      </c>
      <c r="C554" s="17"/>
      <c r="D554" s="17"/>
      <c r="E554" s="17"/>
      <c r="F554" s="17"/>
      <c r="G554" s="17"/>
      <c r="H554" s="17"/>
      <c r="I554" s="17"/>
      <c r="J554" s="17"/>
      <c r="K554" s="17"/>
      <c r="L554" s="17"/>
      <c r="M554" s="17"/>
      <c r="N554" s="17"/>
      <c r="O554" s="17"/>
    </row>
    <row r="555" spans="2:15" x14ac:dyDescent="0.3">
      <c r="B555" s="23" t="s">
        <v>241</v>
      </c>
      <c r="C555" s="17"/>
      <c r="D555" s="17"/>
      <c r="E555" s="17"/>
      <c r="F555" s="17"/>
      <c r="G555" s="17"/>
      <c r="H555" s="17"/>
      <c r="I555" s="17"/>
      <c r="J555" s="17"/>
      <c r="K555" s="17"/>
      <c r="L555" s="17"/>
      <c r="M555" s="17"/>
      <c r="N555" s="17"/>
      <c r="O555" s="17"/>
    </row>
    <row r="556" spans="2:15" x14ac:dyDescent="0.3">
      <c r="B556" t="s">
        <v>231</v>
      </c>
      <c r="C556" s="17">
        <v>0</v>
      </c>
      <c r="D556" s="17">
        <v>0</v>
      </c>
      <c r="E556" s="17">
        <v>0</v>
      </c>
      <c r="F556" s="17"/>
      <c r="G556" s="17">
        <v>0</v>
      </c>
      <c r="H556" s="17">
        <v>0</v>
      </c>
      <c r="I556" s="17">
        <v>0</v>
      </c>
      <c r="J556" s="17">
        <v>0</v>
      </c>
      <c r="K556" s="17"/>
      <c r="L556" s="17">
        <v>0</v>
      </c>
      <c r="M556" s="17">
        <v>0</v>
      </c>
      <c r="N556" s="17">
        <v>0</v>
      </c>
      <c r="O556" s="17">
        <v>0</v>
      </c>
    </row>
    <row r="557" spans="2:15" x14ac:dyDescent="0.3">
      <c r="B557" t="s">
        <v>232</v>
      </c>
      <c r="C557" s="17">
        <v>0.10886943581091001</v>
      </c>
      <c r="D557" s="17">
        <v>0.17449010676844201</v>
      </c>
      <c r="E557" s="17">
        <v>5.9910248316074298E-2</v>
      </c>
      <c r="F557" s="17"/>
      <c r="G557" s="17">
        <v>0.200166029931617</v>
      </c>
      <c r="H557" s="17">
        <v>0</v>
      </c>
      <c r="I557" s="17">
        <v>0</v>
      </c>
      <c r="J557" s="17">
        <v>0</v>
      </c>
      <c r="K557" s="17"/>
      <c r="L557" s="17">
        <v>0.12763269693326801</v>
      </c>
      <c r="M557" s="17">
        <v>0</v>
      </c>
      <c r="N557" s="17">
        <v>0.25915743473501901</v>
      </c>
      <c r="O557" s="17">
        <v>0</v>
      </c>
    </row>
    <row r="558" spans="2:15" x14ac:dyDescent="0.3">
      <c r="B558" t="s">
        <v>233</v>
      </c>
      <c r="C558" s="17">
        <v>0.14325298764468999</v>
      </c>
      <c r="D558" s="17">
        <v>0.15643807693622899</v>
      </c>
      <c r="E558" s="17">
        <v>0.13341567191260301</v>
      </c>
      <c r="F558" s="17"/>
      <c r="G558" s="17">
        <v>0.26338321310384799</v>
      </c>
      <c r="H558" s="17">
        <v>0</v>
      </c>
      <c r="I558" s="17">
        <v>0</v>
      </c>
      <c r="J558" s="17">
        <v>0</v>
      </c>
      <c r="K558" s="17"/>
      <c r="L558" s="17">
        <v>0</v>
      </c>
      <c r="M558" s="17">
        <v>1</v>
      </c>
      <c r="N558" s="17">
        <v>0.117398232069217</v>
      </c>
      <c r="O558" s="17">
        <v>0.10604812527235</v>
      </c>
    </row>
    <row r="559" spans="2:15" x14ac:dyDescent="0.3">
      <c r="B559" t="s">
        <v>234</v>
      </c>
      <c r="C559" s="17">
        <v>0.19692586942065499</v>
      </c>
      <c r="D559" s="17">
        <v>0.15453260806081101</v>
      </c>
      <c r="E559" s="17">
        <v>0.228555226468488</v>
      </c>
      <c r="F559" s="17"/>
      <c r="G559" s="17">
        <v>0.249038569096377</v>
      </c>
      <c r="H559" s="17">
        <v>0.30551816545364802</v>
      </c>
      <c r="I559" s="17">
        <v>0</v>
      </c>
      <c r="J559" s="17">
        <v>0</v>
      </c>
      <c r="K559" s="17"/>
      <c r="L559" s="17">
        <v>0</v>
      </c>
      <c r="M559" s="17">
        <v>0</v>
      </c>
      <c r="N559" s="17">
        <v>0.47774138668565702</v>
      </c>
      <c r="O559" s="17">
        <v>0.20011042745518001</v>
      </c>
    </row>
    <row r="560" spans="2:15" x14ac:dyDescent="0.3">
      <c r="B560" t="s">
        <v>235</v>
      </c>
      <c r="C560" s="17">
        <v>0.11792124568139201</v>
      </c>
      <c r="D560" s="17">
        <v>0</v>
      </c>
      <c r="E560" s="17">
        <v>0.205901577072336</v>
      </c>
      <c r="F560" s="17"/>
      <c r="G560" s="17">
        <v>7.1497213044023206E-2</v>
      </c>
      <c r="H560" s="17">
        <v>0</v>
      </c>
      <c r="I560" s="17">
        <v>0.448458460138693</v>
      </c>
      <c r="J560" s="17">
        <v>0</v>
      </c>
      <c r="K560" s="17"/>
      <c r="L560" s="17">
        <v>0</v>
      </c>
      <c r="M560" s="17">
        <v>0</v>
      </c>
      <c r="N560" s="17">
        <v>0.14570294651010801</v>
      </c>
      <c r="O560" s="17">
        <v>0.22782352749828499</v>
      </c>
    </row>
    <row r="561" spans="2:15" x14ac:dyDescent="0.3">
      <c r="B561" t="s">
        <v>236</v>
      </c>
      <c r="C561" s="17">
        <v>0.189816900301399</v>
      </c>
      <c r="D561" s="17">
        <v>0.136189586321357</v>
      </c>
      <c r="E561" s="17">
        <v>0.229827916368157</v>
      </c>
      <c r="F561" s="17"/>
      <c r="G561" s="17">
        <v>9.7390226688935697E-2</v>
      </c>
      <c r="H561" s="17">
        <v>0.28920728563402598</v>
      </c>
      <c r="I561" s="17">
        <v>0</v>
      </c>
      <c r="J561" s="17">
        <v>1</v>
      </c>
      <c r="K561" s="17"/>
      <c r="L561" s="17">
        <v>0.61021320664121004</v>
      </c>
      <c r="M561" s="17">
        <v>0</v>
      </c>
      <c r="N561" s="17">
        <v>0</v>
      </c>
      <c r="O561" s="17">
        <v>0</v>
      </c>
    </row>
    <row r="562" spans="2:15" x14ac:dyDescent="0.3">
      <c r="B562" t="s">
        <v>237</v>
      </c>
      <c r="C562" s="17">
        <v>8.1547363189183E-2</v>
      </c>
      <c r="D562" s="17">
        <v>0</v>
      </c>
      <c r="E562" s="17">
        <v>0.142389359862342</v>
      </c>
      <c r="F562" s="17"/>
      <c r="G562" s="17">
        <v>0</v>
      </c>
      <c r="H562" s="17">
        <v>0.405274548912326</v>
      </c>
      <c r="I562" s="17">
        <v>0</v>
      </c>
      <c r="J562" s="17">
        <v>0</v>
      </c>
      <c r="K562" s="17"/>
      <c r="L562" s="17">
        <v>0.26215409642552201</v>
      </c>
      <c r="M562" s="17">
        <v>0</v>
      </c>
      <c r="N562" s="17">
        <v>0</v>
      </c>
      <c r="O562" s="17">
        <v>0</v>
      </c>
    </row>
    <row r="563" spans="2:15" x14ac:dyDescent="0.3">
      <c r="B563" t="s">
        <v>238</v>
      </c>
      <c r="C563" s="17">
        <v>6.4465096617630696E-2</v>
      </c>
      <c r="D563" s="17">
        <v>0.15086855038894401</v>
      </c>
      <c r="E563" s="17">
        <v>0</v>
      </c>
      <c r="F563" s="17"/>
      <c r="G563" s="17">
        <v>0.118524748135199</v>
      </c>
      <c r="H563" s="17">
        <v>0</v>
      </c>
      <c r="I563" s="17">
        <v>0</v>
      </c>
      <c r="J563" s="17">
        <v>0</v>
      </c>
      <c r="K563" s="17"/>
      <c r="L563" s="17">
        <v>0</v>
      </c>
      <c r="M563" s="17">
        <v>0</v>
      </c>
      <c r="N563" s="17">
        <v>0</v>
      </c>
      <c r="O563" s="17">
        <v>0.185826663856796</v>
      </c>
    </row>
    <row r="564" spans="2:15" x14ac:dyDescent="0.3">
      <c r="B564" t="s">
        <v>239</v>
      </c>
      <c r="C564" s="17">
        <v>9.7201101334141393E-2</v>
      </c>
      <c r="D564" s="17">
        <v>0.22748107152421701</v>
      </c>
      <c r="E564" s="17">
        <v>0</v>
      </c>
      <c r="F564" s="17"/>
      <c r="G564" s="17">
        <v>0</v>
      </c>
      <c r="H564" s="17">
        <v>0</v>
      </c>
      <c r="I564" s="17">
        <v>0.55154153986130705</v>
      </c>
      <c r="J564" s="17">
        <v>0</v>
      </c>
      <c r="K564" s="17"/>
      <c r="L564" s="17">
        <v>0</v>
      </c>
      <c r="M564" s="17">
        <v>0</v>
      </c>
      <c r="N564" s="17">
        <v>0</v>
      </c>
      <c r="O564" s="17">
        <v>0.28019125591739003</v>
      </c>
    </row>
    <row r="565" spans="2:15" x14ac:dyDescent="0.3">
      <c r="C565" s="17"/>
      <c r="D565" s="17"/>
      <c r="E565" s="17"/>
      <c r="F565" s="17"/>
      <c r="G565" s="17"/>
      <c r="H565" s="17"/>
      <c r="I565" s="17"/>
      <c r="J565" s="17"/>
      <c r="K565" s="17"/>
      <c r="L565" s="17"/>
      <c r="M565" s="17"/>
      <c r="N565" s="17"/>
      <c r="O565" s="17"/>
    </row>
    <row r="566" spans="2:15" x14ac:dyDescent="0.3">
      <c r="B566" s="6" t="s">
        <v>253</v>
      </c>
      <c r="C566" s="17"/>
      <c r="D566" s="17"/>
      <c r="E566" s="17"/>
      <c r="F566" s="17"/>
      <c r="G566" s="17"/>
      <c r="H566" s="17"/>
      <c r="I566" s="17"/>
      <c r="J566" s="17"/>
      <c r="K566" s="17"/>
      <c r="L566" s="17"/>
      <c r="M566" s="17"/>
      <c r="N566" s="17"/>
      <c r="O566" s="17"/>
    </row>
    <row r="567" spans="2:15" x14ac:dyDescent="0.3">
      <c r="B567" s="23" t="s">
        <v>241</v>
      </c>
      <c r="C567" s="17"/>
      <c r="D567" s="17"/>
      <c r="E567" s="17"/>
      <c r="F567" s="17"/>
      <c r="G567" s="17"/>
      <c r="H567" s="17"/>
      <c r="I567" s="17"/>
      <c r="J567" s="17"/>
      <c r="K567" s="17"/>
      <c r="L567" s="17"/>
      <c r="M567" s="17"/>
      <c r="N567" s="17"/>
      <c r="O567" s="17"/>
    </row>
    <row r="568" spans="2:15" x14ac:dyDescent="0.3">
      <c r="B568" t="s">
        <v>231</v>
      </c>
      <c r="C568" s="17">
        <v>4.0901467471983997E-2</v>
      </c>
      <c r="D568" s="17">
        <v>5.9572606953665397E-2</v>
      </c>
      <c r="E568" s="17">
        <v>0</v>
      </c>
      <c r="F568" s="17"/>
      <c r="G568" s="17">
        <v>8.3567536059668296E-2</v>
      </c>
      <c r="H568" s="17">
        <v>0</v>
      </c>
      <c r="I568" s="17">
        <v>0</v>
      </c>
      <c r="J568" s="17">
        <v>0</v>
      </c>
      <c r="K568" s="17"/>
      <c r="L568" s="17">
        <v>0.10143966920101399</v>
      </c>
      <c r="M568" s="17">
        <v>0</v>
      </c>
      <c r="N568" s="17">
        <v>0</v>
      </c>
      <c r="O568" s="17">
        <v>0.13049393422877001</v>
      </c>
    </row>
    <row r="569" spans="2:15" x14ac:dyDescent="0.3">
      <c r="B569" t="s">
        <v>232</v>
      </c>
      <c r="C569" s="17">
        <v>0.13739864394971299</v>
      </c>
      <c r="D569" s="17">
        <v>0.140694622220258</v>
      </c>
      <c r="E569" s="17">
        <v>0.13017839110155099</v>
      </c>
      <c r="F569" s="17"/>
      <c r="G569" s="17">
        <v>0.14534512576484501</v>
      </c>
      <c r="H569" s="17">
        <v>0.23110059751822601</v>
      </c>
      <c r="I569" s="17">
        <v>0</v>
      </c>
      <c r="J569" s="17">
        <v>0</v>
      </c>
      <c r="K569" s="17"/>
      <c r="L569" s="17">
        <v>0.15242088978037099</v>
      </c>
      <c r="M569" s="17">
        <v>0.189480136451462</v>
      </c>
      <c r="N569" s="17">
        <v>9.5958808876563301E-2</v>
      </c>
      <c r="O569" s="17">
        <v>0.12703955750469001</v>
      </c>
    </row>
    <row r="570" spans="2:15" x14ac:dyDescent="0.3">
      <c r="B570" t="s">
        <v>233</v>
      </c>
      <c r="C570" s="17">
        <v>0.21484269244875501</v>
      </c>
      <c r="D570" s="17">
        <v>0.18940908305086199</v>
      </c>
      <c r="E570" s="17">
        <v>0.27055819650268398</v>
      </c>
      <c r="F570" s="17"/>
      <c r="G570" s="17">
        <v>0.31463627229392999</v>
      </c>
      <c r="H570" s="17">
        <v>0.126941407577146</v>
      </c>
      <c r="I570" s="17">
        <v>0.14303804169621301</v>
      </c>
      <c r="J570" s="17">
        <v>0</v>
      </c>
      <c r="K570" s="17"/>
      <c r="L570" s="17">
        <v>0</v>
      </c>
      <c r="M570" s="17">
        <v>0.227329535157619</v>
      </c>
      <c r="N570" s="17">
        <v>0.36481252007043102</v>
      </c>
      <c r="O570" s="17">
        <v>8.7287348085056907E-2</v>
      </c>
    </row>
    <row r="571" spans="2:15" x14ac:dyDescent="0.3">
      <c r="B571" t="s">
        <v>234</v>
      </c>
      <c r="C571" s="17">
        <v>0.24506056546728</v>
      </c>
      <c r="D571" s="17">
        <v>0.24127944594390199</v>
      </c>
      <c r="E571" s="17">
        <v>0.25334358093855502</v>
      </c>
      <c r="F571" s="17"/>
      <c r="G571" s="17">
        <v>0.24854571179566801</v>
      </c>
      <c r="H571" s="17">
        <v>0.24324349930026401</v>
      </c>
      <c r="I571" s="17">
        <v>0.14986338414005901</v>
      </c>
      <c r="J571" s="17">
        <v>0.53024025488446003</v>
      </c>
      <c r="K571" s="17"/>
      <c r="L571" s="17">
        <v>0.303257866812493</v>
      </c>
      <c r="M571" s="17">
        <v>0.23871787779817299</v>
      </c>
      <c r="N571" s="17">
        <v>0.27760575457494602</v>
      </c>
      <c r="O571" s="17">
        <v>0.14111820937983999</v>
      </c>
    </row>
    <row r="572" spans="2:15" x14ac:dyDescent="0.3">
      <c r="B572" t="s">
        <v>235</v>
      </c>
      <c r="C572" s="17">
        <v>0.19685572026834</v>
      </c>
      <c r="D572" s="17">
        <v>0.15564976728421401</v>
      </c>
      <c r="E572" s="17">
        <v>0.28712251664067101</v>
      </c>
      <c r="F572" s="17"/>
      <c r="G572" s="17">
        <v>7.8924961527442605E-2</v>
      </c>
      <c r="H572" s="17">
        <v>0.23281461207773299</v>
      </c>
      <c r="I572" s="17">
        <v>0.53514368883066399</v>
      </c>
      <c r="J572" s="17">
        <v>0</v>
      </c>
      <c r="K572" s="17"/>
      <c r="L572" s="17">
        <v>0.44288157420612101</v>
      </c>
      <c r="M572" s="17">
        <v>0</v>
      </c>
      <c r="N572" s="17">
        <v>0.21146759784910901</v>
      </c>
      <c r="O572" s="17">
        <v>0.25379162739538202</v>
      </c>
    </row>
    <row r="573" spans="2:15" x14ac:dyDescent="0.3">
      <c r="B573" t="s">
        <v>236</v>
      </c>
      <c r="C573" s="17">
        <v>0.13837610290348401</v>
      </c>
      <c r="D573" s="17">
        <v>0.174703079513119</v>
      </c>
      <c r="E573" s="17">
        <v>5.8797314816539797E-2</v>
      </c>
      <c r="F573" s="17"/>
      <c r="G573" s="17">
        <v>7.4704699164404295E-2</v>
      </c>
      <c r="H573" s="17">
        <v>0.16589988352663099</v>
      </c>
      <c r="I573" s="17">
        <v>0.17195488533306499</v>
      </c>
      <c r="J573" s="17">
        <v>0.46975974511553997</v>
      </c>
      <c r="K573" s="17"/>
      <c r="L573" s="17">
        <v>0</v>
      </c>
      <c r="M573" s="17">
        <v>0.344472450592746</v>
      </c>
      <c r="N573" s="17">
        <v>5.0155318628950403E-2</v>
      </c>
      <c r="O573" s="17">
        <v>0.119013691062805</v>
      </c>
    </row>
    <row r="574" spans="2:15" x14ac:dyDescent="0.3">
      <c r="B574" t="s">
        <v>237</v>
      </c>
      <c r="C574" s="17">
        <v>0</v>
      </c>
      <c r="D574" s="17">
        <v>0</v>
      </c>
      <c r="E574" s="17">
        <v>0</v>
      </c>
      <c r="F574" s="17"/>
      <c r="G574" s="17">
        <v>0</v>
      </c>
      <c r="H574" s="17">
        <v>0</v>
      </c>
      <c r="I574" s="17">
        <v>0</v>
      </c>
      <c r="J574" s="17">
        <v>0</v>
      </c>
      <c r="K574" s="17"/>
      <c r="L574" s="17">
        <v>0</v>
      </c>
      <c r="M574" s="17">
        <v>0</v>
      </c>
      <c r="N574" s="17">
        <v>0</v>
      </c>
      <c r="O574" s="17">
        <v>0</v>
      </c>
    </row>
    <row r="575" spans="2:15" x14ac:dyDescent="0.3">
      <c r="B575" t="s">
        <v>238</v>
      </c>
      <c r="C575" s="17">
        <v>2.6564807490443699E-2</v>
      </c>
      <c r="D575" s="17">
        <v>3.8691395033979399E-2</v>
      </c>
      <c r="E575" s="17">
        <v>0</v>
      </c>
      <c r="F575" s="17"/>
      <c r="G575" s="17">
        <v>5.42756933940425E-2</v>
      </c>
      <c r="H575" s="17">
        <v>0</v>
      </c>
      <c r="I575" s="17">
        <v>0</v>
      </c>
      <c r="J575" s="17">
        <v>0</v>
      </c>
      <c r="K575" s="17"/>
      <c r="L575" s="17">
        <v>0</v>
      </c>
      <c r="M575" s="17">
        <v>0</v>
      </c>
      <c r="N575" s="17">
        <v>0</v>
      </c>
      <c r="O575" s="17">
        <v>0.14125563234345601</v>
      </c>
    </row>
    <row r="576" spans="2:15" x14ac:dyDescent="0.3">
      <c r="B576" t="s">
        <v>239</v>
      </c>
      <c r="C576" s="17">
        <v>0</v>
      </c>
      <c r="D576" s="17">
        <v>0</v>
      </c>
      <c r="E576" s="17">
        <v>0</v>
      </c>
      <c r="F576" s="17"/>
      <c r="G576" s="17">
        <v>0</v>
      </c>
      <c r="H576" s="17">
        <v>0</v>
      </c>
      <c r="I576" s="17">
        <v>0</v>
      </c>
      <c r="J576" s="17">
        <v>0</v>
      </c>
      <c r="K576" s="17"/>
      <c r="L576" s="17">
        <v>0</v>
      </c>
      <c r="M576" s="17">
        <v>0</v>
      </c>
      <c r="N576" s="17">
        <v>0</v>
      </c>
      <c r="O576" s="17">
        <v>0</v>
      </c>
    </row>
    <row r="577" spans="2:15" x14ac:dyDescent="0.3">
      <c r="C577" s="17"/>
      <c r="D577" s="17"/>
      <c r="E577" s="17"/>
      <c r="F577" s="17"/>
      <c r="G577" s="17"/>
      <c r="H577" s="17"/>
      <c r="I577" s="17"/>
      <c r="J577" s="17"/>
      <c r="K577" s="17"/>
      <c r="L577" s="17"/>
      <c r="M577" s="17"/>
      <c r="N577" s="17"/>
      <c r="O577" s="17"/>
    </row>
    <row r="578" spans="2:15" x14ac:dyDescent="0.3">
      <c r="B578" s="6" t="s">
        <v>254</v>
      </c>
      <c r="C578" s="17"/>
      <c r="D578" s="17"/>
      <c r="E578" s="17"/>
      <c r="F578" s="17"/>
      <c r="G578" s="17"/>
      <c r="H578" s="17"/>
      <c r="I578" s="17"/>
      <c r="J578" s="17"/>
      <c r="K578" s="17"/>
      <c r="L578" s="17"/>
      <c r="M578" s="17"/>
      <c r="N578" s="17"/>
      <c r="O578" s="17"/>
    </row>
    <row r="579" spans="2:15" x14ac:dyDescent="0.3">
      <c r="B579" s="23" t="s">
        <v>241</v>
      </c>
      <c r="C579" s="17"/>
      <c r="D579" s="17"/>
      <c r="E579" s="17"/>
      <c r="F579" s="17"/>
      <c r="G579" s="17"/>
      <c r="H579" s="17"/>
      <c r="I579" s="17"/>
      <c r="J579" s="17"/>
      <c r="K579" s="17"/>
      <c r="L579" s="17"/>
      <c r="M579" s="17"/>
      <c r="N579" s="17"/>
      <c r="O579" s="17"/>
    </row>
    <row r="580" spans="2:15" x14ac:dyDescent="0.3">
      <c r="B580" t="s">
        <v>231</v>
      </c>
      <c r="C580" s="17">
        <v>0</v>
      </c>
      <c r="D580" s="17">
        <v>0</v>
      </c>
      <c r="E580" s="17">
        <v>0</v>
      </c>
      <c r="F580" s="17"/>
      <c r="G580" s="17">
        <v>0</v>
      </c>
      <c r="H580" s="17">
        <v>0</v>
      </c>
      <c r="I580" s="17">
        <v>0</v>
      </c>
      <c r="J580" s="17">
        <v>0</v>
      </c>
      <c r="K580" s="17"/>
      <c r="L580" s="17">
        <v>0</v>
      </c>
      <c r="M580" s="17">
        <v>0</v>
      </c>
      <c r="N580" s="17">
        <v>0</v>
      </c>
      <c r="O580" s="17">
        <v>0</v>
      </c>
    </row>
    <row r="581" spans="2:15" x14ac:dyDescent="0.3">
      <c r="B581" t="s">
        <v>232</v>
      </c>
      <c r="C581" s="17">
        <v>9.3354202730587005E-2</v>
      </c>
      <c r="D581" s="17">
        <v>0.12526803847735099</v>
      </c>
      <c r="E581" s="17">
        <v>4.58047689797383E-2</v>
      </c>
      <c r="F581" s="17"/>
      <c r="G581" s="17">
        <v>0.15054116940302301</v>
      </c>
      <c r="H581" s="17">
        <v>0</v>
      </c>
      <c r="I581" s="17">
        <v>0.132203749951979</v>
      </c>
      <c r="J581" s="17">
        <v>0</v>
      </c>
      <c r="K581" s="17"/>
      <c r="L581" s="17">
        <v>0</v>
      </c>
      <c r="M581" s="17">
        <v>0.19464123380794901</v>
      </c>
      <c r="N581" s="17">
        <v>0.21366264151109099</v>
      </c>
      <c r="O581" s="17">
        <v>0</v>
      </c>
    </row>
    <row r="582" spans="2:15" x14ac:dyDescent="0.3">
      <c r="B582" t="s">
        <v>233</v>
      </c>
      <c r="C582" s="17">
        <v>0.130050169783236</v>
      </c>
      <c r="D582" s="17">
        <v>0.12587090791413999</v>
      </c>
      <c r="E582" s="17">
        <v>0.13627698428929799</v>
      </c>
      <c r="F582" s="17"/>
      <c r="G582" s="17">
        <v>0.24644808113369299</v>
      </c>
      <c r="H582" s="17">
        <v>0.24301329387002801</v>
      </c>
      <c r="I582" s="17">
        <v>0</v>
      </c>
      <c r="J582" s="17">
        <v>0</v>
      </c>
      <c r="K582" s="17"/>
      <c r="L582" s="17">
        <v>6.5640083401517904E-2</v>
      </c>
      <c r="M582" s="17">
        <v>0.127890525658586</v>
      </c>
      <c r="N582" s="17">
        <v>0.154364646771741</v>
      </c>
      <c r="O582" s="17">
        <v>0.20615250310069699</v>
      </c>
    </row>
    <row r="583" spans="2:15" x14ac:dyDescent="0.3">
      <c r="B583" t="s">
        <v>234</v>
      </c>
      <c r="C583" s="17">
        <v>0.31463695918706502</v>
      </c>
      <c r="D583" s="17">
        <v>0.23159407416622799</v>
      </c>
      <c r="E583" s="17">
        <v>0.43836518136349201</v>
      </c>
      <c r="F583" s="17"/>
      <c r="G583" s="17">
        <v>0.22443951002791099</v>
      </c>
      <c r="H583" s="17">
        <v>0.30254605573316901</v>
      </c>
      <c r="I583" s="17">
        <v>0.25780081627581303</v>
      </c>
      <c r="J583" s="17">
        <v>0.53583275554981902</v>
      </c>
      <c r="K583" s="17"/>
      <c r="L583" s="17">
        <v>0.161925268995979</v>
      </c>
      <c r="M583" s="17">
        <v>0.43262306501999598</v>
      </c>
      <c r="N583" s="17">
        <v>0.39429837406485801</v>
      </c>
      <c r="O583" s="17">
        <v>0.32815945274104102</v>
      </c>
    </row>
    <row r="584" spans="2:15" x14ac:dyDescent="0.3">
      <c r="B584" t="s">
        <v>235</v>
      </c>
      <c r="C584" s="17">
        <v>0.24218517538471099</v>
      </c>
      <c r="D584" s="17">
        <v>0.31454586249869398</v>
      </c>
      <c r="E584" s="17">
        <v>0.13437269789393599</v>
      </c>
      <c r="F584" s="17"/>
      <c r="G584" s="17">
        <v>0.15881963565912799</v>
      </c>
      <c r="H584" s="17">
        <v>0.45444065039680298</v>
      </c>
      <c r="I584" s="17">
        <v>0.32260640706488602</v>
      </c>
      <c r="J584" s="17">
        <v>0.203811315755006</v>
      </c>
      <c r="K584" s="17"/>
      <c r="L584" s="17">
        <v>0.55361471740910895</v>
      </c>
      <c r="M584" s="17">
        <v>0.24484517551346799</v>
      </c>
      <c r="N584" s="17">
        <v>0</v>
      </c>
      <c r="O584" s="17">
        <v>0</v>
      </c>
    </row>
    <row r="585" spans="2:15" x14ac:dyDescent="0.3">
      <c r="B585" t="s">
        <v>236</v>
      </c>
      <c r="C585" s="17">
        <v>0.19424044302239499</v>
      </c>
      <c r="D585" s="17">
        <v>0.20272111694358699</v>
      </c>
      <c r="E585" s="17">
        <v>0.18160481858733701</v>
      </c>
      <c r="F585" s="17"/>
      <c r="G585" s="17">
        <v>0.158002508198722</v>
      </c>
      <c r="H585" s="17">
        <v>0</v>
      </c>
      <c r="I585" s="17">
        <v>0.28738902670732303</v>
      </c>
      <c r="J585" s="17">
        <v>0.26035592869517499</v>
      </c>
      <c r="K585" s="17"/>
      <c r="L585" s="17">
        <v>0.139925356881865</v>
      </c>
      <c r="M585" s="17">
        <v>0</v>
      </c>
      <c r="N585" s="17">
        <v>0.237674337652309</v>
      </c>
      <c r="O585" s="17">
        <v>0.46568804415826198</v>
      </c>
    </row>
    <row r="586" spans="2:15" x14ac:dyDescent="0.3">
      <c r="B586" t="s">
        <v>237</v>
      </c>
      <c r="C586" s="17">
        <v>2.5533049892006301E-2</v>
      </c>
      <c r="D586" s="17">
        <v>0</v>
      </c>
      <c r="E586" s="17">
        <v>6.3575548886198305E-2</v>
      </c>
      <c r="F586" s="17"/>
      <c r="G586" s="17">
        <v>6.1749095577523498E-2</v>
      </c>
      <c r="H586" s="17">
        <v>0</v>
      </c>
      <c r="I586" s="17">
        <v>0</v>
      </c>
      <c r="J586" s="17">
        <v>0</v>
      </c>
      <c r="K586" s="17"/>
      <c r="L586" s="17">
        <v>7.8894573311529798E-2</v>
      </c>
      <c r="M586" s="17">
        <v>0</v>
      </c>
      <c r="N586" s="17">
        <v>0</v>
      </c>
      <c r="O586" s="17">
        <v>0</v>
      </c>
    </row>
    <row r="587" spans="2:15" x14ac:dyDescent="0.3">
      <c r="B587" t="s">
        <v>238</v>
      </c>
      <c r="C587" s="17">
        <v>0</v>
      </c>
      <c r="D587" s="17">
        <v>0</v>
      </c>
      <c r="E587" s="17">
        <v>0</v>
      </c>
      <c r="F587" s="17"/>
      <c r="G587" s="17">
        <v>0</v>
      </c>
      <c r="H587" s="17">
        <v>0</v>
      </c>
      <c r="I587" s="17">
        <v>0</v>
      </c>
      <c r="J587" s="17">
        <v>0</v>
      </c>
      <c r="K587" s="17"/>
      <c r="L587" s="17">
        <v>0</v>
      </c>
      <c r="M587" s="17">
        <v>0</v>
      </c>
      <c r="N587" s="17">
        <v>0</v>
      </c>
      <c r="O587" s="17">
        <v>0</v>
      </c>
    </row>
    <row r="588" spans="2:15" x14ac:dyDescent="0.3">
      <c r="B588" t="s">
        <v>239</v>
      </c>
      <c r="C588" s="17">
        <v>0</v>
      </c>
      <c r="D588" s="17">
        <v>0</v>
      </c>
      <c r="E588" s="17">
        <v>0</v>
      </c>
      <c r="F588" s="17"/>
      <c r="G588" s="17">
        <v>0</v>
      </c>
      <c r="H588" s="17">
        <v>0</v>
      </c>
      <c r="I588" s="17">
        <v>0</v>
      </c>
      <c r="J588" s="17">
        <v>0</v>
      </c>
      <c r="K588" s="17"/>
      <c r="L588" s="17">
        <v>0</v>
      </c>
      <c r="M588" s="17">
        <v>0</v>
      </c>
      <c r="N588" s="17">
        <v>0</v>
      </c>
      <c r="O588" s="17">
        <v>0</v>
      </c>
    </row>
    <row r="589" spans="2:15" x14ac:dyDescent="0.3">
      <c r="C589" s="17"/>
      <c r="D589" s="17"/>
      <c r="E589" s="17"/>
      <c r="F589" s="17"/>
      <c r="G589" s="17"/>
      <c r="H589" s="17"/>
      <c r="I589" s="17"/>
      <c r="J589" s="17"/>
      <c r="K589" s="17"/>
      <c r="L589" s="17"/>
      <c r="M589" s="17"/>
      <c r="N589" s="17"/>
      <c r="O589" s="17"/>
    </row>
    <row r="590" spans="2:15" x14ac:dyDescent="0.3">
      <c r="B590" s="6" t="s">
        <v>257</v>
      </c>
      <c r="C590" s="17"/>
      <c r="D590" s="17"/>
      <c r="E590" s="17"/>
      <c r="F590" s="17"/>
      <c r="G590" s="17"/>
      <c r="H590" s="17"/>
      <c r="I590" s="17"/>
      <c r="J590" s="17"/>
      <c r="K590" s="17"/>
      <c r="L590" s="17"/>
      <c r="M590" s="17"/>
      <c r="N590" s="17"/>
      <c r="O590" s="17"/>
    </row>
    <row r="591" spans="2:15" x14ac:dyDescent="0.3">
      <c r="B591" s="23" t="s">
        <v>241</v>
      </c>
      <c r="C591" s="17"/>
      <c r="D591" s="17"/>
      <c r="E591" s="17"/>
      <c r="F591" s="17"/>
      <c r="G591" s="17"/>
      <c r="H591" s="17"/>
      <c r="I591" s="17"/>
      <c r="J591" s="17"/>
      <c r="K591" s="17"/>
      <c r="L591" s="17"/>
      <c r="M591" s="17"/>
      <c r="N591" s="17"/>
      <c r="O591" s="17"/>
    </row>
    <row r="592" spans="2:15" x14ac:dyDescent="0.3">
      <c r="B592" t="s">
        <v>231</v>
      </c>
      <c r="C592" s="17">
        <v>0</v>
      </c>
      <c r="D592" s="17" t="s">
        <v>256</v>
      </c>
      <c r="E592" s="17">
        <v>0</v>
      </c>
      <c r="F592" s="17"/>
      <c r="G592" s="17">
        <v>0</v>
      </c>
      <c r="H592" s="17" t="s">
        <v>256</v>
      </c>
      <c r="I592" s="17" t="s">
        <v>256</v>
      </c>
      <c r="J592" s="17" t="s">
        <v>256</v>
      </c>
      <c r="K592" s="17"/>
      <c r="L592" s="17">
        <v>0</v>
      </c>
      <c r="M592" s="17" t="s">
        <v>256</v>
      </c>
      <c r="N592" s="17">
        <v>0</v>
      </c>
      <c r="O592" s="17" t="s">
        <v>256</v>
      </c>
    </row>
    <row r="593" spans="2:15" x14ac:dyDescent="0.3">
      <c r="B593" t="s">
        <v>232</v>
      </c>
      <c r="C593" s="17">
        <v>0</v>
      </c>
      <c r="D593" s="17" t="s">
        <v>256</v>
      </c>
      <c r="E593" s="17">
        <v>0</v>
      </c>
      <c r="F593" s="17"/>
      <c r="G593" s="17">
        <v>0</v>
      </c>
      <c r="H593" s="17" t="s">
        <v>256</v>
      </c>
      <c r="I593" s="17" t="s">
        <v>256</v>
      </c>
      <c r="J593" s="17" t="s">
        <v>256</v>
      </c>
      <c r="K593" s="17"/>
      <c r="L593" s="17">
        <v>0</v>
      </c>
      <c r="M593" s="17" t="s">
        <v>256</v>
      </c>
      <c r="N593" s="17">
        <v>0</v>
      </c>
      <c r="O593" s="17" t="s">
        <v>256</v>
      </c>
    </row>
    <row r="594" spans="2:15" x14ac:dyDescent="0.3">
      <c r="B594" t="s">
        <v>233</v>
      </c>
      <c r="C594" s="17">
        <v>1</v>
      </c>
      <c r="D594" s="17" t="s">
        <v>256</v>
      </c>
      <c r="E594" s="17">
        <v>1</v>
      </c>
      <c r="F594" s="17"/>
      <c r="G594" s="17">
        <v>1</v>
      </c>
      <c r="H594" s="17" t="s">
        <v>256</v>
      </c>
      <c r="I594" s="17" t="s">
        <v>256</v>
      </c>
      <c r="J594" s="17" t="s">
        <v>256</v>
      </c>
      <c r="K594" s="17"/>
      <c r="L594" s="17">
        <v>1</v>
      </c>
      <c r="M594" s="17" t="s">
        <v>256</v>
      </c>
      <c r="N594" s="17">
        <v>1</v>
      </c>
      <c r="O594" s="17" t="s">
        <v>256</v>
      </c>
    </row>
    <row r="595" spans="2:15" x14ac:dyDescent="0.3">
      <c r="B595" t="s">
        <v>234</v>
      </c>
      <c r="C595" s="17">
        <v>0</v>
      </c>
      <c r="D595" s="17" t="s">
        <v>256</v>
      </c>
      <c r="E595" s="17">
        <v>0</v>
      </c>
      <c r="F595" s="17"/>
      <c r="G595" s="17">
        <v>0</v>
      </c>
      <c r="H595" s="17" t="s">
        <v>256</v>
      </c>
      <c r="I595" s="17" t="s">
        <v>256</v>
      </c>
      <c r="J595" s="17" t="s">
        <v>256</v>
      </c>
      <c r="K595" s="17"/>
      <c r="L595" s="17">
        <v>0</v>
      </c>
      <c r="M595" s="17" t="s">
        <v>256</v>
      </c>
      <c r="N595" s="17">
        <v>0</v>
      </c>
      <c r="O595" s="17" t="s">
        <v>256</v>
      </c>
    </row>
    <row r="596" spans="2:15" x14ac:dyDescent="0.3">
      <c r="B596" t="s">
        <v>235</v>
      </c>
      <c r="C596" s="17">
        <v>0</v>
      </c>
      <c r="D596" s="17" t="s">
        <v>256</v>
      </c>
      <c r="E596" s="17">
        <v>0</v>
      </c>
      <c r="F596" s="17"/>
      <c r="G596" s="17">
        <v>0</v>
      </c>
      <c r="H596" s="17" t="s">
        <v>256</v>
      </c>
      <c r="I596" s="17" t="s">
        <v>256</v>
      </c>
      <c r="J596" s="17" t="s">
        <v>256</v>
      </c>
      <c r="K596" s="17"/>
      <c r="L596" s="17">
        <v>0</v>
      </c>
      <c r="M596" s="17" t="s">
        <v>256</v>
      </c>
      <c r="N596" s="17">
        <v>0</v>
      </c>
      <c r="O596" s="17" t="s">
        <v>256</v>
      </c>
    </row>
    <row r="597" spans="2:15" x14ac:dyDescent="0.3">
      <c r="B597" t="s">
        <v>236</v>
      </c>
      <c r="C597" s="17">
        <v>0</v>
      </c>
      <c r="D597" s="17" t="s">
        <v>256</v>
      </c>
      <c r="E597" s="17">
        <v>0</v>
      </c>
      <c r="F597" s="17"/>
      <c r="G597" s="17">
        <v>0</v>
      </c>
      <c r="H597" s="17" t="s">
        <v>256</v>
      </c>
      <c r="I597" s="17" t="s">
        <v>256</v>
      </c>
      <c r="J597" s="17" t="s">
        <v>256</v>
      </c>
      <c r="K597" s="17"/>
      <c r="L597" s="17">
        <v>0</v>
      </c>
      <c r="M597" s="17" t="s">
        <v>256</v>
      </c>
      <c r="N597" s="17">
        <v>0</v>
      </c>
      <c r="O597" s="17" t="s">
        <v>256</v>
      </c>
    </row>
    <row r="598" spans="2:15" x14ac:dyDescent="0.3">
      <c r="B598" t="s">
        <v>237</v>
      </c>
      <c r="C598" s="17">
        <v>0</v>
      </c>
      <c r="D598" s="17" t="s">
        <v>256</v>
      </c>
      <c r="E598" s="17">
        <v>0</v>
      </c>
      <c r="F598" s="17"/>
      <c r="G598" s="17">
        <v>0</v>
      </c>
      <c r="H598" s="17" t="s">
        <v>256</v>
      </c>
      <c r="I598" s="17" t="s">
        <v>256</v>
      </c>
      <c r="J598" s="17" t="s">
        <v>256</v>
      </c>
      <c r="K598" s="17"/>
      <c r="L598" s="17">
        <v>0</v>
      </c>
      <c r="M598" s="17" t="s">
        <v>256</v>
      </c>
      <c r="N598" s="17">
        <v>0</v>
      </c>
      <c r="O598" s="17" t="s">
        <v>256</v>
      </c>
    </row>
    <row r="599" spans="2:15" x14ac:dyDescent="0.3">
      <c r="B599" t="s">
        <v>238</v>
      </c>
      <c r="C599" s="17">
        <v>0</v>
      </c>
      <c r="D599" s="17" t="s">
        <v>256</v>
      </c>
      <c r="E599" s="17">
        <v>0</v>
      </c>
      <c r="F599" s="17"/>
      <c r="G599" s="17">
        <v>0</v>
      </c>
      <c r="H599" s="17" t="s">
        <v>256</v>
      </c>
      <c r="I599" s="17" t="s">
        <v>256</v>
      </c>
      <c r="J599" s="17" t="s">
        <v>256</v>
      </c>
      <c r="K599" s="17"/>
      <c r="L599" s="17">
        <v>0</v>
      </c>
      <c r="M599" s="17" t="s">
        <v>256</v>
      </c>
      <c r="N599" s="17">
        <v>0</v>
      </c>
      <c r="O599" s="17" t="s">
        <v>256</v>
      </c>
    </row>
    <row r="600" spans="2:15" x14ac:dyDescent="0.3">
      <c r="B600" t="s">
        <v>239</v>
      </c>
      <c r="C600" s="17">
        <v>0</v>
      </c>
      <c r="D600" s="17" t="s">
        <v>256</v>
      </c>
      <c r="E600" s="17">
        <v>0</v>
      </c>
      <c r="F600" s="17"/>
      <c r="G600" s="17">
        <v>0</v>
      </c>
      <c r="H600" s="17" t="s">
        <v>256</v>
      </c>
      <c r="I600" s="17" t="s">
        <v>256</v>
      </c>
      <c r="J600" s="17" t="s">
        <v>256</v>
      </c>
      <c r="K600" s="17"/>
      <c r="L600" s="17">
        <v>0</v>
      </c>
      <c r="M600" s="17" t="s">
        <v>256</v>
      </c>
      <c r="N600" s="17">
        <v>0</v>
      </c>
      <c r="O600" s="17" t="s">
        <v>256</v>
      </c>
    </row>
    <row r="601" spans="2:15" x14ac:dyDescent="0.3">
      <c r="C601" s="17"/>
      <c r="D601" s="17"/>
      <c r="E601" s="17"/>
      <c r="F601" s="17"/>
      <c r="G601" s="17"/>
      <c r="H601" s="17"/>
      <c r="I601" s="17"/>
      <c r="J601" s="17"/>
      <c r="K601" s="17"/>
      <c r="L601" s="17"/>
      <c r="M601" s="17"/>
      <c r="N601" s="17"/>
      <c r="O601" s="17"/>
    </row>
    <row r="602" spans="2:15" x14ac:dyDescent="0.3">
      <c r="B602" s="6" t="s">
        <v>258</v>
      </c>
      <c r="C602" s="17"/>
      <c r="D602" s="17"/>
      <c r="E602" s="17"/>
      <c r="F602" s="17"/>
      <c r="G602" s="17"/>
      <c r="H602" s="17"/>
      <c r="I602" s="17"/>
      <c r="J602" s="17"/>
      <c r="K602" s="17"/>
      <c r="L602" s="17"/>
      <c r="M602" s="17"/>
      <c r="N602" s="17"/>
      <c r="O602" s="17"/>
    </row>
    <row r="603" spans="2:15" x14ac:dyDescent="0.3">
      <c r="B603" s="23" t="s">
        <v>241</v>
      </c>
      <c r="C603" s="17"/>
      <c r="D603" s="17"/>
      <c r="E603" s="17"/>
      <c r="F603" s="17"/>
      <c r="G603" s="17"/>
      <c r="H603" s="17"/>
      <c r="I603" s="17"/>
      <c r="J603" s="17"/>
      <c r="K603" s="17"/>
      <c r="L603" s="17"/>
      <c r="M603" s="17"/>
      <c r="N603" s="17"/>
      <c r="O603" s="17"/>
    </row>
    <row r="604" spans="2:15" x14ac:dyDescent="0.3">
      <c r="B604" t="s">
        <v>231</v>
      </c>
      <c r="C604" s="17">
        <v>0</v>
      </c>
      <c r="D604" s="17">
        <v>0</v>
      </c>
      <c r="E604" s="17">
        <v>0</v>
      </c>
      <c r="F604" s="17"/>
      <c r="G604" s="17">
        <v>0</v>
      </c>
      <c r="H604" s="17">
        <v>0</v>
      </c>
      <c r="I604" s="17">
        <v>0</v>
      </c>
      <c r="J604" s="17" t="s">
        <v>256</v>
      </c>
      <c r="K604" s="17"/>
      <c r="L604" s="17">
        <v>0</v>
      </c>
      <c r="M604" s="17">
        <v>0</v>
      </c>
      <c r="N604" s="17">
        <v>0</v>
      </c>
      <c r="O604" s="17">
        <v>0</v>
      </c>
    </row>
    <row r="605" spans="2:15" x14ac:dyDescent="0.3">
      <c r="B605" t="s">
        <v>232</v>
      </c>
      <c r="C605" s="17">
        <v>0.19297624664391899</v>
      </c>
      <c r="D605" s="17">
        <v>0.12912416044993499</v>
      </c>
      <c r="E605" s="17">
        <v>0.239243784579077</v>
      </c>
      <c r="F605" s="17"/>
      <c r="G605" s="17">
        <v>0.21181876976019301</v>
      </c>
      <c r="H605" s="17">
        <v>0.22229561732421599</v>
      </c>
      <c r="I605" s="17">
        <v>0</v>
      </c>
      <c r="J605" s="17" t="s">
        <v>256</v>
      </c>
      <c r="K605" s="17"/>
      <c r="L605" s="17">
        <v>0.238082727424102</v>
      </c>
      <c r="M605" s="17">
        <v>0.239313265573673</v>
      </c>
      <c r="N605" s="17">
        <v>0.23262440508420301</v>
      </c>
      <c r="O605" s="17">
        <v>0</v>
      </c>
    </row>
    <row r="606" spans="2:15" x14ac:dyDescent="0.3">
      <c r="B606" t="s">
        <v>233</v>
      </c>
      <c r="C606" s="17">
        <v>0.17553263443561101</v>
      </c>
      <c r="D606" s="17">
        <v>0</v>
      </c>
      <c r="E606" s="17">
        <v>0.302724450814712</v>
      </c>
      <c r="F606" s="17"/>
      <c r="G606" s="17">
        <v>0.22331243104472101</v>
      </c>
      <c r="H606" s="17">
        <v>0.16185302051463901</v>
      </c>
      <c r="I606" s="17">
        <v>0</v>
      </c>
      <c r="J606" s="17" t="s">
        <v>256</v>
      </c>
      <c r="K606" s="17"/>
      <c r="L606" s="17">
        <v>0</v>
      </c>
      <c r="M606" s="17">
        <v>0.14484076559515699</v>
      </c>
      <c r="N606" s="17">
        <v>0.541668279972638</v>
      </c>
      <c r="O606" s="17">
        <v>0</v>
      </c>
    </row>
    <row r="607" spans="2:15" x14ac:dyDescent="0.3">
      <c r="B607" t="s">
        <v>234</v>
      </c>
      <c r="C607" s="17">
        <v>0.24265728034425901</v>
      </c>
      <c r="D607" s="17">
        <v>0.42643545095402002</v>
      </c>
      <c r="E607" s="17">
        <v>0.109490707610695</v>
      </c>
      <c r="F607" s="17"/>
      <c r="G607" s="17">
        <v>0.19655131034456</v>
      </c>
      <c r="H607" s="17">
        <v>0.37143972950506798</v>
      </c>
      <c r="I607" s="17">
        <v>0</v>
      </c>
      <c r="J607" s="17" t="s">
        <v>256</v>
      </c>
      <c r="K607" s="17"/>
      <c r="L607" s="17">
        <v>0.34896549717935699</v>
      </c>
      <c r="M607" s="17">
        <v>0.31199752404744902</v>
      </c>
      <c r="N607" s="17">
        <v>0.22570731494315899</v>
      </c>
      <c r="O607" s="17">
        <v>0</v>
      </c>
    </row>
    <row r="608" spans="2:15" x14ac:dyDescent="0.3">
      <c r="B608" t="s">
        <v>235</v>
      </c>
      <c r="C608" s="17">
        <v>0.25062586925305003</v>
      </c>
      <c r="D608" s="17">
        <v>0.11549680714055501</v>
      </c>
      <c r="E608" s="17">
        <v>0.34854105699551602</v>
      </c>
      <c r="F608" s="17"/>
      <c r="G608" s="17">
        <v>9.5714734906613905E-2</v>
      </c>
      <c r="H608" s="17">
        <v>0.24441163265607799</v>
      </c>
      <c r="I608" s="17">
        <v>1</v>
      </c>
      <c r="J608" s="17" t="s">
        <v>256</v>
      </c>
      <c r="K608" s="17"/>
      <c r="L608" s="17">
        <v>0.41295177539654199</v>
      </c>
      <c r="M608" s="17">
        <v>0.135690287879079</v>
      </c>
      <c r="N608" s="17">
        <v>0</v>
      </c>
      <c r="O608" s="17">
        <v>0.58042502394498197</v>
      </c>
    </row>
    <row r="609" spans="2:15" x14ac:dyDescent="0.3">
      <c r="B609" t="s">
        <v>236</v>
      </c>
      <c r="C609" s="17">
        <v>6.0138255054849002E-2</v>
      </c>
      <c r="D609" s="17">
        <v>0.14313279543215601</v>
      </c>
      <c r="E609" s="17">
        <v>0</v>
      </c>
      <c r="F609" s="17"/>
      <c r="G609" s="17">
        <v>0.11861728397876101</v>
      </c>
      <c r="H609" s="17">
        <v>0</v>
      </c>
      <c r="I609" s="17">
        <v>0</v>
      </c>
      <c r="J609" s="17" t="s">
        <v>256</v>
      </c>
      <c r="K609" s="17"/>
      <c r="L609" s="17">
        <v>0</v>
      </c>
      <c r="M609" s="17">
        <v>0.168158156904642</v>
      </c>
      <c r="N609" s="17">
        <v>0</v>
      </c>
      <c r="O609" s="17">
        <v>0</v>
      </c>
    </row>
    <row r="610" spans="2:15" x14ac:dyDescent="0.3">
      <c r="B610" t="s">
        <v>237</v>
      </c>
      <c r="C610" s="17">
        <v>7.8069714268311802E-2</v>
      </c>
      <c r="D610" s="17">
        <v>0.18581078602333301</v>
      </c>
      <c r="E610" s="17">
        <v>0</v>
      </c>
      <c r="F610" s="17"/>
      <c r="G610" s="17">
        <v>0.153985469965151</v>
      </c>
      <c r="H610" s="17">
        <v>0</v>
      </c>
      <c r="I610" s="17">
        <v>0</v>
      </c>
      <c r="J610" s="17" t="s">
        <v>256</v>
      </c>
      <c r="K610" s="17"/>
      <c r="L610" s="17">
        <v>0</v>
      </c>
      <c r="M610" s="17">
        <v>0</v>
      </c>
      <c r="N610" s="17">
        <v>0</v>
      </c>
      <c r="O610" s="17">
        <v>0.41957497605501798</v>
      </c>
    </row>
    <row r="611" spans="2:15" x14ac:dyDescent="0.3">
      <c r="B611" t="s">
        <v>238</v>
      </c>
      <c r="C611" s="17">
        <v>0</v>
      </c>
      <c r="D611" s="17">
        <v>0</v>
      </c>
      <c r="E611" s="17">
        <v>0</v>
      </c>
      <c r="F611" s="17"/>
      <c r="G611" s="17">
        <v>0</v>
      </c>
      <c r="H611" s="17">
        <v>0</v>
      </c>
      <c r="I611" s="17">
        <v>0</v>
      </c>
      <c r="J611" s="17" t="s">
        <v>256</v>
      </c>
      <c r="K611" s="17"/>
      <c r="L611" s="17">
        <v>0</v>
      </c>
      <c r="M611" s="17">
        <v>0</v>
      </c>
      <c r="N611" s="17">
        <v>0</v>
      </c>
      <c r="O611" s="17">
        <v>0</v>
      </c>
    </row>
    <row r="612" spans="2:15" x14ac:dyDescent="0.3">
      <c r="B612" t="s">
        <v>239</v>
      </c>
      <c r="C612" s="17">
        <v>0</v>
      </c>
      <c r="D612" s="17">
        <v>0</v>
      </c>
      <c r="E612" s="17">
        <v>0</v>
      </c>
      <c r="F612" s="17"/>
      <c r="G612" s="17">
        <v>0</v>
      </c>
      <c r="H612" s="17">
        <v>0</v>
      </c>
      <c r="I612" s="17">
        <v>0</v>
      </c>
      <c r="J612" s="17" t="s">
        <v>256</v>
      </c>
      <c r="K612" s="17"/>
      <c r="L612" s="17">
        <v>0</v>
      </c>
      <c r="M612" s="17">
        <v>0</v>
      </c>
      <c r="N612" s="17">
        <v>0</v>
      </c>
      <c r="O612" s="17">
        <v>0</v>
      </c>
    </row>
    <row r="613" spans="2:15" x14ac:dyDescent="0.3">
      <c r="C613" s="17"/>
      <c r="D613" s="17"/>
      <c r="E613" s="17"/>
      <c r="F613" s="17"/>
      <c r="G613" s="17"/>
      <c r="H613" s="17"/>
      <c r="I613" s="17"/>
      <c r="J613" s="17"/>
      <c r="K613" s="17"/>
      <c r="L613" s="17"/>
      <c r="M613" s="17"/>
      <c r="N613" s="17"/>
      <c r="O613" s="17"/>
    </row>
    <row r="614" spans="2:15" x14ac:dyDescent="0.3">
      <c r="B614" s="6" t="s">
        <v>259</v>
      </c>
      <c r="C614" s="17"/>
      <c r="D614" s="17"/>
      <c r="E614" s="17"/>
      <c r="F614" s="17"/>
      <c r="G614" s="17"/>
      <c r="H614" s="17"/>
      <c r="I614" s="17"/>
      <c r="J614" s="17"/>
      <c r="K614" s="17"/>
      <c r="L614" s="17"/>
      <c r="M614" s="17"/>
      <c r="N614" s="17"/>
      <c r="O614" s="17"/>
    </row>
    <row r="615" spans="2:15" x14ac:dyDescent="0.3">
      <c r="B615" s="23" t="s">
        <v>241</v>
      </c>
      <c r="C615" s="17"/>
      <c r="D615" s="17"/>
      <c r="E615" s="17"/>
      <c r="F615" s="17"/>
      <c r="G615" s="17"/>
      <c r="H615" s="17"/>
      <c r="I615" s="17"/>
      <c r="J615" s="17"/>
      <c r="K615" s="17"/>
      <c r="L615" s="17"/>
      <c r="M615" s="17"/>
      <c r="N615" s="17"/>
      <c r="O615" s="17"/>
    </row>
    <row r="616" spans="2:15" x14ac:dyDescent="0.3">
      <c r="B616" t="s">
        <v>231</v>
      </c>
      <c r="C616" s="17">
        <v>1.45547842695949E-2</v>
      </c>
      <c r="D616" s="17">
        <v>2.2671571682174301E-2</v>
      </c>
      <c r="E616" s="17">
        <v>0</v>
      </c>
      <c r="F616" s="17"/>
      <c r="G616" s="17">
        <v>3.9786351858184299E-2</v>
      </c>
      <c r="H616" s="17">
        <v>0</v>
      </c>
      <c r="I616" s="17">
        <v>0</v>
      </c>
      <c r="J616" s="17">
        <v>0</v>
      </c>
      <c r="K616" s="17"/>
      <c r="L616" s="17">
        <v>4.4097478647921302E-2</v>
      </c>
      <c r="M616" s="17">
        <v>2.6719612725293201E-2</v>
      </c>
      <c r="N616" s="17">
        <v>0</v>
      </c>
      <c r="O616" s="17">
        <v>0</v>
      </c>
    </row>
    <row r="617" spans="2:15" x14ac:dyDescent="0.3">
      <c r="B617" t="s">
        <v>232</v>
      </c>
      <c r="C617" s="17">
        <v>0.14784458544080101</v>
      </c>
      <c r="D617" s="17">
        <v>0.13875905901797</v>
      </c>
      <c r="E617" s="17">
        <v>0.16413648398862599</v>
      </c>
      <c r="F617" s="17"/>
      <c r="G617" s="17">
        <v>0.16881179090357801</v>
      </c>
      <c r="H617" s="17">
        <v>0</v>
      </c>
      <c r="I617" s="17">
        <v>0.228610239450597</v>
      </c>
      <c r="J617" s="17">
        <v>0.17581620583000501</v>
      </c>
      <c r="K617" s="17"/>
      <c r="L617" s="17">
        <v>9.9032406591490693E-2</v>
      </c>
      <c r="M617" s="17">
        <v>0.10612849504574901</v>
      </c>
      <c r="N617" s="17">
        <v>0.249776769346684</v>
      </c>
      <c r="O617" s="17">
        <v>9.1692851834457606E-2</v>
      </c>
    </row>
    <row r="618" spans="2:15" x14ac:dyDescent="0.3">
      <c r="B618" t="s">
        <v>233</v>
      </c>
      <c r="C618" s="17">
        <v>0.25845935429163702</v>
      </c>
      <c r="D618" s="17">
        <v>0.262643761454665</v>
      </c>
      <c r="E618" s="17">
        <v>0.25095599853543799</v>
      </c>
      <c r="F618" s="17"/>
      <c r="G618" s="17">
        <v>0.18494443962325999</v>
      </c>
      <c r="H618" s="17">
        <v>0.27878844577891299</v>
      </c>
      <c r="I618" s="17">
        <v>0.32625234195573199</v>
      </c>
      <c r="J618" s="17">
        <v>0.291784031064872</v>
      </c>
      <c r="K618" s="17"/>
      <c r="L618" s="17">
        <v>0.370949567013446</v>
      </c>
      <c r="M618" s="17">
        <v>0.25311386929785101</v>
      </c>
      <c r="N618" s="17">
        <v>0.134573025480484</v>
      </c>
      <c r="O618" s="17">
        <v>0.34773678921874601</v>
      </c>
    </row>
    <row r="619" spans="2:15" x14ac:dyDescent="0.3">
      <c r="B619" t="s">
        <v>234</v>
      </c>
      <c r="C619" s="17">
        <v>0.35399300695186797</v>
      </c>
      <c r="D619" s="17">
        <v>0.38149286215377898</v>
      </c>
      <c r="E619" s="17">
        <v>0.30468107606544498</v>
      </c>
      <c r="F619" s="17"/>
      <c r="G619" s="17">
        <v>0.40642875720504201</v>
      </c>
      <c r="H619" s="17">
        <v>0.26509281229720899</v>
      </c>
      <c r="I619" s="17">
        <v>0.34000859543154399</v>
      </c>
      <c r="J619" s="17">
        <v>0.37724700178262799</v>
      </c>
      <c r="K619" s="17"/>
      <c r="L619" s="17">
        <v>0.2709157777192</v>
      </c>
      <c r="M619" s="17">
        <v>0.44139288523292403</v>
      </c>
      <c r="N619" s="17">
        <v>0.36606841971929499</v>
      </c>
      <c r="O619" s="17">
        <v>0.30536383894018099</v>
      </c>
    </row>
    <row r="620" spans="2:15" x14ac:dyDescent="0.3">
      <c r="B620" t="s">
        <v>235</v>
      </c>
      <c r="C620" s="17">
        <v>9.9921049801414794E-2</v>
      </c>
      <c r="D620" s="17">
        <v>0.11652619597625601</v>
      </c>
      <c r="E620" s="17">
        <v>7.0145190455223494E-2</v>
      </c>
      <c r="F620" s="17"/>
      <c r="G620" s="17">
        <v>0.10026399154834401</v>
      </c>
      <c r="H620" s="17">
        <v>0.217238852286985</v>
      </c>
      <c r="I620" s="17">
        <v>0</v>
      </c>
      <c r="J620" s="17">
        <v>9.4367986801069004E-2</v>
      </c>
      <c r="K620" s="17"/>
      <c r="L620" s="17">
        <v>0.21500477002794199</v>
      </c>
      <c r="M620" s="17">
        <v>2.6719612725293201E-2</v>
      </c>
      <c r="N620" s="17">
        <v>5.2414632137516397E-2</v>
      </c>
      <c r="O620" s="17">
        <v>0.15768843873748301</v>
      </c>
    </row>
    <row r="621" spans="2:15" x14ac:dyDescent="0.3">
      <c r="B621" t="s">
        <v>236</v>
      </c>
      <c r="C621" s="17">
        <v>7.8068474929253007E-2</v>
      </c>
      <c r="D621" s="17">
        <v>4.2895877101261699E-2</v>
      </c>
      <c r="E621" s="17">
        <v>0.14113894204463601</v>
      </c>
      <c r="F621" s="17"/>
      <c r="G621" s="17">
        <v>9.9764668861591896E-2</v>
      </c>
      <c r="H621" s="17">
        <v>8.4828896599866199E-2</v>
      </c>
      <c r="I621" s="17">
        <v>5.1760132582699903E-2</v>
      </c>
      <c r="J621" s="17">
        <v>6.0784774521425597E-2</v>
      </c>
      <c r="K621" s="17"/>
      <c r="L621" s="17">
        <v>0</v>
      </c>
      <c r="M621" s="17">
        <v>0.10552957424364499</v>
      </c>
      <c r="N621" s="17">
        <v>0.120899087867311</v>
      </c>
      <c r="O621" s="17">
        <v>4.8175811975959999E-2</v>
      </c>
    </row>
    <row r="622" spans="2:15" x14ac:dyDescent="0.3">
      <c r="B622" t="s">
        <v>237</v>
      </c>
      <c r="C622" s="17">
        <v>3.50718385151235E-2</v>
      </c>
      <c r="D622" s="17">
        <v>1.6183244725471699E-2</v>
      </c>
      <c r="E622" s="17">
        <v>6.8942308910630704E-2</v>
      </c>
      <c r="F622" s="17"/>
      <c r="G622" s="17">
        <v>0</v>
      </c>
      <c r="H622" s="17">
        <v>9.8999457776740393E-2</v>
      </c>
      <c r="I622" s="17">
        <v>5.33686905794266E-2</v>
      </c>
      <c r="J622" s="17">
        <v>0</v>
      </c>
      <c r="K622" s="17"/>
      <c r="L622" s="17">
        <v>0</v>
      </c>
      <c r="M622" s="17">
        <v>4.0395950729245303E-2</v>
      </c>
      <c r="N622" s="17">
        <v>7.6268065448709593E-2</v>
      </c>
      <c r="O622" s="17">
        <v>0</v>
      </c>
    </row>
    <row r="623" spans="2:15" x14ac:dyDescent="0.3">
      <c r="B623" t="s">
        <v>238</v>
      </c>
      <c r="C623" s="17">
        <v>0</v>
      </c>
      <c r="D623" s="17">
        <v>0</v>
      </c>
      <c r="E623" s="17">
        <v>0</v>
      </c>
      <c r="F623" s="17"/>
      <c r="G623" s="17">
        <v>0</v>
      </c>
      <c r="H623" s="17">
        <v>0</v>
      </c>
      <c r="I623" s="17">
        <v>0</v>
      </c>
      <c r="J623" s="17">
        <v>0</v>
      </c>
      <c r="K623" s="17"/>
      <c r="L623" s="17">
        <v>0</v>
      </c>
      <c r="M623" s="17">
        <v>0</v>
      </c>
      <c r="N623" s="17">
        <v>0</v>
      </c>
      <c r="O623" s="17">
        <v>0</v>
      </c>
    </row>
    <row r="624" spans="2:15" x14ac:dyDescent="0.3">
      <c r="B624" t="s">
        <v>239</v>
      </c>
      <c r="C624" s="17">
        <v>1.20869058003079E-2</v>
      </c>
      <c r="D624" s="17">
        <v>1.8827427888424099E-2</v>
      </c>
      <c r="E624" s="17">
        <v>0</v>
      </c>
      <c r="F624" s="17"/>
      <c r="G624" s="17">
        <v>0</v>
      </c>
      <c r="H624" s="17">
        <v>5.5051535260286902E-2</v>
      </c>
      <c r="I624" s="17">
        <v>0</v>
      </c>
      <c r="J624" s="17">
        <v>0</v>
      </c>
      <c r="K624" s="17"/>
      <c r="L624" s="17">
        <v>0</v>
      </c>
      <c r="M624" s="17">
        <v>0</v>
      </c>
      <c r="N624" s="17">
        <v>0</v>
      </c>
      <c r="O624" s="17">
        <v>4.9342269293173001E-2</v>
      </c>
    </row>
    <row r="625" spans="2:15" x14ac:dyDescent="0.3">
      <c r="C625" s="17"/>
      <c r="D625" s="17"/>
      <c r="E625" s="17"/>
      <c r="F625" s="17"/>
      <c r="G625" s="17"/>
      <c r="H625" s="17"/>
      <c r="I625" s="17"/>
      <c r="J625" s="17"/>
      <c r="K625" s="17"/>
      <c r="L625" s="17"/>
      <c r="M625" s="17"/>
      <c r="N625" s="17"/>
      <c r="O625" s="17"/>
    </row>
    <row r="626" spans="2:15" x14ac:dyDescent="0.3">
      <c r="B626" s="6" t="s">
        <v>260</v>
      </c>
      <c r="C626" s="17"/>
      <c r="D626" s="17"/>
      <c r="E626" s="17"/>
      <c r="F626" s="17"/>
      <c r="G626" s="17"/>
      <c r="H626" s="17"/>
      <c r="I626" s="17"/>
      <c r="J626" s="17"/>
      <c r="K626" s="17"/>
      <c r="L626" s="17"/>
      <c r="M626" s="17"/>
      <c r="N626" s="17"/>
      <c r="O626" s="17"/>
    </row>
    <row r="627" spans="2:15" x14ac:dyDescent="0.3">
      <c r="B627" s="23" t="s">
        <v>241</v>
      </c>
      <c r="C627" s="17"/>
      <c r="D627" s="17"/>
      <c r="E627" s="17"/>
      <c r="F627" s="17"/>
      <c r="G627" s="17"/>
      <c r="H627" s="17"/>
      <c r="I627" s="17"/>
      <c r="J627" s="17"/>
      <c r="K627" s="17"/>
      <c r="L627" s="17"/>
      <c r="M627" s="17"/>
      <c r="N627" s="17"/>
      <c r="O627" s="17"/>
    </row>
    <row r="628" spans="2:15" x14ac:dyDescent="0.3">
      <c r="B628" t="s">
        <v>231</v>
      </c>
      <c r="C628" s="17">
        <v>2.1465287480179299E-2</v>
      </c>
      <c r="D628" s="17">
        <v>3.36617026459822E-2</v>
      </c>
      <c r="E628" s="17">
        <v>0</v>
      </c>
      <c r="F628" s="17"/>
      <c r="G628" s="17">
        <v>1.6129219943854401E-2</v>
      </c>
      <c r="H628" s="17">
        <v>0</v>
      </c>
      <c r="I628" s="17">
        <v>6.8694915722724806E-2</v>
      </c>
      <c r="J628" s="17">
        <v>0</v>
      </c>
      <c r="K628" s="17"/>
      <c r="L628" s="17">
        <v>6.3845038995382297E-2</v>
      </c>
      <c r="M628" s="17">
        <v>2.3607837721531799E-2</v>
      </c>
      <c r="N628" s="17">
        <v>0</v>
      </c>
      <c r="O628" s="17">
        <v>0</v>
      </c>
    </row>
    <row r="629" spans="2:15" x14ac:dyDescent="0.3">
      <c r="B629" t="s">
        <v>232</v>
      </c>
      <c r="C629" s="17">
        <v>6.2702907377925998E-2</v>
      </c>
      <c r="D629" s="17">
        <v>7.5816790902719103E-2</v>
      </c>
      <c r="E629" s="17">
        <v>4.0542061001792001E-2</v>
      </c>
      <c r="F629" s="17"/>
      <c r="G629" s="17">
        <v>0.11791452979023501</v>
      </c>
      <c r="H629" s="17">
        <v>0.109061843257539</v>
      </c>
      <c r="I629" s="17">
        <v>0</v>
      </c>
      <c r="J629" s="17">
        <v>0</v>
      </c>
      <c r="K629" s="17"/>
      <c r="L629" s="17">
        <v>9.6638336228503194E-2</v>
      </c>
      <c r="M629" s="17">
        <v>2.8374892098400599E-2</v>
      </c>
      <c r="N629" s="17">
        <v>0.10026661562608701</v>
      </c>
      <c r="O629" s="17">
        <v>3.5957659435233498E-2</v>
      </c>
    </row>
    <row r="630" spans="2:15" x14ac:dyDescent="0.3">
      <c r="B630" t="s">
        <v>233</v>
      </c>
      <c r="C630" s="17">
        <v>8.1998431929491605E-2</v>
      </c>
      <c r="D630" s="17">
        <v>8.9317418751390001E-2</v>
      </c>
      <c r="E630" s="17">
        <v>7.0720609411362503E-2</v>
      </c>
      <c r="F630" s="17"/>
      <c r="G630" s="17">
        <v>0.188305127822229</v>
      </c>
      <c r="H630" s="17">
        <v>7.2739188872735505E-2</v>
      </c>
      <c r="I630" s="17">
        <v>0</v>
      </c>
      <c r="J630" s="17">
        <v>0</v>
      </c>
      <c r="K630" s="17"/>
      <c r="L630" s="17">
        <v>6.5963726864864694E-2</v>
      </c>
      <c r="M630" s="17">
        <v>2.3607837721531799E-2</v>
      </c>
      <c r="N630" s="17">
        <v>5.58549445769961E-2</v>
      </c>
      <c r="O630" s="17">
        <v>0.165146741253382</v>
      </c>
    </row>
    <row r="631" spans="2:15" x14ac:dyDescent="0.3">
      <c r="B631" t="s">
        <v>234</v>
      </c>
      <c r="C631" s="17">
        <v>0.31756291165788098</v>
      </c>
      <c r="D631" s="17">
        <v>0.25223610748012598</v>
      </c>
      <c r="E631" s="17">
        <v>0.41937214047136601</v>
      </c>
      <c r="F631" s="17"/>
      <c r="G631" s="17">
        <v>0.30830704064624798</v>
      </c>
      <c r="H631" s="17">
        <v>0.14692856158453399</v>
      </c>
      <c r="I631" s="17">
        <v>0.40947340222853701</v>
      </c>
      <c r="J631" s="17">
        <v>0.37487687075585202</v>
      </c>
      <c r="K631" s="17"/>
      <c r="L631" s="17">
        <v>0.28677535247095998</v>
      </c>
      <c r="M631" s="17">
        <v>0.44375301024744301</v>
      </c>
      <c r="N631" s="17">
        <v>0.48068176686664599</v>
      </c>
      <c r="O631" s="17">
        <v>0.11366431353005001</v>
      </c>
    </row>
    <row r="632" spans="2:15" x14ac:dyDescent="0.3">
      <c r="B632" t="s">
        <v>235</v>
      </c>
      <c r="C632" s="17">
        <v>0.19185379406429601</v>
      </c>
      <c r="D632" s="17">
        <v>0.193321459725875</v>
      </c>
      <c r="E632" s="17">
        <v>0.19366137228185601</v>
      </c>
      <c r="F632" s="17"/>
      <c r="G632" s="17">
        <v>0.11634328839168299</v>
      </c>
      <c r="H632" s="17">
        <v>0.23077469359167099</v>
      </c>
      <c r="I632" s="17">
        <v>0.28680231113264498</v>
      </c>
      <c r="J632" s="17">
        <v>0.188376864588962</v>
      </c>
      <c r="K632" s="17"/>
      <c r="L632" s="17">
        <v>0.100210733070154</v>
      </c>
      <c r="M632" s="17">
        <v>0.19650843703110801</v>
      </c>
      <c r="N632" s="17">
        <v>0.163307395201924</v>
      </c>
      <c r="O632" s="17">
        <v>0.28587255613781698</v>
      </c>
    </row>
    <row r="633" spans="2:15" x14ac:dyDescent="0.3">
      <c r="B633" t="s">
        <v>236</v>
      </c>
      <c r="C633" s="17">
        <v>0.27763006241356702</v>
      </c>
      <c r="D633" s="17">
        <v>0.304690642964491</v>
      </c>
      <c r="E633" s="17">
        <v>0.23533987664507</v>
      </c>
      <c r="F633" s="17"/>
      <c r="G633" s="17">
        <v>0.25300079340574999</v>
      </c>
      <c r="H633" s="17">
        <v>0.39454050222634901</v>
      </c>
      <c r="I633" s="17">
        <v>0.23502937091609299</v>
      </c>
      <c r="J633" s="17">
        <v>0.26785011949371301</v>
      </c>
      <c r="K633" s="17"/>
      <c r="L633" s="17">
        <v>0.273427691869296</v>
      </c>
      <c r="M633" s="17">
        <v>0.28414798517998502</v>
      </c>
      <c r="N633" s="17">
        <v>0.161759601941874</v>
      </c>
      <c r="O633" s="17">
        <v>0.36148510620015201</v>
      </c>
    </row>
    <row r="634" spans="2:15" x14ac:dyDescent="0.3">
      <c r="B634" t="s">
        <v>237</v>
      </c>
      <c r="C634" s="17">
        <v>4.6786605076659403E-2</v>
      </c>
      <c r="D634" s="17">
        <v>5.09558775294158E-2</v>
      </c>
      <c r="E634" s="17">
        <v>4.0363940188552702E-2</v>
      </c>
      <c r="F634" s="17"/>
      <c r="G634" s="17">
        <v>0</v>
      </c>
      <c r="H634" s="17">
        <v>4.5955210467170798E-2</v>
      </c>
      <c r="I634" s="17">
        <v>0</v>
      </c>
      <c r="J634" s="17">
        <v>0.168896145161473</v>
      </c>
      <c r="K634" s="17"/>
      <c r="L634" s="17">
        <v>0.113139120500841</v>
      </c>
      <c r="M634" s="17">
        <v>0</v>
      </c>
      <c r="N634" s="17">
        <v>3.81296757864725E-2</v>
      </c>
      <c r="O634" s="17">
        <v>3.78736234433657E-2</v>
      </c>
    </row>
    <row r="635" spans="2:15" x14ac:dyDescent="0.3">
      <c r="B635" t="s">
        <v>238</v>
      </c>
      <c r="C635" s="17">
        <v>0</v>
      </c>
      <c r="D635" s="17">
        <v>0</v>
      </c>
      <c r="E635" s="17">
        <v>0</v>
      </c>
      <c r="F635" s="17"/>
      <c r="G635" s="17">
        <v>0</v>
      </c>
      <c r="H635" s="17">
        <v>0</v>
      </c>
      <c r="I635" s="17">
        <v>0</v>
      </c>
      <c r="J635" s="17">
        <v>0</v>
      </c>
      <c r="K635" s="17"/>
      <c r="L635" s="17">
        <v>0</v>
      </c>
      <c r="M635" s="17">
        <v>0</v>
      </c>
      <c r="N635" s="17">
        <v>0</v>
      </c>
      <c r="O635" s="17">
        <v>0</v>
      </c>
    </row>
    <row r="636" spans="2:15" x14ac:dyDescent="0.3">
      <c r="B636" t="s">
        <v>239</v>
      </c>
      <c r="C636" s="17">
        <v>0</v>
      </c>
      <c r="D636" s="17">
        <v>0</v>
      </c>
      <c r="E636" s="17">
        <v>0</v>
      </c>
      <c r="F636" s="17"/>
      <c r="G636" s="17">
        <v>0</v>
      </c>
      <c r="H636" s="17">
        <v>0</v>
      </c>
      <c r="I636" s="17">
        <v>0</v>
      </c>
      <c r="J636" s="17">
        <v>0</v>
      </c>
      <c r="K636" s="17"/>
      <c r="L636" s="17">
        <v>0</v>
      </c>
      <c r="M636" s="17">
        <v>0</v>
      </c>
      <c r="N636" s="17">
        <v>0</v>
      </c>
      <c r="O636" s="17">
        <v>0</v>
      </c>
    </row>
    <row r="637" spans="2:15" x14ac:dyDescent="0.3">
      <c r="C637" s="17"/>
      <c r="D637" s="17"/>
      <c r="E637" s="17"/>
      <c r="F637" s="17"/>
      <c r="G637" s="17"/>
      <c r="H637" s="17"/>
      <c r="I637" s="17"/>
      <c r="J637" s="17"/>
      <c r="K637" s="17"/>
      <c r="L637" s="17"/>
      <c r="M637" s="17"/>
      <c r="N637" s="17"/>
      <c r="O637" s="17"/>
    </row>
    <row r="638" spans="2:15" x14ac:dyDescent="0.3">
      <c r="B638" s="6" t="s">
        <v>263</v>
      </c>
      <c r="C638" s="17"/>
      <c r="D638" s="17"/>
      <c r="E638" s="17"/>
      <c r="F638" s="17"/>
      <c r="G638" s="17"/>
      <c r="H638" s="17"/>
      <c r="I638" s="17"/>
      <c r="J638" s="17"/>
      <c r="K638" s="17"/>
      <c r="L638" s="17"/>
      <c r="M638" s="17"/>
      <c r="N638" s="17"/>
      <c r="O638" s="17"/>
    </row>
    <row r="639" spans="2:15" x14ac:dyDescent="0.3">
      <c r="B639" s="23" t="s">
        <v>241</v>
      </c>
      <c r="C639" s="17"/>
      <c r="D639" s="17"/>
      <c r="E639" s="17"/>
      <c r="F639" s="17"/>
      <c r="G639" s="17"/>
      <c r="H639" s="17"/>
      <c r="I639" s="17"/>
      <c r="J639" s="17"/>
      <c r="K639" s="17"/>
      <c r="L639" s="17"/>
      <c r="M639" s="17"/>
      <c r="N639" s="17"/>
      <c r="O639" s="17"/>
    </row>
    <row r="640" spans="2:15" x14ac:dyDescent="0.3">
      <c r="B640" t="s">
        <v>231</v>
      </c>
      <c r="C640" s="17">
        <v>5.4429245153905601E-3</v>
      </c>
      <c r="D640" s="17">
        <v>0</v>
      </c>
      <c r="E640" s="17">
        <v>8.8595522119244204E-3</v>
      </c>
      <c r="F640" s="17"/>
      <c r="G640" s="17">
        <v>1.5383886321379501E-2</v>
      </c>
      <c r="H640" s="17">
        <v>0</v>
      </c>
      <c r="I640" s="17">
        <v>0</v>
      </c>
      <c r="J640" s="17">
        <v>0</v>
      </c>
      <c r="K640" s="17"/>
      <c r="L640" s="17">
        <v>0</v>
      </c>
      <c r="M640" s="17">
        <v>0</v>
      </c>
      <c r="N640" s="17">
        <v>1.9821856444490998E-2</v>
      </c>
      <c r="O640" s="17">
        <v>0</v>
      </c>
    </row>
    <row r="641" spans="2:15" x14ac:dyDescent="0.3">
      <c r="B641" t="s">
        <v>232</v>
      </c>
      <c r="C641" s="17">
        <v>9.5488803996292906E-2</v>
      </c>
      <c r="D641" s="17">
        <v>0.11835976131385</v>
      </c>
      <c r="E641" s="17">
        <v>8.1132267175608994E-2</v>
      </c>
      <c r="F641" s="17"/>
      <c r="G641" s="17">
        <v>0.15180350371832399</v>
      </c>
      <c r="H641" s="17">
        <v>7.6874522294205105E-2</v>
      </c>
      <c r="I641" s="17">
        <v>4.4275563642038301E-2</v>
      </c>
      <c r="J641" s="17">
        <v>3.5290019623323697E-2</v>
      </c>
      <c r="K641" s="17"/>
      <c r="L641" s="17">
        <v>7.8740213472570098E-2</v>
      </c>
      <c r="M641" s="17">
        <v>0.150322023553837</v>
      </c>
      <c r="N641" s="17">
        <v>0.12639333269597</v>
      </c>
      <c r="O641" s="17">
        <v>3.0047315271952899E-2</v>
      </c>
    </row>
    <row r="642" spans="2:15" x14ac:dyDescent="0.3">
      <c r="B642" t="s">
        <v>233</v>
      </c>
      <c r="C642" s="17">
        <v>9.9089557883782001E-2</v>
      </c>
      <c r="D642" s="17">
        <v>0.120758028838734</v>
      </c>
      <c r="E642" s="17">
        <v>8.5487844724451797E-2</v>
      </c>
      <c r="F642" s="17"/>
      <c r="G642" s="17">
        <v>0.102297629886582</v>
      </c>
      <c r="H642" s="17">
        <v>0.123004073150921</v>
      </c>
      <c r="I642" s="17">
        <v>6.8500825891267103E-2</v>
      </c>
      <c r="J642" s="17">
        <v>0.102098439363888</v>
      </c>
      <c r="K642" s="17"/>
      <c r="L642" s="17">
        <v>0.13674406042499901</v>
      </c>
      <c r="M642" s="17">
        <v>0.17782805047190001</v>
      </c>
      <c r="N642" s="17">
        <v>6.3922603247524801E-2</v>
      </c>
      <c r="O642" s="17">
        <v>3.5628029766859998E-2</v>
      </c>
    </row>
    <row r="643" spans="2:15" x14ac:dyDescent="0.3">
      <c r="B643" t="s">
        <v>234</v>
      </c>
      <c r="C643" s="17">
        <v>0.22229468110652001</v>
      </c>
      <c r="D643" s="17">
        <v>0.160325713424363</v>
      </c>
      <c r="E643" s="17">
        <v>0.261193785936982</v>
      </c>
      <c r="F643" s="17"/>
      <c r="G643" s="17">
        <v>0.26130051234676599</v>
      </c>
      <c r="H643" s="17">
        <v>4.0565586460825698E-2</v>
      </c>
      <c r="I643" s="17">
        <v>0.25862416458175602</v>
      </c>
      <c r="J643" s="17">
        <v>0.31068190235921</v>
      </c>
      <c r="K643" s="17"/>
      <c r="L643" s="17">
        <v>0.28732536871467002</v>
      </c>
      <c r="M643" s="17">
        <v>0.12044428130830701</v>
      </c>
      <c r="N643" s="17">
        <v>0.29145084379084102</v>
      </c>
      <c r="O643" s="17">
        <v>0.18748379379729199</v>
      </c>
    </row>
    <row r="644" spans="2:15" x14ac:dyDescent="0.3">
      <c r="B644" t="s">
        <v>235</v>
      </c>
      <c r="C644" s="17">
        <v>0.11997633598566</v>
      </c>
      <c r="D644" s="17">
        <v>0.13422759430464201</v>
      </c>
      <c r="E644" s="17">
        <v>0.111030548891716</v>
      </c>
      <c r="F644" s="17"/>
      <c r="G644" s="17">
        <v>0.13444843552596</v>
      </c>
      <c r="H644" s="17">
        <v>0.12842173981089899</v>
      </c>
      <c r="I644" s="17">
        <v>0.103835500808312</v>
      </c>
      <c r="J644" s="17">
        <v>0.10798505763666</v>
      </c>
      <c r="K644" s="17"/>
      <c r="L644" s="17">
        <v>0.115889473480195</v>
      </c>
      <c r="M644" s="17">
        <v>6.0034355650908901E-2</v>
      </c>
      <c r="N644" s="17">
        <v>7.0185663418800406E-2</v>
      </c>
      <c r="O644" s="17">
        <v>0.22607005411365</v>
      </c>
    </row>
    <row r="645" spans="2:15" x14ac:dyDescent="0.3">
      <c r="B645" t="s">
        <v>236</v>
      </c>
      <c r="C645" s="17">
        <v>0.30310641568996699</v>
      </c>
      <c r="D645" s="17">
        <v>0.27317656054909301</v>
      </c>
      <c r="E645" s="17">
        <v>0.32189395752311301</v>
      </c>
      <c r="F645" s="17"/>
      <c r="G645" s="17">
        <v>0.25374821781003398</v>
      </c>
      <c r="H645" s="17">
        <v>0.30225886525877799</v>
      </c>
      <c r="I645" s="17">
        <v>0.35998786750398198</v>
      </c>
      <c r="J645" s="17">
        <v>0.34290529046297202</v>
      </c>
      <c r="K645" s="17"/>
      <c r="L645" s="17">
        <v>0.169411989619486</v>
      </c>
      <c r="M645" s="17">
        <v>0.30001316534390099</v>
      </c>
      <c r="N645" s="17">
        <v>0.30675641853518099</v>
      </c>
      <c r="O645" s="17">
        <v>0.41121229954555799</v>
      </c>
    </row>
    <row r="646" spans="2:15" x14ac:dyDescent="0.3">
      <c r="B646" t="s">
        <v>237</v>
      </c>
      <c r="C646" s="17">
        <v>7.1139228733895193E-2</v>
      </c>
      <c r="D646" s="17">
        <v>5.9850113613874302E-2</v>
      </c>
      <c r="E646" s="17">
        <v>7.8225621954921706E-2</v>
      </c>
      <c r="F646" s="17"/>
      <c r="G646" s="17">
        <v>3.51017307429786E-2</v>
      </c>
      <c r="H646" s="17">
        <v>0.234584666436502</v>
      </c>
      <c r="I646" s="17">
        <v>0</v>
      </c>
      <c r="J646" s="17">
        <v>3.7629444790305E-2</v>
      </c>
      <c r="K646" s="17"/>
      <c r="L646" s="17">
        <v>4.2405853413250101E-2</v>
      </c>
      <c r="M646" s="17">
        <v>0.16154334710788701</v>
      </c>
      <c r="N646" s="17">
        <v>5.2683167295176601E-2</v>
      </c>
      <c r="O646" s="17">
        <v>3.4729480097822903E-2</v>
      </c>
    </row>
    <row r="647" spans="2:15" x14ac:dyDescent="0.3">
      <c r="B647" t="s">
        <v>238</v>
      </c>
      <c r="C647" s="17">
        <v>6.8664409459813905E-2</v>
      </c>
      <c r="D647" s="17">
        <v>0.121987554990396</v>
      </c>
      <c r="E647" s="17">
        <v>3.5192452358270503E-2</v>
      </c>
      <c r="F647" s="17"/>
      <c r="G647" s="17">
        <v>3.3583284982128203E-2</v>
      </c>
      <c r="H647" s="17">
        <v>4.5607469306276897E-2</v>
      </c>
      <c r="I647" s="17">
        <v>0.16477607757264501</v>
      </c>
      <c r="J647" s="17">
        <v>6.3409845763641101E-2</v>
      </c>
      <c r="K647" s="17"/>
      <c r="L647" s="17">
        <v>0.16948304087482999</v>
      </c>
      <c r="M647" s="17">
        <v>2.98147765632585E-2</v>
      </c>
      <c r="N647" s="17">
        <v>5.2895528824932703E-2</v>
      </c>
      <c r="O647" s="17">
        <v>3.6194111649323901E-2</v>
      </c>
    </row>
    <row r="648" spans="2:15" x14ac:dyDescent="0.3">
      <c r="B648" t="s">
        <v>261</v>
      </c>
      <c r="C648" s="17">
        <v>1.47976426286786E-2</v>
      </c>
      <c r="D648" s="17">
        <v>1.13146729650476E-2</v>
      </c>
      <c r="E648" s="17">
        <v>1.6983969223012301E-2</v>
      </c>
      <c r="F648" s="17"/>
      <c r="G648" s="17">
        <v>1.23327986658481E-2</v>
      </c>
      <c r="H648" s="17">
        <v>4.8683077281592602E-2</v>
      </c>
      <c r="I648" s="17">
        <v>0</v>
      </c>
      <c r="J648" s="17">
        <v>0</v>
      </c>
      <c r="K648" s="17"/>
      <c r="L648" s="17">
        <v>0</v>
      </c>
      <c r="M648" s="17">
        <v>0</v>
      </c>
      <c r="N648" s="17">
        <v>1.5890585747082499E-2</v>
      </c>
      <c r="O648" s="17">
        <v>3.8634915757540599E-2</v>
      </c>
    </row>
    <row r="649" spans="2:15" x14ac:dyDescent="0.3">
      <c r="C649" s="17"/>
      <c r="D649" s="17"/>
      <c r="E649" s="17"/>
      <c r="F649" s="17"/>
      <c r="G649" s="17"/>
      <c r="H649" s="17"/>
      <c r="I649" s="17"/>
      <c r="J649" s="17"/>
      <c r="K649" s="17"/>
      <c r="L649" s="17"/>
      <c r="M649" s="17"/>
      <c r="N649" s="17"/>
      <c r="O649" s="17"/>
    </row>
    <row r="650" spans="2:15" x14ac:dyDescent="0.3">
      <c r="B650" s="6" t="s">
        <v>264</v>
      </c>
      <c r="C650" s="17"/>
      <c r="D650" s="17"/>
      <c r="E650" s="17"/>
      <c r="F650" s="17"/>
      <c r="G650" s="17"/>
      <c r="H650" s="17"/>
      <c r="I650" s="17"/>
      <c r="J650" s="17"/>
      <c r="K650" s="17"/>
      <c r="L650" s="17"/>
      <c r="M650" s="17"/>
      <c r="N650" s="17"/>
      <c r="O650" s="17"/>
    </row>
    <row r="651" spans="2:15" x14ac:dyDescent="0.3">
      <c r="B651" s="23" t="s">
        <v>241</v>
      </c>
      <c r="C651" s="17"/>
      <c r="D651" s="17"/>
      <c r="E651" s="17"/>
      <c r="F651" s="17"/>
      <c r="G651" s="17"/>
      <c r="H651" s="17"/>
      <c r="I651" s="17"/>
      <c r="J651" s="17"/>
      <c r="K651" s="17"/>
      <c r="L651" s="17"/>
      <c r="M651" s="17"/>
      <c r="N651" s="17"/>
      <c r="O651" s="17"/>
    </row>
    <row r="652" spans="2:15" x14ac:dyDescent="0.3">
      <c r="B652" t="s">
        <v>231</v>
      </c>
      <c r="C652" s="17">
        <v>3.4136248124166199E-2</v>
      </c>
      <c r="D652" s="17">
        <v>4.2645599697676298E-2</v>
      </c>
      <c r="E652" s="17">
        <v>2.2872934280090899E-2</v>
      </c>
      <c r="F652" s="17"/>
      <c r="G652" s="17">
        <v>3.2064435098442097E-2</v>
      </c>
      <c r="H652" s="17">
        <v>3.2970138182914499E-2</v>
      </c>
      <c r="I652" s="17">
        <v>4.0096920085227299E-2</v>
      </c>
      <c r="J652" s="17">
        <v>3.3246509823217099E-2</v>
      </c>
      <c r="K652" s="17"/>
      <c r="L652" s="17">
        <v>4.3222015102474101E-2</v>
      </c>
      <c r="M652" s="17">
        <v>3.4143879276213901E-2</v>
      </c>
      <c r="N652" s="17">
        <v>4.46068717871521E-2</v>
      </c>
      <c r="O652" s="17">
        <v>1.3445150439723301E-2</v>
      </c>
    </row>
    <row r="653" spans="2:15" x14ac:dyDescent="0.3">
      <c r="B653" t="s">
        <v>232</v>
      </c>
      <c r="C653" s="17">
        <v>0.10194739624394</v>
      </c>
      <c r="D653" s="17">
        <v>7.7466050716376994E-2</v>
      </c>
      <c r="E653" s="17">
        <v>0.13551660878328201</v>
      </c>
      <c r="F653" s="17"/>
      <c r="G653" s="17">
        <v>0.109327288248731</v>
      </c>
      <c r="H653" s="17">
        <v>6.1331050275512097E-2</v>
      </c>
      <c r="I653" s="17">
        <v>5.93525382260848E-2</v>
      </c>
      <c r="J653" s="17">
        <v>0.170415187159902</v>
      </c>
      <c r="K653" s="17"/>
      <c r="L653" s="17">
        <v>5.8206509121601302E-2</v>
      </c>
      <c r="M653" s="17">
        <v>0.118753185174428</v>
      </c>
      <c r="N653" s="17">
        <v>9.7710806794031504E-2</v>
      </c>
      <c r="O653" s="17">
        <v>0.12778710437697</v>
      </c>
    </row>
    <row r="654" spans="2:15" x14ac:dyDescent="0.3">
      <c r="B654" t="s">
        <v>233</v>
      </c>
      <c r="C654" s="17">
        <v>0.10421923461456201</v>
      </c>
      <c r="D654" s="17">
        <v>7.5574065224182696E-2</v>
      </c>
      <c r="E654" s="17">
        <v>0.14341026941747301</v>
      </c>
      <c r="F654" s="17"/>
      <c r="G654" s="17">
        <v>0.146348860057779</v>
      </c>
      <c r="H654" s="17">
        <v>0.116845881486147</v>
      </c>
      <c r="I654" s="17">
        <v>8.5436640746890002E-2</v>
      </c>
      <c r="J654" s="17">
        <v>5.0151713487022798E-2</v>
      </c>
      <c r="K654" s="17"/>
      <c r="L654" s="17">
        <v>0.15546482768369299</v>
      </c>
      <c r="M654" s="17">
        <v>4.2049340124052897E-2</v>
      </c>
      <c r="N654" s="17">
        <v>0.145636692450578</v>
      </c>
      <c r="O654" s="17">
        <v>8.1316053400362895E-2</v>
      </c>
    </row>
    <row r="655" spans="2:15" x14ac:dyDescent="0.3">
      <c r="B655" t="s">
        <v>234</v>
      </c>
      <c r="C655" s="17">
        <v>0.104973917276979</v>
      </c>
      <c r="D655" s="17">
        <v>8.4350645344516903E-2</v>
      </c>
      <c r="E655" s="17">
        <v>0.127544868920481</v>
      </c>
      <c r="F655" s="17"/>
      <c r="G655" s="17">
        <v>0.19819383643031899</v>
      </c>
      <c r="H655" s="17">
        <v>6.2250300658584203E-2</v>
      </c>
      <c r="I655" s="17">
        <v>5.8217210139867102E-2</v>
      </c>
      <c r="J655" s="17">
        <v>6.5014619025259707E-2</v>
      </c>
      <c r="K655" s="17"/>
      <c r="L655" s="17">
        <v>0.12541986753824699</v>
      </c>
      <c r="M655" s="17">
        <v>0.12907439691403499</v>
      </c>
      <c r="N655" s="17">
        <v>5.2091141018961902E-2</v>
      </c>
      <c r="O655" s="17">
        <v>0.119420578251742</v>
      </c>
    </row>
    <row r="656" spans="2:15" x14ac:dyDescent="0.3">
      <c r="B656" t="s">
        <v>235</v>
      </c>
      <c r="C656" s="17">
        <v>9.9944354285780301E-2</v>
      </c>
      <c r="D656" s="17">
        <v>9.1605616927267403E-2</v>
      </c>
      <c r="E656" s="17">
        <v>0.11175808349313</v>
      </c>
      <c r="F656" s="17"/>
      <c r="G656" s="17">
        <v>6.6757622487917001E-2</v>
      </c>
      <c r="H656" s="17">
        <v>0.12603122041114101</v>
      </c>
      <c r="I656" s="17">
        <v>0.14385194509650201</v>
      </c>
      <c r="J656" s="17">
        <v>8.0206142389918703E-2</v>
      </c>
      <c r="K656" s="17"/>
      <c r="L656" s="17">
        <v>8.1257549165903206E-2</v>
      </c>
      <c r="M656" s="17">
        <v>9.9255552634325298E-2</v>
      </c>
      <c r="N656" s="17">
        <v>7.57329660245986E-2</v>
      </c>
      <c r="O656" s="17">
        <v>0.14641954099195101</v>
      </c>
    </row>
    <row r="657" spans="2:15" x14ac:dyDescent="0.3">
      <c r="B657" t="s">
        <v>236</v>
      </c>
      <c r="C657" s="17">
        <v>0.16112941911118001</v>
      </c>
      <c r="D657" s="17">
        <v>0.14283629011496601</v>
      </c>
      <c r="E657" s="17">
        <v>0.18670759263178699</v>
      </c>
      <c r="F657" s="17"/>
      <c r="G657" s="17">
        <v>0.138261963314078</v>
      </c>
      <c r="H657" s="17">
        <v>0.22343543593745199</v>
      </c>
      <c r="I657" s="17">
        <v>0.116294186058033</v>
      </c>
      <c r="J657" s="17">
        <v>0.16179237152374301</v>
      </c>
      <c r="K657" s="17"/>
      <c r="L657" s="17">
        <v>0.215880815168772</v>
      </c>
      <c r="M657" s="17">
        <v>0.13371823859905399</v>
      </c>
      <c r="N657" s="17">
        <v>0.115863729425349</v>
      </c>
      <c r="O657" s="17">
        <v>0.195382690991625</v>
      </c>
    </row>
    <row r="658" spans="2:15" x14ac:dyDescent="0.3">
      <c r="B658" t="s">
        <v>237</v>
      </c>
      <c r="C658" s="17">
        <v>5.1703775500097998E-2</v>
      </c>
      <c r="D658" s="17">
        <v>4.9786337758603798E-2</v>
      </c>
      <c r="E658" s="17">
        <v>5.4587402572597102E-2</v>
      </c>
      <c r="F658" s="17"/>
      <c r="G658" s="17">
        <v>6.8471933309196403E-2</v>
      </c>
      <c r="H658" s="17">
        <v>7.8632666922949707E-2</v>
      </c>
      <c r="I658" s="17">
        <v>3.89483391667391E-2</v>
      </c>
      <c r="J658" s="17">
        <v>1.1137454862459E-2</v>
      </c>
      <c r="K658" s="17"/>
      <c r="L658" s="17">
        <v>1.3745132865398101E-2</v>
      </c>
      <c r="M658" s="17">
        <v>5.5357941793048503E-2</v>
      </c>
      <c r="N658" s="17">
        <v>7.6679725164756601E-2</v>
      </c>
      <c r="O658" s="17">
        <v>5.3499994257846697E-2</v>
      </c>
    </row>
    <row r="659" spans="2:15" x14ac:dyDescent="0.3">
      <c r="B659" t="s">
        <v>238</v>
      </c>
      <c r="C659" s="17">
        <v>0.129799208642285</v>
      </c>
      <c r="D659" s="17">
        <v>0.12657528394363601</v>
      </c>
      <c r="E659" s="17">
        <v>0.13489709812431899</v>
      </c>
      <c r="F659" s="17"/>
      <c r="G659" s="17">
        <v>0.114000863499651</v>
      </c>
      <c r="H659" s="17">
        <v>0.116112614063642</v>
      </c>
      <c r="I659" s="17">
        <v>0.125320461468481</v>
      </c>
      <c r="J659" s="17">
        <v>0.16907620361092701</v>
      </c>
      <c r="K659" s="17"/>
      <c r="L659" s="17">
        <v>0.120244000451175</v>
      </c>
      <c r="M659" s="17">
        <v>0.13404047914595599</v>
      </c>
      <c r="N659" s="17">
        <v>0.13978493326722799</v>
      </c>
      <c r="O659" s="17">
        <v>0.122021738747344</v>
      </c>
    </row>
    <row r="660" spans="2:15" x14ac:dyDescent="0.3">
      <c r="B660" t="s">
        <v>261</v>
      </c>
      <c r="C660" s="17">
        <v>0.212146446201009</v>
      </c>
      <c r="D660" s="17">
        <v>0.30916011027277301</v>
      </c>
      <c r="E660" s="17">
        <v>8.2705141776838895E-2</v>
      </c>
      <c r="F660" s="17"/>
      <c r="G660" s="17">
        <v>0.12657319755388699</v>
      </c>
      <c r="H660" s="17">
        <v>0.18239069206165801</v>
      </c>
      <c r="I660" s="17">
        <v>0.33248175901217603</v>
      </c>
      <c r="J660" s="17">
        <v>0.25895979811755099</v>
      </c>
      <c r="K660" s="17"/>
      <c r="L660" s="17">
        <v>0.18655928290273699</v>
      </c>
      <c r="M660" s="17">
        <v>0.25360698633888701</v>
      </c>
      <c r="N660" s="17">
        <v>0.25189313406734398</v>
      </c>
      <c r="O660" s="17">
        <v>0.14070714854243499</v>
      </c>
    </row>
    <row r="661" spans="2:15" x14ac:dyDescent="0.3">
      <c r="C661" s="17"/>
      <c r="D661" s="17"/>
      <c r="E661" s="17"/>
      <c r="F661" s="17"/>
      <c r="G661" s="17"/>
      <c r="H661" s="17"/>
      <c r="I661" s="17"/>
      <c r="J661" s="17"/>
      <c r="K661" s="17"/>
      <c r="L661" s="17"/>
      <c r="M661" s="17"/>
      <c r="N661" s="17"/>
      <c r="O661" s="17"/>
    </row>
    <row r="662" spans="2:15" x14ac:dyDescent="0.3">
      <c r="B662" s="6" t="s">
        <v>265</v>
      </c>
      <c r="C662" s="17"/>
      <c r="D662" s="17"/>
      <c r="E662" s="17"/>
      <c r="F662" s="17"/>
      <c r="G662" s="17"/>
      <c r="H662" s="17"/>
      <c r="I662" s="17"/>
      <c r="J662" s="17"/>
      <c r="K662" s="17"/>
      <c r="L662" s="17"/>
      <c r="M662" s="17"/>
      <c r="N662" s="17"/>
      <c r="O662" s="17"/>
    </row>
    <row r="663" spans="2:15" x14ac:dyDescent="0.3">
      <c r="B663" s="23" t="s">
        <v>241</v>
      </c>
      <c r="C663" s="17"/>
      <c r="D663" s="17"/>
      <c r="E663" s="17"/>
      <c r="F663" s="17"/>
      <c r="G663" s="17"/>
      <c r="H663" s="17"/>
      <c r="I663" s="17"/>
      <c r="J663" s="17"/>
      <c r="K663" s="17"/>
      <c r="L663" s="17"/>
      <c r="M663" s="17"/>
      <c r="N663" s="17"/>
      <c r="O663" s="17"/>
    </row>
    <row r="664" spans="2:15" x14ac:dyDescent="0.3">
      <c r="B664" t="s">
        <v>231</v>
      </c>
      <c r="C664" s="17">
        <v>2.15435070485623E-2</v>
      </c>
      <c r="D664" s="17">
        <v>0.14343592702900501</v>
      </c>
      <c r="E664" s="17">
        <v>0</v>
      </c>
      <c r="F664" s="17"/>
      <c r="G664" s="17">
        <v>4.6325472620665997E-2</v>
      </c>
      <c r="H664" s="17">
        <v>0</v>
      </c>
      <c r="I664" s="17">
        <v>0</v>
      </c>
      <c r="J664" s="17">
        <v>0</v>
      </c>
      <c r="K664" s="17"/>
      <c r="L664" s="17">
        <v>6.1391464454795902E-2</v>
      </c>
      <c r="M664" s="17">
        <v>0</v>
      </c>
      <c r="N664" s="17">
        <v>0</v>
      </c>
      <c r="O664" s="17">
        <v>0</v>
      </c>
    </row>
    <row r="665" spans="2:15" x14ac:dyDescent="0.3">
      <c r="B665" t="s">
        <v>232</v>
      </c>
      <c r="C665" s="17">
        <v>0.13812747569444001</v>
      </c>
      <c r="D665" s="17">
        <v>0.15420498727395501</v>
      </c>
      <c r="E665" s="17">
        <v>0.135285904544305</v>
      </c>
      <c r="F665" s="17"/>
      <c r="G665" s="17">
        <v>0.29701852066242501</v>
      </c>
      <c r="H665" s="17">
        <v>0</v>
      </c>
      <c r="I665" s="17">
        <v>0</v>
      </c>
      <c r="J665" s="17">
        <v>0</v>
      </c>
      <c r="K665" s="17"/>
      <c r="L665" s="17">
        <v>7.3270536507450801E-2</v>
      </c>
      <c r="M665" s="17">
        <v>0.17601452640468701</v>
      </c>
      <c r="N665" s="17">
        <v>0.30415277605610103</v>
      </c>
      <c r="O665" s="17">
        <v>0</v>
      </c>
    </row>
    <row r="666" spans="2:15" x14ac:dyDescent="0.3">
      <c r="B666" t="s">
        <v>233</v>
      </c>
      <c r="C666" s="17">
        <v>0.147010014277492</v>
      </c>
      <c r="D666" s="17">
        <v>0.172416073380526</v>
      </c>
      <c r="E666" s="17">
        <v>0.14251969721388599</v>
      </c>
      <c r="F666" s="17"/>
      <c r="G666" s="17">
        <v>0.160062414819161</v>
      </c>
      <c r="H666" s="17">
        <v>0.25441842145292798</v>
      </c>
      <c r="I666" s="17">
        <v>0</v>
      </c>
      <c r="J666" s="17">
        <v>0</v>
      </c>
      <c r="K666" s="17"/>
      <c r="L666" s="17">
        <v>0.114434953483582</v>
      </c>
      <c r="M666" s="17">
        <v>0.23205892422441499</v>
      </c>
      <c r="N666" s="17">
        <v>0.124482067969646</v>
      </c>
      <c r="O666" s="17">
        <v>0</v>
      </c>
    </row>
    <row r="667" spans="2:15" x14ac:dyDescent="0.3">
      <c r="B667" t="s">
        <v>234</v>
      </c>
      <c r="C667" s="17">
        <v>6.4142268876762304E-2</v>
      </c>
      <c r="D667" s="17">
        <v>0</v>
      </c>
      <c r="E667" s="17">
        <v>7.5478900160963702E-2</v>
      </c>
      <c r="F667" s="17"/>
      <c r="G667" s="17">
        <v>6.18067078901713E-2</v>
      </c>
      <c r="H667" s="17">
        <v>0.124097949720434</v>
      </c>
      <c r="I667" s="17">
        <v>0</v>
      </c>
      <c r="J667" s="17">
        <v>0</v>
      </c>
      <c r="K667" s="17"/>
      <c r="L667" s="17">
        <v>8.1907514286528996E-2</v>
      </c>
      <c r="M667" s="17">
        <v>9.3101047746104698E-2</v>
      </c>
      <c r="N667" s="17">
        <v>0</v>
      </c>
      <c r="O667" s="17">
        <v>0</v>
      </c>
    </row>
    <row r="668" spans="2:15" x14ac:dyDescent="0.3">
      <c r="B668" t="s">
        <v>235</v>
      </c>
      <c r="C668" s="17">
        <v>0.32495963726523103</v>
      </c>
      <c r="D668" s="17">
        <v>0.37094577175730398</v>
      </c>
      <c r="E668" s="17">
        <v>0.31683195703109501</v>
      </c>
      <c r="F668" s="17"/>
      <c r="G668" s="17">
        <v>0.28702479115492402</v>
      </c>
      <c r="H668" s="17">
        <v>0.113639552746749</v>
      </c>
      <c r="I668" s="17">
        <v>0.75809418502502102</v>
      </c>
      <c r="J668" s="17">
        <v>0.39673744627079399</v>
      </c>
      <c r="K668" s="17"/>
      <c r="L668" s="17">
        <v>0.18265440909074501</v>
      </c>
      <c r="M668" s="17">
        <v>0.38192045073980002</v>
      </c>
      <c r="N668" s="17">
        <v>0.24367254259318299</v>
      </c>
      <c r="O668" s="17">
        <v>0.66394107089146304</v>
      </c>
    </row>
    <row r="669" spans="2:15" x14ac:dyDescent="0.3">
      <c r="B669" t="s">
        <v>236</v>
      </c>
      <c r="C669" s="17">
        <v>0.28033634224806703</v>
      </c>
      <c r="D669" s="17">
        <v>0</v>
      </c>
      <c r="E669" s="17">
        <v>0.32988354104975198</v>
      </c>
      <c r="F669" s="17"/>
      <c r="G669" s="17">
        <v>9.64107859182496E-2</v>
      </c>
      <c r="H669" s="17">
        <v>0.50784407607988902</v>
      </c>
      <c r="I669" s="17">
        <v>0.24190581497497901</v>
      </c>
      <c r="J669" s="17">
        <v>0.60326255372920601</v>
      </c>
      <c r="K669" s="17"/>
      <c r="L669" s="17">
        <v>0.48634112217689701</v>
      </c>
      <c r="M669" s="17">
        <v>5.4098004353782397E-2</v>
      </c>
      <c r="N669" s="17">
        <v>0.32769261338106997</v>
      </c>
      <c r="O669" s="17">
        <v>0.33605892910853702</v>
      </c>
    </row>
    <row r="670" spans="2:15" x14ac:dyDescent="0.3">
      <c r="B670" t="s">
        <v>237</v>
      </c>
      <c r="C670" s="17">
        <v>2.38807545894455E-2</v>
      </c>
      <c r="D670" s="17">
        <v>0.15899724055921</v>
      </c>
      <c r="E670" s="17">
        <v>0</v>
      </c>
      <c r="F670" s="17"/>
      <c r="G670" s="17">
        <v>5.13513069344032E-2</v>
      </c>
      <c r="H670" s="17">
        <v>0</v>
      </c>
      <c r="I670" s="17">
        <v>0</v>
      </c>
      <c r="J670" s="17">
        <v>0</v>
      </c>
      <c r="K670" s="17"/>
      <c r="L670" s="17">
        <v>0</v>
      </c>
      <c r="M670" s="17">
        <v>6.2807046531211594E-2</v>
      </c>
      <c r="N670" s="17">
        <v>0</v>
      </c>
      <c r="O670" s="17">
        <v>0</v>
      </c>
    </row>
    <row r="671" spans="2:15" x14ac:dyDescent="0.3">
      <c r="B671" t="s">
        <v>238</v>
      </c>
      <c r="C671" s="17">
        <v>0</v>
      </c>
      <c r="D671" s="17">
        <v>0</v>
      </c>
      <c r="E671" s="17">
        <v>0</v>
      </c>
      <c r="F671" s="17"/>
      <c r="G671" s="17">
        <v>0</v>
      </c>
      <c r="H671" s="17">
        <v>0</v>
      </c>
      <c r="I671" s="17">
        <v>0</v>
      </c>
      <c r="J671" s="17">
        <v>0</v>
      </c>
      <c r="K671" s="17"/>
      <c r="L671" s="17">
        <v>0</v>
      </c>
      <c r="M671" s="17">
        <v>0</v>
      </c>
      <c r="N671" s="17">
        <v>0</v>
      </c>
      <c r="O671" s="17">
        <v>0</v>
      </c>
    </row>
    <row r="672" spans="2:15" x14ac:dyDescent="0.3">
      <c r="B672" t="s">
        <v>261</v>
      </c>
      <c r="C672" s="17">
        <v>0</v>
      </c>
      <c r="D672" s="17">
        <v>0</v>
      </c>
      <c r="E672" s="17">
        <v>0</v>
      </c>
      <c r="F672" s="17"/>
      <c r="G672" s="17">
        <v>0</v>
      </c>
      <c r="H672" s="17">
        <v>0</v>
      </c>
      <c r="I672" s="17">
        <v>0</v>
      </c>
      <c r="J672" s="17">
        <v>0</v>
      </c>
      <c r="K672" s="17"/>
      <c r="L672" s="17">
        <v>0</v>
      </c>
      <c r="M672" s="17">
        <v>0</v>
      </c>
      <c r="N672" s="17">
        <v>0</v>
      </c>
      <c r="O672" s="17">
        <v>0</v>
      </c>
    </row>
    <row r="673" spans="2:15" x14ac:dyDescent="0.3">
      <c r="C673" s="17"/>
      <c r="D673" s="17"/>
      <c r="E673" s="17"/>
      <c r="F673" s="17"/>
      <c r="G673" s="17"/>
      <c r="H673" s="17"/>
      <c r="I673" s="17"/>
      <c r="J673" s="17"/>
      <c r="K673" s="17"/>
      <c r="L673" s="17"/>
      <c r="M673" s="17"/>
      <c r="N673" s="17"/>
      <c r="O673" s="17"/>
    </row>
    <row r="674" spans="2:15" x14ac:dyDescent="0.3">
      <c r="B674" s="6" t="s">
        <v>266</v>
      </c>
      <c r="C674" s="17"/>
      <c r="D674" s="17"/>
      <c r="E674" s="17"/>
      <c r="F674" s="17"/>
      <c r="G674" s="17"/>
      <c r="H674" s="17"/>
      <c r="I674" s="17"/>
      <c r="J674" s="17"/>
      <c r="K674" s="17"/>
      <c r="L674" s="17"/>
      <c r="M674" s="17"/>
      <c r="N674" s="17"/>
      <c r="O674" s="17"/>
    </row>
    <row r="675" spans="2:15" x14ac:dyDescent="0.3">
      <c r="B675" s="23" t="s">
        <v>241</v>
      </c>
      <c r="C675" s="17"/>
      <c r="D675" s="17"/>
      <c r="E675" s="17"/>
      <c r="F675" s="17"/>
      <c r="G675" s="17"/>
      <c r="H675" s="17"/>
      <c r="I675" s="17"/>
      <c r="J675" s="17"/>
      <c r="K675" s="17"/>
      <c r="L675" s="17"/>
      <c r="M675" s="17"/>
      <c r="N675" s="17"/>
      <c r="O675" s="17"/>
    </row>
    <row r="676" spans="2:15" x14ac:dyDescent="0.3">
      <c r="B676" t="s">
        <v>231</v>
      </c>
      <c r="C676" s="17">
        <v>0</v>
      </c>
      <c r="D676" s="17">
        <v>0</v>
      </c>
      <c r="E676" s="17">
        <v>0</v>
      </c>
      <c r="F676" s="17"/>
      <c r="G676" s="17">
        <v>0</v>
      </c>
      <c r="H676" s="17">
        <v>0</v>
      </c>
      <c r="I676" s="17">
        <v>0</v>
      </c>
      <c r="J676" s="17">
        <v>0</v>
      </c>
      <c r="K676" s="17"/>
      <c r="L676" s="17">
        <v>0</v>
      </c>
      <c r="M676" s="17">
        <v>0</v>
      </c>
      <c r="N676" s="17">
        <v>0</v>
      </c>
      <c r="O676" s="17">
        <v>0</v>
      </c>
    </row>
    <row r="677" spans="2:15" x14ac:dyDescent="0.3">
      <c r="B677" t="s">
        <v>232</v>
      </c>
      <c r="C677" s="17">
        <v>7.4908693293379805E-2</v>
      </c>
      <c r="D677" s="17">
        <v>5.08749844225235E-2</v>
      </c>
      <c r="E677" s="17">
        <v>8.4154015128526896E-2</v>
      </c>
      <c r="F677" s="17"/>
      <c r="G677" s="17">
        <v>0.20039378719356199</v>
      </c>
      <c r="H677" s="17">
        <v>0</v>
      </c>
      <c r="I677" s="17">
        <v>0</v>
      </c>
      <c r="J677" s="17">
        <v>0</v>
      </c>
      <c r="K677" s="17"/>
      <c r="L677" s="17">
        <v>0.105314767950765</v>
      </c>
      <c r="M677" s="17">
        <v>7.1446334477263507E-2</v>
      </c>
      <c r="N677" s="17">
        <v>0.164602563685881</v>
      </c>
      <c r="O677" s="17">
        <v>0</v>
      </c>
    </row>
    <row r="678" spans="2:15" x14ac:dyDescent="0.3">
      <c r="B678" t="s">
        <v>233</v>
      </c>
      <c r="C678" s="17">
        <v>0.152362518521891</v>
      </c>
      <c r="D678" s="17">
        <v>4.5505800337073299E-2</v>
      </c>
      <c r="E678" s="17">
        <v>0.193468315183356</v>
      </c>
      <c r="F678" s="17"/>
      <c r="G678" s="17">
        <v>7.66242664403185E-2</v>
      </c>
      <c r="H678" s="17">
        <v>0.24020592964826101</v>
      </c>
      <c r="I678" s="17">
        <v>0</v>
      </c>
      <c r="J678" s="17">
        <v>0.23580840015645799</v>
      </c>
      <c r="K678" s="17"/>
      <c r="L678" s="17">
        <v>0.18376039219561899</v>
      </c>
      <c r="M678" s="17">
        <v>0.16366526797832701</v>
      </c>
      <c r="N678" s="17">
        <v>9.5125993917257706E-2</v>
      </c>
      <c r="O678" s="17">
        <v>0.14533530895563501</v>
      </c>
    </row>
    <row r="679" spans="2:15" x14ac:dyDescent="0.3">
      <c r="B679" t="s">
        <v>234</v>
      </c>
      <c r="C679" s="17">
        <v>0.14745782208282801</v>
      </c>
      <c r="D679" s="17">
        <v>0.26670479176155598</v>
      </c>
      <c r="E679" s="17">
        <v>0.10158572558411599</v>
      </c>
      <c r="F679" s="17"/>
      <c r="G679" s="17">
        <v>0.24424513245214799</v>
      </c>
      <c r="H679" s="17">
        <v>0</v>
      </c>
      <c r="I679" s="17">
        <v>0.26894408141623299</v>
      </c>
      <c r="J679" s="17">
        <v>0.123445904371356</v>
      </c>
      <c r="K679" s="17"/>
      <c r="L679" s="17">
        <v>0.13619931646653999</v>
      </c>
      <c r="M679" s="17">
        <v>0.23514811769807401</v>
      </c>
      <c r="N679" s="17">
        <v>0.32092600282151301</v>
      </c>
      <c r="O679" s="17">
        <v>0</v>
      </c>
    </row>
    <row r="680" spans="2:15" x14ac:dyDescent="0.3">
      <c r="B680" t="s">
        <v>235</v>
      </c>
      <c r="C680" s="17">
        <v>0.17368665297133301</v>
      </c>
      <c r="D680" s="17">
        <v>0.137402050746947</v>
      </c>
      <c r="E680" s="17">
        <v>0.18764466615304101</v>
      </c>
      <c r="F680" s="17"/>
      <c r="G680" s="17">
        <v>0.161668644333197</v>
      </c>
      <c r="H680" s="17">
        <v>6.9637693145565394E-2</v>
      </c>
      <c r="I680" s="17">
        <v>0.26275791690462003</v>
      </c>
      <c r="J680" s="17">
        <v>0.290584304777803</v>
      </c>
      <c r="K680" s="17"/>
      <c r="L680" s="17">
        <v>0.22984963917658599</v>
      </c>
      <c r="M680" s="17">
        <v>0.16336374924309899</v>
      </c>
      <c r="N680" s="17">
        <v>0.10151970250159199</v>
      </c>
      <c r="O680" s="17">
        <v>0.16707982470767699</v>
      </c>
    </row>
    <row r="681" spans="2:15" x14ac:dyDescent="0.3">
      <c r="B681" t="s">
        <v>236</v>
      </c>
      <c r="C681" s="17">
        <v>0.29510150063394203</v>
      </c>
      <c r="D681" s="17">
        <v>0.15220569974098699</v>
      </c>
      <c r="E681" s="17">
        <v>0.35007086367505402</v>
      </c>
      <c r="F681" s="17"/>
      <c r="G681" s="17">
        <v>0.16912012408174501</v>
      </c>
      <c r="H681" s="17">
        <v>0.528516615126013</v>
      </c>
      <c r="I681" s="17">
        <v>0.46829800167914698</v>
      </c>
      <c r="J681" s="17">
        <v>0.110602432324965</v>
      </c>
      <c r="K681" s="17"/>
      <c r="L681" s="17">
        <v>0.34487588421048898</v>
      </c>
      <c r="M681" s="17">
        <v>0.19218648524117901</v>
      </c>
      <c r="N681" s="17">
        <v>0.23797168506908301</v>
      </c>
      <c r="O681" s="17">
        <v>0.35412358220846202</v>
      </c>
    </row>
    <row r="682" spans="2:15" x14ac:dyDescent="0.3">
      <c r="B682" t="s">
        <v>237</v>
      </c>
      <c r="C682" s="17">
        <v>6.6525074709210597E-2</v>
      </c>
      <c r="D682" s="17">
        <v>0.10709433337947</v>
      </c>
      <c r="E682" s="17">
        <v>5.0918833698498103E-2</v>
      </c>
      <c r="F682" s="17"/>
      <c r="G682" s="17">
        <v>3.59325083154678E-2</v>
      </c>
      <c r="H682" s="17">
        <v>0</v>
      </c>
      <c r="I682" s="17">
        <v>0</v>
      </c>
      <c r="J682" s="17">
        <v>0.23955895836941801</v>
      </c>
      <c r="K682" s="17"/>
      <c r="L682" s="17">
        <v>0</v>
      </c>
      <c r="M682" s="17">
        <v>7.1890131298675497E-2</v>
      </c>
      <c r="N682" s="17">
        <v>7.9854052004673701E-2</v>
      </c>
      <c r="O682" s="17">
        <v>0.118469008414508</v>
      </c>
    </row>
    <row r="683" spans="2:15" x14ac:dyDescent="0.3">
      <c r="B683" t="s">
        <v>238</v>
      </c>
      <c r="C683" s="17">
        <v>4.8085493959457402E-2</v>
      </c>
      <c r="D683" s="17">
        <v>8.9490957173198493E-2</v>
      </c>
      <c r="E683" s="17">
        <v>3.2157580577408397E-2</v>
      </c>
      <c r="F683" s="17"/>
      <c r="G683" s="17">
        <v>0</v>
      </c>
      <c r="H683" s="17">
        <v>0.16163976208016001</v>
      </c>
      <c r="I683" s="17">
        <v>0</v>
      </c>
      <c r="J683" s="17">
        <v>0</v>
      </c>
      <c r="K683" s="17"/>
      <c r="L683" s="17">
        <v>0</v>
      </c>
      <c r="M683" s="17">
        <v>0.102299914063382</v>
      </c>
      <c r="N683" s="17">
        <v>0</v>
      </c>
      <c r="O683" s="17">
        <v>8.0095238111357103E-2</v>
      </c>
    </row>
    <row r="684" spans="2:15" x14ac:dyDescent="0.3">
      <c r="B684" t="s">
        <v>261</v>
      </c>
      <c r="C684" s="17">
        <v>4.1872243827957699E-2</v>
      </c>
      <c r="D684" s="17">
        <v>0.15072138243824501</v>
      </c>
      <c r="E684" s="17">
        <v>0</v>
      </c>
      <c r="F684" s="17"/>
      <c r="G684" s="17">
        <v>0.112015537183563</v>
      </c>
      <c r="H684" s="17">
        <v>0</v>
      </c>
      <c r="I684" s="17">
        <v>0</v>
      </c>
      <c r="J684" s="17">
        <v>0</v>
      </c>
      <c r="K684" s="17"/>
      <c r="L684" s="17">
        <v>0</v>
      </c>
      <c r="M684" s="17">
        <v>0</v>
      </c>
      <c r="N684" s="17">
        <v>0</v>
      </c>
      <c r="O684" s="17">
        <v>0.13489703760235999</v>
      </c>
    </row>
    <row r="685" spans="2:15" x14ac:dyDescent="0.3">
      <c r="C685" s="17"/>
      <c r="D685" s="17"/>
      <c r="E685" s="17"/>
      <c r="F685" s="17"/>
      <c r="G685" s="17"/>
      <c r="H685" s="17"/>
      <c r="I685" s="17"/>
      <c r="J685" s="17"/>
      <c r="K685" s="17"/>
      <c r="L685" s="17"/>
      <c r="M685" s="17"/>
      <c r="N685" s="17"/>
      <c r="O685" s="17"/>
    </row>
    <row r="686" spans="2:15" x14ac:dyDescent="0.3">
      <c r="B686" s="6" t="s">
        <v>267</v>
      </c>
      <c r="C686" s="17"/>
      <c r="D686" s="17"/>
      <c r="E686" s="17"/>
      <c r="F686" s="17"/>
      <c r="G686" s="17"/>
      <c r="H686" s="17"/>
      <c r="I686" s="17"/>
      <c r="J686" s="17"/>
      <c r="K686" s="17"/>
      <c r="L686" s="17"/>
      <c r="M686" s="17"/>
      <c r="N686" s="17"/>
      <c r="O686" s="17"/>
    </row>
    <row r="687" spans="2:15" x14ac:dyDescent="0.3">
      <c r="B687" s="23" t="s">
        <v>241</v>
      </c>
      <c r="C687" s="17"/>
      <c r="D687" s="17"/>
      <c r="E687" s="17"/>
      <c r="F687" s="17"/>
      <c r="G687" s="17"/>
      <c r="H687" s="17"/>
      <c r="I687" s="17"/>
      <c r="J687" s="17"/>
      <c r="K687" s="17"/>
      <c r="L687" s="17"/>
      <c r="M687" s="17"/>
      <c r="N687" s="17"/>
      <c r="O687" s="17"/>
    </row>
    <row r="688" spans="2:15" x14ac:dyDescent="0.3">
      <c r="B688" t="s">
        <v>231</v>
      </c>
      <c r="C688" s="17">
        <v>2.3685515674704598E-2</v>
      </c>
      <c r="D688" s="17">
        <v>0</v>
      </c>
      <c r="E688" s="17">
        <v>3.7620047242702202E-2</v>
      </c>
      <c r="F688" s="17"/>
      <c r="G688" s="17">
        <v>2.7155604748140001E-2</v>
      </c>
      <c r="H688" s="17">
        <v>5.2153933974564602E-2</v>
      </c>
      <c r="I688" s="17">
        <v>0</v>
      </c>
      <c r="J688" s="17">
        <v>0</v>
      </c>
      <c r="K688" s="17"/>
      <c r="L688" s="17">
        <v>7.1180422188159301E-2</v>
      </c>
      <c r="M688" s="17">
        <v>0</v>
      </c>
      <c r="N688" s="17">
        <v>0</v>
      </c>
      <c r="O688" s="17">
        <v>0</v>
      </c>
    </row>
    <row r="689" spans="2:15" x14ac:dyDescent="0.3">
      <c r="B689" t="s">
        <v>232</v>
      </c>
      <c r="C689" s="17">
        <v>7.6483738113781397E-2</v>
      </c>
      <c r="D689" s="17">
        <v>4.5035213735007101E-2</v>
      </c>
      <c r="E689" s="17">
        <v>9.5749116414173302E-2</v>
      </c>
      <c r="F689" s="17"/>
      <c r="G689" s="17">
        <v>0.13599158817992901</v>
      </c>
      <c r="H689" s="17">
        <v>5.0157187200370101E-2</v>
      </c>
      <c r="I689" s="17">
        <v>0</v>
      </c>
      <c r="J689" s="17">
        <v>5.13856353592946E-2</v>
      </c>
      <c r="K689" s="17"/>
      <c r="L689" s="17">
        <v>6.3017353654210101E-2</v>
      </c>
      <c r="M689" s="17">
        <v>0.15647256547760299</v>
      </c>
      <c r="N689" s="17">
        <v>3.8810839877966199E-2</v>
      </c>
      <c r="O689" s="17">
        <v>3.9719560455628203E-2</v>
      </c>
    </row>
    <row r="690" spans="2:15" x14ac:dyDescent="0.3">
      <c r="B690" t="s">
        <v>233</v>
      </c>
      <c r="C690" s="17">
        <v>0.18688846191818301</v>
      </c>
      <c r="D690" s="17">
        <v>0.15621881050844699</v>
      </c>
      <c r="E690" s="17">
        <v>0.207581190973531</v>
      </c>
      <c r="F690" s="17"/>
      <c r="G690" s="17">
        <v>0.123211851236595</v>
      </c>
      <c r="H690" s="17">
        <v>0.19926877627874601</v>
      </c>
      <c r="I690" s="17">
        <v>9.9302763726038995E-2</v>
      </c>
      <c r="J690" s="17">
        <v>0.32110078112381402</v>
      </c>
      <c r="K690" s="17"/>
      <c r="L690" s="17">
        <v>0.154610206703134</v>
      </c>
      <c r="M690" s="17">
        <v>0.19412589133456301</v>
      </c>
      <c r="N690" s="17">
        <v>0.23490287350665101</v>
      </c>
      <c r="O690" s="17">
        <v>0.179521329913613</v>
      </c>
    </row>
    <row r="691" spans="2:15" x14ac:dyDescent="0.3">
      <c r="B691" t="s">
        <v>234</v>
      </c>
      <c r="C691" s="17">
        <v>0.26176501469361901</v>
      </c>
      <c r="D691" s="17">
        <v>0.35259919041196403</v>
      </c>
      <c r="E691" s="17">
        <v>0.19734662413731999</v>
      </c>
      <c r="F691" s="17"/>
      <c r="G691" s="17">
        <v>0.34413188979464499</v>
      </c>
      <c r="H691" s="17">
        <v>0.25026897935124298</v>
      </c>
      <c r="I691" s="17">
        <v>0.136431559112276</v>
      </c>
      <c r="J691" s="17">
        <v>0.210409280626213</v>
      </c>
      <c r="K691" s="17"/>
      <c r="L691" s="17">
        <v>0.149665285519091</v>
      </c>
      <c r="M691" s="17">
        <v>0.41097387855318801</v>
      </c>
      <c r="N691" s="17">
        <v>0.23744072739243</v>
      </c>
      <c r="O691" s="17">
        <v>0.28794457601514001</v>
      </c>
    </row>
    <row r="692" spans="2:15" x14ac:dyDescent="0.3">
      <c r="B692" t="s">
        <v>235</v>
      </c>
      <c r="C692" s="17">
        <v>0.202891706632086</v>
      </c>
      <c r="D692" s="17">
        <v>0.15012832753310501</v>
      </c>
      <c r="E692" s="17">
        <v>0.23647920628356001</v>
      </c>
      <c r="F692" s="17"/>
      <c r="G692" s="17">
        <v>0.150580090473901</v>
      </c>
      <c r="H692" s="17">
        <v>0.26229138124017298</v>
      </c>
      <c r="I692" s="17">
        <v>0.38540159922077</v>
      </c>
      <c r="J692" s="17">
        <v>0.124305299942472</v>
      </c>
      <c r="K692" s="17"/>
      <c r="L692" s="17">
        <v>0.290045870779719</v>
      </c>
      <c r="M692" s="17">
        <v>0.16073945001050799</v>
      </c>
      <c r="N692" s="17">
        <v>0.16041843272369199</v>
      </c>
      <c r="O692" s="17">
        <v>0.15671987072959401</v>
      </c>
    </row>
    <row r="693" spans="2:15" x14ac:dyDescent="0.3">
      <c r="B693" t="s">
        <v>236</v>
      </c>
      <c r="C693" s="17">
        <v>0.20078197487437199</v>
      </c>
      <c r="D693" s="17">
        <v>0.22551905263831301</v>
      </c>
      <c r="E693" s="17">
        <v>0.19005339277076</v>
      </c>
      <c r="F693" s="17"/>
      <c r="G693" s="17">
        <v>0.178010188490722</v>
      </c>
      <c r="H693" s="17">
        <v>0.18585974195490301</v>
      </c>
      <c r="I693" s="17">
        <v>0.37886407794091498</v>
      </c>
      <c r="J693" s="17">
        <v>0.15814627475263701</v>
      </c>
      <c r="K693" s="17"/>
      <c r="L693" s="17">
        <v>0.27148086115568698</v>
      </c>
      <c r="M693" s="17">
        <v>3.8050859121537703E-2</v>
      </c>
      <c r="N693" s="17">
        <v>0.25716673521435002</v>
      </c>
      <c r="O693" s="17">
        <v>0.225568761817562</v>
      </c>
    </row>
    <row r="694" spans="2:15" x14ac:dyDescent="0.3">
      <c r="B694" t="s">
        <v>237</v>
      </c>
      <c r="C694" s="17">
        <v>9.9162832588841395E-3</v>
      </c>
      <c r="D694" s="17">
        <v>2.7566339367158299E-2</v>
      </c>
      <c r="E694" s="17">
        <v>0</v>
      </c>
      <c r="F694" s="17"/>
      <c r="G694" s="17">
        <v>0</v>
      </c>
      <c r="H694" s="17">
        <v>0</v>
      </c>
      <c r="I694" s="17">
        <v>0</v>
      </c>
      <c r="J694" s="17">
        <v>4.1649239406420499E-2</v>
      </c>
      <c r="K694" s="17"/>
      <c r="L694" s="17">
        <v>0</v>
      </c>
      <c r="M694" s="17">
        <v>3.9637355502599197E-2</v>
      </c>
      <c r="N694" s="17">
        <v>0</v>
      </c>
      <c r="O694" s="17">
        <v>0</v>
      </c>
    </row>
    <row r="695" spans="2:15" x14ac:dyDescent="0.3">
      <c r="B695" t="s">
        <v>238</v>
      </c>
      <c r="C695" s="17">
        <v>1.54440687983357E-2</v>
      </c>
      <c r="D695" s="17">
        <v>4.29330658060052E-2</v>
      </c>
      <c r="E695" s="17">
        <v>0</v>
      </c>
      <c r="F695" s="17"/>
      <c r="G695" s="17">
        <v>4.0918787076067803E-2</v>
      </c>
      <c r="H695" s="17">
        <v>0</v>
      </c>
      <c r="I695" s="17">
        <v>0</v>
      </c>
      <c r="J695" s="17">
        <v>0</v>
      </c>
      <c r="K695" s="17"/>
      <c r="L695" s="17">
        <v>0</v>
      </c>
      <c r="M695" s="17">
        <v>0</v>
      </c>
      <c r="N695" s="17">
        <v>7.1260391284910907E-2</v>
      </c>
      <c r="O695" s="17">
        <v>0</v>
      </c>
    </row>
    <row r="696" spans="2:15" x14ac:dyDescent="0.3">
      <c r="B696" t="s">
        <v>261</v>
      </c>
      <c r="C696" s="17">
        <v>2.2143236036033999E-2</v>
      </c>
      <c r="D696" s="17">
        <v>0</v>
      </c>
      <c r="E696" s="17">
        <v>3.5170422177953797E-2</v>
      </c>
      <c r="F696" s="17"/>
      <c r="G696" s="17">
        <v>0</v>
      </c>
      <c r="H696" s="17">
        <v>0</v>
      </c>
      <c r="I696" s="17">
        <v>0</v>
      </c>
      <c r="J696" s="17">
        <v>9.3003488789149005E-2</v>
      </c>
      <c r="K696" s="17"/>
      <c r="L696" s="17">
        <v>0</v>
      </c>
      <c r="M696" s="17">
        <v>0</v>
      </c>
      <c r="N696" s="17">
        <v>0</v>
      </c>
      <c r="O696" s="17">
        <v>0.11052590106846399</v>
      </c>
    </row>
    <row r="697" spans="2:15" x14ac:dyDescent="0.3">
      <c r="C697" s="17"/>
      <c r="D697" s="17"/>
      <c r="E697" s="17"/>
      <c r="F697" s="17"/>
      <c r="G697" s="17"/>
      <c r="H697" s="17"/>
      <c r="I697" s="17"/>
      <c r="J697" s="17"/>
      <c r="K697" s="17"/>
      <c r="L697" s="17"/>
      <c r="M697" s="17"/>
      <c r="N697" s="17"/>
      <c r="O697" s="17"/>
    </row>
    <row r="698" spans="2:15" x14ac:dyDescent="0.3">
      <c r="B698" s="6" t="s">
        <v>268</v>
      </c>
      <c r="C698" s="17"/>
      <c r="D698" s="17"/>
      <c r="E698" s="17"/>
      <c r="F698" s="17"/>
      <c r="G698" s="17"/>
      <c r="H698" s="17"/>
      <c r="I698" s="17"/>
      <c r="J698" s="17"/>
      <c r="K698" s="17"/>
      <c r="L698" s="17"/>
      <c r="M698" s="17"/>
      <c r="N698" s="17"/>
      <c r="O698" s="17"/>
    </row>
    <row r="699" spans="2:15" x14ac:dyDescent="0.3">
      <c r="B699" s="23" t="s">
        <v>241</v>
      </c>
      <c r="C699" s="17"/>
      <c r="D699" s="17"/>
      <c r="E699" s="17"/>
      <c r="F699" s="17"/>
      <c r="G699" s="17"/>
      <c r="H699" s="17"/>
      <c r="I699" s="17"/>
      <c r="J699" s="17"/>
      <c r="K699" s="17"/>
      <c r="L699" s="17"/>
      <c r="M699" s="17"/>
      <c r="N699" s="17"/>
      <c r="O699" s="17"/>
    </row>
    <row r="700" spans="2:15" x14ac:dyDescent="0.3">
      <c r="B700" t="s">
        <v>231</v>
      </c>
      <c r="C700" s="17">
        <v>2.15743709926828E-2</v>
      </c>
      <c r="D700" s="17">
        <v>1.8468253892724901E-2</v>
      </c>
      <c r="E700" s="17">
        <v>2.5947592790223298E-2</v>
      </c>
      <c r="F700" s="17"/>
      <c r="G700" s="17">
        <v>5.0715157337293398E-2</v>
      </c>
      <c r="H700" s="17">
        <v>0</v>
      </c>
      <c r="I700" s="17">
        <v>0</v>
      </c>
      <c r="J700" s="17">
        <v>0</v>
      </c>
      <c r="K700" s="17"/>
      <c r="L700" s="17">
        <v>4.7928569309296502E-2</v>
      </c>
      <c r="M700" s="17">
        <v>3.5545827294646198E-2</v>
      </c>
      <c r="N700" s="17">
        <v>0</v>
      </c>
      <c r="O700" s="17">
        <v>0</v>
      </c>
    </row>
    <row r="701" spans="2:15" x14ac:dyDescent="0.3">
      <c r="B701" t="s">
        <v>232</v>
      </c>
      <c r="C701" s="17">
        <v>6.0899036625462498E-2</v>
      </c>
      <c r="D701" s="17">
        <v>5.3262949412457399E-2</v>
      </c>
      <c r="E701" s="17">
        <v>7.1650177671718607E-2</v>
      </c>
      <c r="F701" s="17"/>
      <c r="G701" s="17">
        <v>0.143156165489016</v>
      </c>
      <c r="H701" s="17">
        <v>0</v>
      </c>
      <c r="I701" s="17">
        <v>0</v>
      </c>
      <c r="J701" s="17">
        <v>0</v>
      </c>
      <c r="K701" s="17"/>
      <c r="L701" s="17">
        <v>0</v>
      </c>
      <c r="M701" s="17">
        <v>0.13472306214212401</v>
      </c>
      <c r="N701" s="17">
        <v>7.3253981482202399E-2</v>
      </c>
      <c r="O701" s="17">
        <v>0</v>
      </c>
    </row>
    <row r="702" spans="2:15" x14ac:dyDescent="0.3">
      <c r="B702" t="s">
        <v>233</v>
      </c>
      <c r="C702" s="17">
        <v>0.17460791560708</v>
      </c>
      <c r="D702" s="17">
        <v>0.20079773811070101</v>
      </c>
      <c r="E702" s="17">
        <v>0.13773425664293301</v>
      </c>
      <c r="F702" s="17"/>
      <c r="G702" s="17">
        <v>0.28327123415283201</v>
      </c>
      <c r="H702" s="17">
        <v>0.153290091577337</v>
      </c>
      <c r="I702" s="17">
        <v>0.12457022691974</v>
      </c>
      <c r="J702" s="17">
        <v>0</v>
      </c>
      <c r="K702" s="17"/>
      <c r="L702" s="17">
        <v>0.32954725483706698</v>
      </c>
      <c r="M702" s="17">
        <v>7.0156256549189805E-2</v>
      </c>
      <c r="N702" s="17">
        <v>0.28886125735833001</v>
      </c>
      <c r="O702" s="17">
        <v>0</v>
      </c>
    </row>
    <row r="703" spans="2:15" x14ac:dyDescent="0.3">
      <c r="B703" t="s">
        <v>234</v>
      </c>
      <c r="C703" s="17">
        <v>0.116402632500894</v>
      </c>
      <c r="D703" s="17">
        <v>7.0997749018258394E-2</v>
      </c>
      <c r="E703" s="17">
        <v>0.18032991526938499</v>
      </c>
      <c r="F703" s="17"/>
      <c r="G703" s="17">
        <v>8.2022438778345405E-2</v>
      </c>
      <c r="H703" s="17">
        <v>0.15103189138829701</v>
      </c>
      <c r="I703" s="17">
        <v>0.212582611894087</v>
      </c>
      <c r="J703" s="17">
        <v>6.9954754158943103E-2</v>
      </c>
      <c r="K703" s="17"/>
      <c r="L703" s="17">
        <v>0.13893342052355001</v>
      </c>
      <c r="M703" s="17">
        <v>9.7110235643369597E-2</v>
      </c>
      <c r="N703" s="17">
        <v>0.203287778387123</v>
      </c>
      <c r="O703" s="17">
        <v>0</v>
      </c>
    </row>
    <row r="704" spans="2:15" x14ac:dyDescent="0.3">
      <c r="B704" t="s">
        <v>235</v>
      </c>
      <c r="C704" s="17">
        <v>0.13456767144425499</v>
      </c>
      <c r="D704" s="17">
        <v>5.9880576204732798E-2</v>
      </c>
      <c r="E704" s="17">
        <v>0.23972250701079001</v>
      </c>
      <c r="F704" s="17"/>
      <c r="G704" s="17">
        <v>0.117561211674519</v>
      </c>
      <c r="H704" s="17">
        <v>5.6769953791873301E-2</v>
      </c>
      <c r="I704" s="17">
        <v>0.129912255318651</v>
      </c>
      <c r="J704" s="17">
        <v>0.265712277432751</v>
      </c>
      <c r="K704" s="17"/>
      <c r="L704" s="17">
        <v>9.4100214090654194E-2</v>
      </c>
      <c r="M704" s="17">
        <v>7.7970173320606906E-2</v>
      </c>
      <c r="N704" s="17">
        <v>4.5299657258796297E-2</v>
      </c>
      <c r="O704" s="17">
        <v>0.39105453657373102</v>
      </c>
    </row>
    <row r="705" spans="2:15" x14ac:dyDescent="0.3">
      <c r="B705" t="s">
        <v>236</v>
      </c>
      <c r="C705" s="17">
        <v>9.2470013508117899E-2</v>
      </c>
      <c r="D705" s="17">
        <v>6.5418083316615999E-2</v>
      </c>
      <c r="E705" s="17">
        <v>0.13055746706246901</v>
      </c>
      <c r="F705" s="17"/>
      <c r="G705" s="17">
        <v>0.13252829238286901</v>
      </c>
      <c r="H705" s="17">
        <v>7.2994953541017094E-2</v>
      </c>
      <c r="I705" s="17">
        <v>0.121739621456621</v>
      </c>
      <c r="J705" s="17">
        <v>0</v>
      </c>
      <c r="K705" s="17"/>
      <c r="L705" s="17">
        <v>0</v>
      </c>
      <c r="M705" s="17">
        <v>7.0156256549189805E-2</v>
      </c>
      <c r="N705" s="17">
        <v>0.13181735825098501</v>
      </c>
      <c r="O705" s="17">
        <v>0.17755712155203501</v>
      </c>
    </row>
    <row r="706" spans="2:15" x14ac:dyDescent="0.3">
      <c r="B706" t="s">
        <v>237</v>
      </c>
      <c r="C706" s="17">
        <v>2.8592681631326E-2</v>
      </c>
      <c r="D706" s="17">
        <v>4.8900871213354402E-2</v>
      </c>
      <c r="E706" s="17">
        <v>0</v>
      </c>
      <c r="F706" s="17"/>
      <c r="G706" s="17">
        <v>2.8138141255525599E-2</v>
      </c>
      <c r="H706" s="17">
        <v>7.6082355061922902E-2</v>
      </c>
      <c r="I706" s="17">
        <v>0</v>
      </c>
      <c r="J706" s="17">
        <v>0</v>
      </c>
      <c r="K706" s="17"/>
      <c r="L706" s="17">
        <v>0</v>
      </c>
      <c r="M706" s="17">
        <v>9.4317401874273801E-2</v>
      </c>
      <c r="N706" s="17">
        <v>0</v>
      </c>
      <c r="O706" s="17">
        <v>0</v>
      </c>
    </row>
    <row r="707" spans="2:15" x14ac:dyDescent="0.3">
      <c r="B707" t="s">
        <v>238</v>
      </c>
      <c r="C707" s="17">
        <v>0.104998234464832</v>
      </c>
      <c r="D707" s="17">
        <v>0.16611370178475701</v>
      </c>
      <c r="E707" s="17">
        <v>1.89514161224064E-2</v>
      </c>
      <c r="F707" s="17"/>
      <c r="G707" s="17">
        <v>5.9324926016289997E-2</v>
      </c>
      <c r="H707" s="17">
        <v>7.2444055765223003E-2</v>
      </c>
      <c r="I707" s="17">
        <v>0.15977400743681899</v>
      </c>
      <c r="J707" s="17">
        <v>0.19667773083002499</v>
      </c>
      <c r="K707" s="17"/>
      <c r="L707" s="17">
        <v>7.0250442772862604E-2</v>
      </c>
      <c r="M707" s="17">
        <v>0.123686472299765</v>
      </c>
      <c r="N707" s="17">
        <v>9.2171779730665093E-2</v>
      </c>
      <c r="O707" s="17">
        <v>0.133699624008078</v>
      </c>
    </row>
    <row r="708" spans="2:15" x14ac:dyDescent="0.3">
      <c r="B708" t="s">
        <v>261</v>
      </c>
      <c r="C708" s="17">
        <v>0.26588744322534902</v>
      </c>
      <c r="D708" s="17">
        <v>0.31616007704639798</v>
      </c>
      <c r="E708" s="17">
        <v>0.19510666743007499</v>
      </c>
      <c r="F708" s="17"/>
      <c r="G708" s="17">
        <v>0.10328243291330901</v>
      </c>
      <c r="H708" s="17">
        <v>0.417386698874329</v>
      </c>
      <c r="I708" s="17">
        <v>0.25142127697408301</v>
      </c>
      <c r="J708" s="17">
        <v>0.46765523757827998</v>
      </c>
      <c r="K708" s="17"/>
      <c r="L708" s="17">
        <v>0.31924009846656998</v>
      </c>
      <c r="M708" s="17">
        <v>0.29633431432683399</v>
      </c>
      <c r="N708" s="17">
        <v>0.16530818753189899</v>
      </c>
      <c r="O708" s="17">
        <v>0.29768871786615603</v>
      </c>
    </row>
    <row r="709" spans="2:15" x14ac:dyDescent="0.3">
      <c r="C709" s="17"/>
      <c r="D709" s="17"/>
      <c r="E709" s="17"/>
      <c r="F709" s="17"/>
      <c r="G709" s="17"/>
      <c r="H709" s="17"/>
      <c r="I709" s="17"/>
      <c r="J709" s="17"/>
      <c r="K709" s="17"/>
      <c r="L709" s="17"/>
      <c r="M709" s="17"/>
      <c r="N709" s="17"/>
      <c r="O709" s="17"/>
    </row>
    <row r="710" spans="2:15" x14ac:dyDescent="0.3">
      <c r="B710" s="6" t="s">
        <v>269</v>
      </c>
      <c r="C710" s="17"/>
      <c r="D710" s="17"/>
      <c r="E710" s="17"/>
      <c r="F710" s="17"/>
      <c r="G710" s="17"/>
      <c r="H710" s="17"/>
      <c r="I710" s="17"/>
      <c r="J710" s="17"/>
      <c r="K710" s="17"/>
      <c r="L710" s="17"/>
      <c r="M710" s="17"/>
      <c r="N710" s="17"/>
      <c r="O710" s="17"/>
    </row>
    <row r="711" spans="2:15" x14ac:dyDescent="0.3">
      <c r="B711" s="23" t="s">
        <v>241</v>
      </c>
      <c r="C711" s="17"/>
      <c r="D711" s="17"/>
      <c r="E711" s="17"/>
      <c r="F711" s="17"/>
      <c r="G711" s="17"/>
      <c r="H711" s="17"/>
      <c r="I711" s="17"/>
      <c r="J711" s="17"/>
      <c r="K711" s="17"/>
      <c r="L711" s="17"/>
      <c r="M711" s="17"/>
      <c r="N711" s="17"/>
      <c r="O711" s="17"/>
    </row>
    <row r="712" spans="2:15" x14ac:dyDescent="0.3">
      <c r="B712" t="s">
        <v>231</v>
      </c>
      <c r="C712" s="17">
        <v>0</v>
      </c>
      <c r="D712" s="17">
        <v>0</v>
      </c>
      <c r="E712" s="17">
        <v>0</v>
      </c>
      <c r="F712" s="17"/>
      <c r="G712" s="17">
        <v>0</v>
      </c>
      <c r="H712" s="17">
        <v>0</v>
      </c>
      <c r="I712" s="17">
        <v>0</v>
      </c>
      <c r="J712" s="17">
        <v>0</v>
      </c>
      <c r="K712" s="17"/>
      <c r="L712" s="17">
        <v>0</v>
      </c>
      <c r="M712" s="17">
        <v>0</v>
      </c>
      <c r="N712" s="17">
        <v>0</v>
      </c>
      <c r="O712" s="17">
        <v>0</v>
      </c>
    </row>
    <row r="713" spans="2:15" x14ac:dyDescent="0.3">
      <c r="B713" t="s">
        <v>232</v>
      </c>
      <c r="C713" s="17">
        <v>7.8611413891014698E-2</v>
      </c>
      <c r="D713" s="17">
        <v>0</v>
      </c>
      <c r="E713" s="17">
        <v>0.11292739171116301</v>
      </c>
      <c r="F713" s="17"/>
      <c r="G713" s="17">
        <v>0.12662063211646199</v>
      </c>
      <c r="H713" s="17">
        <v>0</v>
      </c>
      <c r="I713" s="17">
        <v>0</v>
      </c>
      <c r="J713" s="17">
        <v>0</v>
      </c>
      <c r="K713" s="17"/>
      <c r="L713" s="17">
        <v>0</v>
      </c>
      <c r="M713" s="17">
        <v>0</v>
      </c>
      <c r="N713" s="17">
        <v>0.216684667203079</v>
      </c>
      <c r="O713" s="17">
        <v>0</v>
      </c>
    </row>
    <row r="714" spans="2:15" x14ac:dyDescent="0.3">
      <c r="B714" t="s">
        <v>233</v>
      </c>
      <c r="C714" s="17">
        <v>7.2709081433185302E-2</v>
      </c>
      <c r="D714" s="17">
        <v>0.23927183316756001</v>
      </c>
      <c r="E714" s="17">
        <v>0</v>
      </c>
      <c r="F714" s="17"/>
      <c r="G714" s="17">
        <v>0.117113653043321</v>
      </c>
      <c r="H714" s="17">
        <v>0</v>
      </c>
      <c r="I714" s="17">
        <v>0</v>
      </c>
      <c r="J714" s="17">
        <v>0</v>
      </c>
      <c r="K714" s="17"/>
      <c r="L714" s="17">
        <v>0</v>
      </c>
      <c r="M714" s="17">
        <v>9.6683496079087203E-2</v>
      </c>
      <c r="N714" s="17">
        <v>9.0092638558528101E-2</v>
      </c>
      <c r="O714" s="17">
        <v>0</v>
      </c>
    </row>
    <row r="715" spans="2:15" x14ac:dyDescent="0.3">
      <c r="B715" t="s">
        <v>234</v>
      </c>
      <c r="C715" s="17">
        <v>0.206918463402364</v>
      </c>
      <c r="D715" s="17">
        <v>0</v>
      </c>
      <c r="E715" s="17">
        <v>0.29724388879846197</v>
      </c>
      <c r="F715" s="17"/>
      <c r="G715" s="17">
        <v>0.333286800678812</v>
      </c>
      <c r="H715" s="17">
        <v>0</v>
      </c>
      <c r="I715" s="17">
        <v>0</v>
      </c>
      <c r="J715" s="17">
        <v>0</v>
      </c>
      <c r="K715" s="17"/>
      <c r="L715" s="17">
        <v>0.30512475434874198</v>
      </c>
      <c r="M715" s="17">
        <v>0.21785393105791201</v>
      </c>
      <c r="N715" s="17">
        <v>0.184851745340363</v>
      </c>
      <c r="O715" s="17">
        <v>0</v>
      </c>
    </row>
    <row r="716" spans="2:15" x14ac:dyDescent="0.3">
      <c r="B716" t="s">
        <v>235</v>
      </c>
      <c r="C716" s="17">
        <v>0.28702718776442299</v>
      </c>
      <c r="D716" s="17">
        <v>0</v>
      </c>
      <c r="E716" s="17">
        <v>0.41232220691722299</v>
      </c>
      <c r="F716" s="17"/>
      <c r="G716" s="17">
        <v>0.16296215434224301</v>
      </c>
      <c r="H716" s="17">
        <v>1</v>
      </c>
      <c r="I716" s="17">
        <v>0.379150359155082</v>
      </c>
      <c r="J716" s="17">
        <v>0</v>
      </c>
      <c r="K716" s="17"/>
      <c r="L716" s="17">
        <v>0.32806588833532602</v>
      </c>
      <c r="M716" s="17">
        <v>0.43152580360861698</v>
      </c>
      <c r="N716" s="17">
        <v>0.15155476226338799</v>
      </c>
      <c r="O716" s="17">
        <v>0</v>
      </c>
    </row>
    <row r="717" spans="2:15" x14ac:dyDescent="0.3">
      <c r="B717" t="s">
        <v>236</v>
      </c>
      <c r="C717" s="17">
        <v>0.22354986062007201</v>
      </c>
      <c r="D717" s="17">
        <v>0.32902646132236402</v>
      </c>
      <c r="E717" s="17">
        <v>0.177506512573152</v>
      </c>
      <c r="F717" s="17"/>
      <c r="G717" s="17">
        <v>0.16265002190484401</v>
      </c>
      <c r="H717" s="17">
        <v>0</v>
      </c>
      <c r="I717" s="17">
        <v>0.620849640844918</v>
      </c>
      <c r="J717" s="17">
        <v>0</v>
      </c>
      <c r="K717" s="17"/>
      <c r="L717" s="17">
        <v>0.36680935731593201</v>
      </c>
      <c r="M717" s="17">
        <v>0.25393676925438402</v>
      </c>
      <c r="N717" s="17">
        <v>0.16184311174033</v>
      </c>
      <c r="O717" s="17">
        <v>0</v>
      </c>
    </row>
    <row r="718" spans="2:15" x14ac:dyDescent="0.3">
      <c r="B718" t="s">
        <v>237</v>
      </c>
      <c r="C718" s="17">
        <v>0</v>
      </c>
      <c r="D718" s="17">
        <v>0</v>
      </c>
      <c r="E718" s="17">
        <v>0</v>
      </c>
      <c r="F718" s="17"/>
      <c r="G718" s="17">
        <v>0</v>
      </c>
      <c r="H718" s="17">
        <v>0</v>
      </c>
      <c r="I718" s="17">
        <v>0</v>
      </c>
      <c r="J718" s="17">
        <v>0</v>
      </c>
      <c r="K718" s="17"/>
      <c r="L718" s="17">
        <v>0</v>
      </c>
      <c r="M718" s="17">
        <v>0</v>
      </c>
      <c r="N718" s="17">
        <v>0</v>
      </c>
      <c r="O718" s="17">
        <v>0</v>
      </c>
    </row>
    <row r="719" spans="2:15" x14ac:dyDescent="0.3">
      <c r="B719" t="s">
        <v>238</v>
      </c>
      <c r="C719" s="17">
        <v>6.0449365995586098E-2</v>
      </c>
      <c r="D719" s="17">
        <v>0.19892742874041</v>
      </c>
      <c r="E719" s="17">
        <v>0</v>
      </c>
      <c r="F719" s="17"/>
      <c r="G719" s="17">
        <v>9.7366737914318602E-2</v>
      </c>
      <c r="H719" s="17">
        <v>0</v>
      </c>
      <c r="I719" s="17">
        <v>0</v>
      </c>
      <c r="J719" s="17">
        <v>0</v>
      </c>
      <c r="K719" s="17"/>
      <c r="L719" s="17">
        <v>0</v>
      </c>
      <c r="M719" s="17">
        <v>0</v>
      </c>
      <c r="N719" s="17">
        <v>0</v>
      </c>
      <c r="O719" s="17">
        <v>1</v>
      </c>
    </row>
    <row r="720" spans="2:15" x14ac:dyDescent="0.3">
      <c r="B720" t="s">
        <v>261</v>
      </c>
      <c r="C720" s="17">
        <v>7.0734626893354802E-2</v>
      </c>
      <c r="D720" s="17">
        <v>0.232774276769665</v>
      </c>
      <c r="E720" s="17">
        <v>0</v>
      </c>
      <c r="F720" s="17"/>
      <c r="G720" s="17">
        <v>0</v>
      </c>
      <c r="H720" s="17">
        <v>0</v>
      </c>
      <c r="I720" s="17">
        <v>0</v>
      </c>
      <c r="J720" s="17">
        <v>1</v>
      </c>
      <c r="K720" s="17"/>
      <c r="L720" s="17">
        <v>0</v>
      </c>
      <c r="M720" s="17">
        <v>0</v>
      </c>
      <c r="N720" s="17">
        <v>0.19497307489431201</v>
      </c>
      <c r="O720" s="17">
        <v>0</v>
      </c>
    </row>
    <row r="721" spans="2:15" x14ac:dyDescent="0.3">
      <c r="C721" s="17"/>
      <c r="D721" s="17"/>
      <c r="E721" s="17"/>
      <c r="F721" s="17"/>
      <c r="G721" s="17"/>
      <c r="H721" s="17"/>
      <c r="I721" s="17"/>
      <c r="J721" s="17"/>
      <c r="K721" s="17"/>
      <c r="L721" s="17"/>
      <c r="M721" s="17"/>
      <c r="N721" s="17"/>
      <c r="O721" s="17"/>
    </row>
    <row r="722" spans="2:15" x14ac:dyDescent="0.3">
      <c r="B722" s="6" t="s">
        <v>270</v>
      </c>
      <c r="C722" s="17"/>
      <c r="D722" s="17"/>
      <c r="E722" s="17"/>
      <c r="F722" s="17"/>
      <c r="G722" s="17"/>
      <c r="H722" s="17"/>
      <c r="I722" s="17"/>
      <c r="J722" s="17"/>
      <c r="K722" s="17"/>
      <c r="L722" s="17"/>
      <c r="M722" s="17"/>
      <c r="N722" s="17"/>
      <c r="O722" s="17"/>
    </row>
    <row r="723" spans="2:15" x14ac:dyDescent="0.3">
      <c r="B723" s="23" t="s">
        <v>241</v>
      </c>
      <c r="C723" s="17"/>
      <c r="D723" s="17"/>
      <c r="E723" s="17"/>
      <c r="F723" s="17"/>
      <c r="G723" s="17"/>
      <c r="H723" s="17"/>
      <c r="I723" s="17"/>
      <c r="J723" s="17"/>
      <c r="K723" s="17"/>
      <c r="L723" s="17"/>
      <c r="M723" s="17"/>
      <c r="N723" s="17"/>
      <c r="O723" s="17"/>
    </row>
    <row r="724" spans="2:15" x14ac:dyDescent="0.3">
      <c r="B724" t="s">
        <v>231</v>
      </c>
      <c r="C724" s="17">
        <v>1.9587687069497501E-2</v>
      </c>
      <c r="D724" s="17">
        <v>3.31197453001979E-2</v>
      </c>
      <c r="E724" s="17">
        <v>0</v>
      </c>
      <c r="F724" s="17"/>
      <c r="G724" s="17">
        <v>0</v>
      </c>
      <c r="H724" s="17">
        <v>0</v>
      </c>
      <c r="I724" s="17">
        <v>0.12408358000174</v>
      </c>
      <c r="J724" s="17">
        <v>0</v>
      </c>
      <c r="K724" s="17"/>
      <c r="L724" s="17">
        <v>8.2495631712368303E-2</v>
      </c>
      <c r="M724" s="17">
        <v>0</v>
      </c>
      <c r="N724" s="17">
        <v>0</v>
      </c>
      <c r="O724" s="17">
        <v>0</v>
      </c>
    </row>
    <row r="725" spans="2:15" x14ac:dyDescent="0.3">
      <c r="B725" t="s">
        <v>232</v>
      </c>
      <c r="C725" s="17">
        <v>2.1345160837675799E-2</v>
      </c>
      <c r="D725" s="17">
        <v>1.4066488193389E-2</v>
      </c>
      <c r="E725" s="17">
        <v>3.1881057122406999E-2</v>
      </c>
      <c r="F725" s="17"/>
      <c r="G725" s="17">
        <v>2.1156082394814601E-2</v>
      </c>
      <c r="H725" s="17">
        <v>0</v>
      </c>
      <c r="I725" s="17">
        <v>8.2516489025315401E-2</v>
      </c>
      <c r="J725" s="17">
        <v>0</v>
      </c>
      <c r="K725" s="17"/>
      <c r="L725" s="17">
        <v>3.5037220817071203E-2</v>
      </c>
      <c r="M725" s="17">
        <v>0</v>
      </c>
      <c r="N725" s="17">
        <v>5.5467200669290499E-2</v>
      </c>
      <c r="O725" s="17">
        <v>0</v>
      </c>
    </row>
    <row r="726" spans="2:15" x14ac:dyDescent="0.3">
      <c r="B726" t="s">
        <v>233</v>
      </c>
      <c r="C726" s="17">
        <v>4.5286931824524201E-2</v>
      </c>
      <c r="D726" s="17">
        <v>1.7372761840156199E-2</v>
      </c>
      <c r="E726" s="17">
        <v>8.5692760497215206E-2</v>
      </c>
      <c r="F726" s="17"/>
      <c r="G726" s="17">
        <v>8.9037795337739506E-2</v>
      </c>
      <c r="H726" s="17">
        <v>0</v>
      </c>
      <c r="I726" s="17">
        <v>0</v>
      </c>
      <c r="J726" s="17">
        <v>4.55808294001449E-2</v>
      </c>
      <c r="K726" s="17"/>
      <c r="L726" s="17">
        <v>0</v>
      </c>
      <c r="M726" s="17">
        <v>4.2697448517977798E-2</v>
      </c>
      <c r="N726" s="17">
        <v>3.2900769837724698E-2</v>
      </c>
      <c r="O726" s="17">
        <v>9.5045352094054694E-2</v>
      </c>
    </row>
    <row r="727" spans="2:15" x14ac:dyDescent="0.3">
      <c r="B727" t="s">
        <v>234</v>
      </c>
      <c r="C727" s="17">
        <v>8.4204748715687103E-2</v>
      </c>
      <c r="D727" s="17">
        <v>6.9790144121116102E-2</v>
      </c>
      <c r="E727" s="17">
        <v>0.1050699237848</v>
      </c>
      <c r="F727" s="17"/>
      <c r="G727" s="17">
        <v>6.0031622959968001E-2</v>
      </c>
      <c r="H727" s="17">
        <v>5.4558984199231601E-2</v>
      </c>
      <c r="I727" s="17">
        <v>8.9152001475704207E-2</v>
      </c>
      <c r="J727" s="17">
        <v>0.15230290650963099</v>
      </c>
      <c r="K727" s="17"/>
      <c r="L727" s="17">
        <v>0.195945359352559</v>
      </c>
      <c r="M727" s="17">
        <v>6.6376362881828202E-2</v>
      </c>
      <c r="N727" s="17">
        <v>9.2432994788203895E-2</v>
      </c>
      <c r="O727" s="17">
        <v>0</v>
      </c>
    </row>
    <row r="728" spans="2:15" x14ac:dyDescent="0.3">
      <c r="B728" t="s">
        <v>235</v>
      </c>
      <c r="C728" s="17">
        <v>0.100783896785615</v>
      </c>
      <c r="D728" s="17">
        <v>7.8248870833641404E-2</v>
      </c>
      <c r="E728" s="17">
        <v>0.133403401440778</v>
      </c>
      <c r="F728" s="17"/>
      <c r="G728" s="17">
        <v>0.134189459034811</v>
      </c>
      <c r="H728" s="17">
        <v>0</v>
      </c>
      <c r="I728" s="17">
        <v>0.16041897554829801</v>
      </c>
      <c r="J728" s="17">
        <v>0.10067223071261</v>
      </c>
      <c r="K728" s="17"/>
      <c r="L728" s="17">
        <v>5.74912046909467E-2</v>
      </c>
      <c r="M728" s="17">
        <v>0</v>
      </c>
      <c r="N728" s="17">
        <v>0.21493182124679899</v>
      </c>
      <c r="O728" s="17">
        <v>0.12769311391906299</v>
      </c>
    </row>
    <row r="729" spans="2:15" x14ac:dyDescent="0.3">
      <c r="B729" t="s">
        <v>236</v>
      </c>
      <c r="C729" s="17">
        <v>0.14330714065326</v>
      </c>
      <c r="D729" s="17">
        <v>0.111085033474238</v>
      </c>
      <c r="E729" s="17">
        <v>0.18994871885091899</v>
      </c>
      <c r="F729" s="17"/>
      <c r="G729" s="17">
        <v>0.101987587895146</v>
      </c>
      <c r="H729" s="17">
        <v>0.235101029354821</v>
      </c>
      <c r="I729" s="17">
        <v>8.4679911235693406E-2</v>
      </c>
      <c r="J729" s="17">
        <v>0.16543221813105699</v>
      </c>
      <c r="K729" s="17"/>
      <c r="L729" s="17">
        <v>5.4818392825672503E-2</v>
      </c>
      <c r="M729" s="17">
        <v>9.88214228494535E-2</v>
      </c>
      <c r="N729" s="17">
        <v>0.14238847996718601</v>
      </c>
      <c r="O729" s="17">
        <v>0.25453410456423098</v>
      </c>
    </row>
    <row r="730" spans="2:15" x14ac:dyDescent="0.3">
      <c r="B730" t="s">
        <v>237</v>
      </c>
      <c r="C730" s="17">
        <v>9.1434161485821494E-2</v>
      </c>
      <c r="D730" s="17">
        <v>8.3287928969900699E-2</v>
      </c>
      <c r="E730" s="17">
        <v>0.103225852786352</v>
      </c>
      <c r="F730" s="17"/>
      <c r="G730" s="17">
        <v>0.13066220024509601</v>
      </c>
      <c r="H730" s="17">
        <v>0.17921497394281</v>
      </c>
      <c r="I730" s="17">
        <v>0</v>
      </c>
      <c r="J730" s="17">
        <v>0</v>
      </c>
      <c r="K730" s="17"/>
      <c r="L730" s="17">
        <v>0.15074739533748599</v>
      </c>
      <c r="M730" s="17">
        <v>0.131247645658883</v>
      </c>
      <c r="N730" s="17">
        <v>3.7111571260661003E-2</v>
      </c>
      <c r="O730" s="17">
        <v>5.3442554375590597E-2</v>
      </c>
    </row>
    <row r="731" spans="2:15" x14ac:dyDescent="0.3">
      <c r="B731" t="s">
        <v>238</v>
      </c>
      <c r="C731" s="17">
        <v>0.16035435604557999</v>
      </c>
      <c r="D731" s="17">
        <v>0.21294788957788299</v>
      </c>
      <c r="E731" s="17">
        <v>8.4225088853048705E-2</v>
      </c>
      <c r="F731" s="17"/>
      <c r="G731" s="17">
        <v>0.20116304304031599</v>
      </c>
      <c r="H731" s="17">
        <v>0.18393882286288199</v>
      </c>
      <c r="I731" s="17">
        <v>0.17423035739203399</v>
      </c>
      <c r="J731" s="17">
        <v>5.6063661439749599E-2</v>
      </c>
      <c r="K731" s="17"/>
      <c r="L731" s="17">
        <v>4.0944165382375802E-2</v>
      </c>
      <c r="M731" s="17">
        <v>0.25441473453151198</v>
      </c>
      <c r="N731" s="17">
        <v>0.11183396795627901</v>
      </c>
      <c r="O731" s="17">
        <v>0.21996350164713799</v>
      </c>
    </row>
    <row r="732" spans="2:15" x14ac:dyDescent="0.3">
      <c r="B732" t="s">
        <v>261</v>
      </c>
      <c r="C732" s="17">
        <v>0.33369591658233899</v>
      </c>
      <c r="D732" s="17">
        <v>0.38008113768947799</v>
      </c>
      <c r="E732" s="17">
        <v>0.26655319666447902</v>
      </c>
      <c r="F732" s="17"/>
      <c r="G732" s="17">
        <v>0.26177220909210902</v>
      </c>
      <c r="H732" s="17">
        <v>0.34718618964025499</v>
      </c>
      <c r="I732" s="17">
        <v>0.284918685321215</v>
      </c>
      <c r="J732" s="17">
        <v>0.479948153806807</v>
      </c>
      <c r="K732" s="17"/>
      <c r="L732" s="17">
        <v>0.38252062988152102</v>
      </c>
      <c r="M732" s="17">
        <v>0.40644238556034601</v>
      </c>
      <c r="N732" s="17">
        <v>0.31293319427385602</v>
      </c>
      <c r="O732" s="17">
        <v>0.249321373399922</v>
      </c>
    </row>
    <row r="733" spans="2:15" x14ac:dyDescent="0.3">
      <c r="C733" s="17"/>
      <c r="D733" s="17"/>
      <c r="E733" s="17"/>
      <c r="F733" s="17"/>
      <c r="G733" s="17"/>
      <c r="H733" s="17"/>
      <c r="I733" s="17"/>
      <c r="J733" s="17"/>
      <c r="K733" s="17"/>
      <c r="L733" s="17"/>
      <c r="M733" s="17"/>
      <c r="N733" s="17"/>
      <c r="O733" s="17"/>
    </row>
    <row r="734" spans="2:15" x14ac:dyDescent="0.3">
      <c r="B734" s="6" t="s">
        <v>271</v>
      </c>
      <c r="C734" s="17"/>
      <c r="D734" s="17"/>
      <c r="E734" s="17"/>
      <c r="F734" s="17"/>
      <c r="G734" s="17"/>
      <c r="H734" s="17"/>
      <c r="I734" s="17"/>
      <c r="J734" s="17"/>
      <c r="K734" s="17"/>
      <c r="L734" s="17"/>
      <c r="M734" s="17"/>
      <c r="N734" s="17"/>
      <c r="O734" s="17"/>
    </row>
    <row r="735" spans="2:15" x14ac:dyDescent="0.3">
      <c r="B735" s="23" t="s">
        <v>241</v>
      </c>
      <c r="C735" s="17"/>
      <c r="D735" s="17"/>
      <c r="E735" s="17"/>
      <c r="F735" s="17"/>
      <c r="G735" s="17"/>
      <c r="H735" s="17"/>
      <c r="I735" s="17"/>
      <c r="J735" s="17"/>
      <c r="K735" s="17"/>
      <c r="L735" s="17"/>
      <c r="M735" s="17"/>
      <c r="N735" s="17"/>
      <c r="O735" s="17"/>
    </row>
    <row r="736" spans="2:15" x14ac:dyDescent="0.3">
      <c r="B736" t="s">
        <v>231</v>
      </c>
      <c r="C736" s="17">
        <v>0</v>
      </c>
      <c r="D736" s="17">
        <v>0</v>
      </c>
      <c r="E736" s="17">
        <v>0</v>
      </c>
      <c r="F736" s="17"/>
      <c r="G736" s="17">
        <v>0</v>
      </c>
      <c r="H736" s="17">
        <v>0</v>
      </c>
      <c r="I736" s="17">
        <v>0</v>
      </c>
      <c r="J736" s="17">
        <v>0</v>
      </c>
      <c r="K736" s="17"/>
      <c r="L736" s="17">
        <v>0</v>
      </c>
      <c r="M736" s="17">
        <v>0</v>
      </c>
      <c r="N736" s="17">
        <v>0</v>
      </c>
      <c r="O736" s="17">
        <v>0</v>
      </c>
    </row>
    <row r="737" spans="2:15" x14ac:dyDescent="0.3">
      <c r="B737" t="s">
        <v>232</v>
      </c>
      <c r="C737" s="17">
        <v>5.9354665947579502E-2</v>
      </c>
      <c r="D737" s="17">
        <v>1.5937146372081899E-2</v>
      </c>
      <c r="E737" s="17">
        <v>0.129578381186051</v>
      </c>
      <c r="F737" s="17"/>
      <c r="G737" s="17">
        <v>9.5309860606970706E-2</v>
      </c>
      <c r="H737" s="17">
        <v>0</v>
      </c>
      <c r="I737" s="17">
        <v>0</v>
      </c>
      <c r="J737" s="17">
        <v>0</v>
      </c>
      <c r="K737" s="17"/>
      <c r="L737" s="17">
        <v>0.21056117901531601</v>
      </c>
      <c r="M737" s="17">
        <v>0</v>
      </c>
      <c r="N737" s="17">
        <v>0.105362812289695</v>
      </c>
      <c r="O737" s="17">
        <v>0</v>
      </c>
    </row>
    <row r="738" spans="2:15" x14ac:dyDescent="0.3">
      <c r="B738" t="s">
        <v>233</v>
      </c>
      <c r="C738" s="17">
        <v>9.6675116009928494E-2</v>
      </c>
      <c r="D738" s="17">
        <v>9.1064718399627306E-2</v>
      </c>
      <c r="E738" s="17">
        <v>0.10574940141389599</v>
      </c>
      <c r="F738" s="17"/>
      <c r="G738" s="17">
        <v>6.7856409327873499E-2</v>
      </c>
      <c r="H738" s="17">
        <v>0.11541203618784</v>
      </c>
      <c r="I738" s="17">
        <v>0.28329053725314002</v>
      </c>
      <c r="J738" s="17">
        <v>0</v>
      </c>
      <c r="K738" s="17"/>
      <c r="L738" s="17">
        <v>0.328857408101764</v>
      </c>
      <c r="M738" s="17">
        <v>4.7054790698894601E-2</v>
      </c>
      <c r="N738" s="17">
        <v>0.13572346342462399</v>
      </c>
      <c r="O738" s="17">
        <v>0</v>
      </c>
    </row>
    <row r="739" spans="2:15" x14ac:dyDescent="0.3">
      <c r="B739" t="s">
        <v>234</v>
      </c>
      <c r="C739" s="17">
        <v>0.12229880511171801</v>
      </c>
      <c r="D739" s="17">
        <v>7.6381536116481602E-2</v>
      </c>
      <c r="E739" s="17">
        <v>0.19656562767496599</v>
      </c>
      <c r="F739" s="17"/>
      <c r="G739" s="17">
        <v>0.16011930853452599</v>
      </c>
      <c r="H739" s="17">
        <v>0</v>
      </c>
      <c r="I739" s="17">
        <v>0.23237837147287599</v>
      </c>
      <c r="J739" s="17">
        <v>0</v>
      </c>
      <c r="K739" s="17"/>
      <c r="L739" s="17">
        <v>0</v>
      </c>
      <c r="M739" s="17">
        <v>8.4385376032016998E-2</v>
      </c>
      <c r="N739" s="17">
        <v>0.18215908625182201</v>
      </c>
      <c r="O739" s="17">
        <v>0.11462195522822</v>
      </c>
    </row>
    <row r="740" spans="2:15" x14ac:dyDescent="0.3">
      <c r="B740" t="s">
        <v>235</v>
      </c>
      <c r="C740" s="17">
        <v>8.8474639350924797E-2</v>
      </c>
      <c r="D740" s="17">
        <v>5.29953826529466E-2</v>
      </c>
      <c r="E740" s="17">
        <v>0.145858968156237</v>
      </c>
      <c r="F740" s="17"/>
      <c r="G740" s="17">
        <v>5.2406965731622603E-2</v>
      </c>
      <c r="H740" s="17">
        <v>0.23969643720282899</v>
      </c>
      <c r="I740" s="17">
        <v>0</v>
      </c>
      <c r="J740" s="17">
        <v>0</v>
      </c>
      <c r="K740" s="17"/>
      <c r="L740" s="17">
        <v>0</v>
      </c>
      <c r="M740" s="17">
        <v>0.169443358320638</v>
      </c>
      <c r="N740" s="17">
        <v>4.5417297249194598E-2</v>
      </c>
      <c r="O740" s="17">
        <v>7.6670586746625996E-2</v>
      </c>
    </row>
    <row r="741" spans="2:15" x14ac:dyDescent="0.3">
      <c r="B741" t="s">
        <v>236</v>
      </c>
      <c r="C741" s="17">
        <v>0.20814236710532599</v>
      </c>
      <c r="D741" s="17">
        <v>0.156761948906215</v>
      </c>
      <c r="E741" s="17">
        <v>0.291245314756997</v>
      </c>
      <c r="F741" s="17"/>
      <c r="G741" s="17">
        <v>0.147264275121848</v>
      </c>
      <c r="H741" s="17">
        <v>0.49981304771309798</v>
      </c>
      <c r="I741" s="17">
        <v>0</v>
      </c>
      <c r="J741" s="17">
        <v>0</v>
      </c>
      <c r="K741" s="17"/>
      <c r="L741" s="17">
        <v>0</v>
      </c>
      <c r="M741" s="17">
        <v>0.177889377401935</v>
      </c>
      <c r="N741" s="17">
        <v>0.205961182405312</v>
      </c>
      <c r="O741" s="17">
        <v>0.35573417914183503</v>
      </c>
    </row>
    <row r="742" spans="2:15" x14ac:dyDescent="0.3">
      <c r="B742" t="s">
        <v>237</v>
      </c>
      <c r="C742" s="17">
        <v>3.7495408002561001E-2</v>
      </c>
      <c r="D742" s="17">
        <v>6.0677855775569202E-2</v>
      </c>
      <c r="E742" s="17">
        <v>0</v>
      </c>
      <c r="F742" s="17"/>
      <c r="G742" s="17">
        <v>2.5025882612586099E-2</v>
      </c>
      <c r="H742" s="17">
        <v>0</v>
      </c>
      <c r="I742" s="17">
        <v>0</v>
      </c>
      <c r="J742" s="17">
        <v>0.46511792598249002</v>
      </c>
      <c r="K742" s="17"/>
      <c r="L742" s="17">
        <v>0</v>
      </c>
      <c r="M742" s="17">
        <v>0.11378188872938801</v>
      </c>
      <c r="N742" s="17">
        <v>0</v>
      </c>
      <c r="O742" s="17">
        <v>0</v>
      </c>
    </row>
    <row r="743" spans="2:15" x14ac:dyDescent="0.3">
      <c r="B743" t="s">
        <v>238</v>
      </c>
      <c r="C743" s="17">
        <v>0.18936510899487799</v>
      </c>
      <c r="D743" s="17">
        <v>0.28415905947905301</v>
      </c>
      <c r="E743" s="17">
        <v>3.6044895168402903E-2</v>
      </c>
      <c r="F743" s="17"/>
      <c r="G743" s="17">
        <v>0.270103311717246</v>
      </c>
      <c r="H743" s="17">
        <v>0</v>
      </c>
      <c r="I743" s="17">
        <v>0.217697607386028</v>
      </c>
      <c r="J743" s="17">
        <v>0</v>
      </c>
      <c r="K743" s="17"/>
      <c r="L743" s="17">
        <v>0.46058141288291998</v>
      </c>
      <c r="M743" s="17">
        <v>8.0939034079777095E-2</v>
      </c>
      <c r="N743" s="17">
        <v>0.14723662057325601</v>
      </c>
      <c r="O743" s="17">
        <v>0.35045802725550901</v>
      </c>
    </row>
    <row r="744" spans="2:15" x14ac:dyDescent="0.3">
      <c r="B744" t="s">
        <v>261</v>
      </c>
      <c r="C744" s="17">
        <v>0.198193889477084</v>
      </c>
      <c r="D744" s="17">
        <v>0.26202235229802501</v>
      </c>
      <c r="E744" s="17">
        <v>9.4957411643451103E-2</v>
      </c>
      <c r="F744" s="17"/>
      <c r="G744" s="17">
        <v>0.181913986347327</v>
      </c>
      <c r="H744" s="17">
        <v>0.14507847889623299</v>
      </c>
      <c r="I744" s="17">
        <v>0.26663348388795499</v>
      </c>
      <c r="J744" s="17">
        <v>0.53488207401750998</v>
      </c>
      <c r="K744" s="17"/>
      <c r="L744" s="17">
        <v>0</v>
      </c>
      <c r="M744" s="17">
        <v>0.326506174737351</v>
      </c>
      <c r="N744" s="17">
        <v>0.17813953780609601</v>
      </c>
      <c r="O744" s="17">
        <v>0.10251525162781</v>
      </c>
    </row>
    <row r="745" spans="2:15" x14ac:dyDescent="0.3">
      <c r="C745" s="17"/>
      <c r="D745" s="17"/>
      <c r="E745" s="17"/>
      <c r="F745" s="17"/>
      <c r="G745" s="17"/>
      <c r="H745" s="17"/>
      <c r="I745" s="17"/>
      <c r="J745" s="17"/>
      <c r="K745" s="17"/>
      <c r="L745" s="17"/>
      <c r="M745" s="17"/>
      <c r="N745" s="17"/>
      <c r="O745" s="17"/>
    </row>
    <row r="746" spans="2:15" x14ac:dyDescent="0.3">
      <c r="B746" s="6" t="s">
        <v>272</v>
      </c>
      <c r="C746" s="17"/>
      <c r="D746" s="17"/>
      <c r="E746" s="17"/>
      <c r="F746" s="17"/>
      <c r="G746" s="17"/>
      <c r="H746" s="17"/>
      <c r="I746" s="17"/>
      <c r="J746" s="17"/>
      <c r="K746" s="17"/>
      <c r="L746" s="17"/>
      <c r="M746" s="17"/>
      <c r="N746" s="17"/>
      <c r="O746" s="17"/>
    </row>
    <row r="747" spans="2:15" x14ac:dyDescent="0.3">
      <c r="B747" s="23" t="s">
        <v>241</v>
      </c>
      <c r="C747" s="17"/>
      <c r="D747" s="17"/>
      <c r="E747" s="17"/>
      <c r="F747" s="17"/>
      <c r="G747" s="17"/>
      <c r="H747" s="17"/>
      <c r="I747" s="17"/>
      <c r="J747" s="17"/>
      <c r="K747" s="17"/>
      <c r="L747" s="17"/>
      <c r="M747" s="17"/>
      <c r="N747" s="17"/>
      <c r="O747" s="17"/>
    </row>
    <row r="748" spans="2:15" x14ac:dyDescent="0.3">
      <c r="B748" t="s">
        <v>231</v>
      </c>
      <c r="C748" s="17">
        <v>7.2700362692605701E-3</v>
      </c>
      <c r="D748" s="17">
        <v>1.39768650898974E-2</v>
      </c>
      <c r="E748" s="17">
        <v>0</v>
      </c>
      <c r="F748" s="17"/>
      <c r="G748" s="17">
        <v>1.6108192931284699E-2</v>
      </c>
      <c r="H748" s="17">
        <v>0</v>
      </c>
      <c r="I748" s="17">
        <v>0</v>
      </c>
      <c r="J748" s="17">
        <v>0</v>
      </c>
      <c r="K748" s="17"/>
      <c r="L748" s="17">
        <v>0</v>
      </c>
      <c r="M748" s="17">
        <v>2.6088416849092098E-2</v>
      </c>
      <c r="N748" s="17">
        <v>0</v>
      </c>
      <c r="O748" s="17">
        <v>0</v>
      </c>
    </row>
    <row r="749" spans="2:15" x14ac:dyDescent="0.3">
      <c r="B749" t="s">
        <v>232</v>
      </c>
      <c r="C749" s="17">
        <v>5.6029925947829101E-2</v>
      </c>
      <c r="D749" s="17">
        <v>7.9469018965957205E-2</v>
      </c>
      <c r="E749" s="17">
        <v>3.06225298568427E-2</v>
      </c>
      <c r="F749" s="17"/>
      <c r="G749" s="17">
        <v>0.12414530322350401</v>
      </c>
      <c r="H749" s="17">
        <v>0</v>
      </c>
      <c r="I749" s="17">
        <v>0</v>
      </c>
      <c r="J749" s="17">
        <v>0</v>
      </c>
      <c r="K749" s="17"/>
      <c r="L749" s="17">
        <v>5.9721355928806702E-2</v>
      </c>
      <c r="M749" s="17">
        <v>8.1456789074516894E-2</v>
      </c>
      <c r="N749" s="17">
        <v>8.4119577778193205E-2</v>
      </c>
      <c r="O749" s="17">
        <v>0</v>
      </c>
    </row>
    <row r="750" spans="2:15" x14ac:dyDescent="0.3">
      <c r="B750" t="s">
        <v>233</v>
      </c>
      <c r="C750" s="17">
        <v>0.112732437204054</v>
      </c>
      <c r="D750" s="17">
        <v>2.2544872405850701E-2</v>
      </c>
      <c r="E750" s="17">
        <v>0.210493522905502</v>
      </c>
      <c r="F750" s="17"/>
      <c r="G750" s="17">
        <v>0.15930149744434899</v>
      </c>
      <c r="H750" s="17">
        <v>0.136498750343756</v>
      </c>
      <c r="I750" s="17">
        <v>5.3129661721230799E-2</v>
      </c>
      <c r="J750" s="17">
        <v>0</v>
      </c>
      <c r="K750" s="17"/>
      <c r="L750" s="17">
        <v>0.108568292868002</v>
      </c>
      <c r="M750" s="17">
        <v>0.104939145528368</v>
      </c>
      <c r="N750" s="17">
        <v>0.21214299726490901</v>
      </c>
      <c r="O750" s="17">
        <v>3.9021655083565802E-2</v>
      </c>
    </row>
    <row r="751" spans="2:15" x14ac:dyDescent="0.3">
      <c r="B751" t="s">
        <v>234</v>
      </c>
      <c r="C751" s="17">
        <v>0.240105064655873</v>
      </c>
      <c r="D751" s="17">
        <v>0.31935933431670499</v>
      </c>
      <c r="E751" s="17">
        <v>0.154195399993627</v>
      </c>
      <c r="F751" s="17"/>
      <c r="G751" s="17">
        <v>0.32430822454407399</v>
      </c>
      <c r="H751" s="17">
        <v>9.4041860010649306E-2</v>
      </c>
      <c r="I751" s="17">
        <v>0.17316417668936199</v>
      </c>
      <c r="J751" s="17">
        <v>0.30039553294341798</v>
      </c>
      <c r="K751" s="17"/>
      <c r="L751" s="17">
        <v>0.214816241255507</v>
      </c>
      <c r="M751" s="17">
        <v>0.32543264693273499</v>
      </c>
      <c r="N751" s="17">
        <v>0.22975373781903699</v>
      </c>
      <c r="O751" s="17">
        <v>0.17995886282680301</v>
      </c>
    </row>
    <row r="752" spans="2:15" x14ac:dyDescent="0.3">
      <c r="B752" t="s">
        <v>235</v>
      </c>
      <c r="C752" s="17">
        <v>0.124867040057585</v>
      </c>
      <c r="D752" s="17">
        <v>0.110073611105129</v>
      </c>
      <c r="E752" s="17">
        <v>0.14090275051140799</v>
      </c>
      <c r="F752" s="17"/>
      <c r="G752" s="17">
        <v>5.7137423406184301E-2</v>
      </c>
      <c r="H752" s="17">
        <v>0.198179111527851</v>
      </c>
      <c r="I752" s="17">
        <v>0.19469625060596199</v>
      </c>
      <c r="J752" s="17">
        <v>0.12804594824269799</v>
      </c>
      <c r="K752" s="17"/>
      <c r="L752" s="17">
        <v>0.20096448906721501</v>
      </c>
      <c r="M752" s="17">
        <v>7.1807297505485104E-2</v>
      </c>
      <c r="N752" s="17">
        <v>3.4639331811782997E-2</v>
      </c>
      <c r="O752" s="17">
        <v>0.187009134497862</v>
      </c>
    </row>
    <row r="753" spans="2:15" x14ac:dyDescent="0.3">
      <c r="B753" t="s">
        <v>236</v>
      </c>
      <c r="C753" s="17">
        <v>0.28027537663461599</v>
      </c>
      <c r="D753" s="17">
        <v>0.18880273251621499</v>
      </c>
      <c r="E753" s="17">
        <v>0.379429456479284</v>
      </c>
      <c r="F753" s="17"/>
      <c r="G753" s="17">
        <v>0.24955944313082401</v>
      </c>
      <c r="H753" s="17">
        <v>0.30126300657500898</v>
      </c>
      <c r="I753" s="17">
        <v>0.22736572633400701</v>
      </c>
      <c r="J753" s="17">
        <v>0.43487760034345102</v>
      </c>
      <c r="K753" s="17"/>
      <c r="L753" s="17">
        <v>0.12135335108041501</v>
      </c>
      <c r="M753" s="17">
        <v>0.23138368319786601</v>
      </c>
      <c r="N753" s="17">
        <v>0.33844361915256399</v>
      </c>
      <c r="O753" s="17">
        <v>0.43954512792671302</v>
      </c>
    </row>
    <row r="754" spans="2:15" x14ac:dyDescent="0.3">
      <c r="B754" t="s">
        <v>237</v>
      </c>
      <c r="C754" s="17">
        <v>7.3754993480811604E-2</v>
      </c>
      <c r="D754" s="17">
        <v>0.108216572491303</v>
      </c>
      <c r="E754" s="17">
        <v>3.6399495673657099E-2</v>
      </c>
      <c r="F754" s="17"/>
      <c r="G754" s="17">
        <v>1.1824670814016501E-2</v>
      </c>
      <c r="H754" s="17">
        <v>0.16832728048402201</v>
      </c>
      <c r="I754" s="17">
        <v>6.8500100590342797E-2</v>
      </c>
      <c r="J754" s="17">
        <v>0.13668091847043401</v>
      </c>
      <c r="K754" s="17"/>
      <c r="L754" s="17">
        <v>0.165193648072852</v>
      </c>
      <c r="M754" s="17">
        <v>6.8103174691487106E-2</v>
      </c>
      <c r="N754" s="17">
        <v>6.2517646666420901E-2</v>
      </c>
      <c r="O754" s="17">
        <v>0</v>
      </c>
    </row>
    <row r="755" spans="2:15" x14ac:dyDescent="0.3">
      <c r="B755" t="s">
        <v>238</v>
      </c>
      <c r="C755" s="17">
        <v>5.89564322398171E-2</v>
      </c>
      <c r="D755" s="17">
        <v>6.9103885265059603E-2</v>
      </c>
      <c r="E755" s="17">
        <v>4.7956844579679699E-2</v>
      </c>
      <c r="F755" s="17"/>
      <c r="G755" s="17">
        <v>3.5303470204449801E-2</v>
      </c>
      <c r="H755" s="17">
        <v>5.3679909450148902E-2</v>
      </c>
      <c r="I755" s="17">
        <v>0.15619353908632</v>
      </c>
      <c r="J755" s="17">
        <v>0</v>
      </c>
      <c r="K755" s="17"/>
      <c r="L755" s="17">
        <v>8.8839204553529894E-2</v>
      </c>
      <c r="M755" s="17">
        <v>0</v>
      </c>
      <c r="N755" s="17">
        <v>3.8383089507092197E-2</v>
      </c>
      <c r="O755" s="17">
        <v>0.112425616935069</v>
      </c>
    </row>
    <row r="756" spans="2:15" x14ac:dyDescent="0.3">
      <c r="B756" t="s">
        <v>261</v>
      </c>
      <c r="C756" s="17">
        <v>4.6008693510153201E-2</v>
      </c>
      <c r="D756" s="17">
        <v>8.8453107843883605E-2</v>
      </c>
      <c r="E756" s="17">
        <v>0</v>
      </c>
      <c r="F756" s="17"/>
      <c r="G756" s="17">
        <v>2.2311774301314698E-2</v>
      </c>
      <c r="H756" s="17">
        <v>4.8010081608564403E-2</v>
      </c>
      <c r="I756" s="17">
        <v>0.126950544972775</v>
      </c>
      <c r="J756" s="17">
        <v>0</v>
      </c>
      <c r="K756" s="17"/>
      <c r="L756" s="17">
        <v>4.0543417173673102E-2</v>
      </c>
      <c r="M756" s="17">
        <v>9.0788846220449707E-2</v>
      </c>
      <c r="N756" s="17">
        <v>0</v>
      </c>
      <c r="O756" s="17">
        <v>4.2039602729986497E-2</v>
      </c>
    </row>
    <row r="757" spans="2:15" x14ac:dyDescent="0.3">
      <c r="C757" s="17"/>
      <c r="D757" s="17"/>
      <c r="E757" s="17"/>
      <c r="F757" s="17"/>
      <c r="G757" s="17"/>
      <c r="H757" s="17"/>
      <c r="I757" s="17"/>
      <c r="J757" s="17"/>
      <c r="K757" s="17"/>
      <c r="L757" s="17"/>
      <c r="M757" s="17"/>
      <c r="N757" s="17"/>
      <c r="O757" s="17"/>
    </row>
    <row r="758" spans="2:15" x14ac:dyDescent="0.3">
      <c r="B758" s="6" t="s">
        <v>273</v>
      </c>
      <c r="C758" s="17"/>
      <c r="D758" s="17"/>
      <c r="E758" s="17"/>
      <c r="F758" s="17"/>
      <c r="G758" s="17"/>
      <c r="H758" s="17"/>
      <c r="I758" s="17"/>
      <c r="J758" s="17"/>
      <c r="K758" s="17"/>
      <c r="L758" s="17"/>
      <c r="M758" s="17"/>
      <c r="N758" s="17"/>
      <c r="O758" s="17"/>
    </row>
    <row r="759" spans="2:15" x14ac:dyDescent="0.3">
      <c r="B759" s="23" t="s">
        <v>241</v>
      </c>
      <c r="C759" s="17"/>
      <c r="D759" s="17"/>
      <c r="E759" s="17"/>
      <c r="F759" s="17"/>
      <c r="G759" s="17"/>
      <c r="H759" s="17"/>
      <c r="I759" s="17"/>
      <c r="J759" s="17"/>
      <c r="K759" s="17"/>
      <c r="L759" s="17"/>
      <c r="M759" s="17"/>
      <c r="N759" s="17"/>
      <c r="O759" s="17"/>
    </row>
    <row r="760" spans="2:15" x14ac:dyDescent="0.3">
      <c r="B760" t="s">
        <v>231</v>
      </c>
      <c r="C760" s="17">
        <v>0</v>
      </c>
      <c r="D760" s="17">
        <v>0</v>
      </c>
      <c r="E760" s="17">
        <v>0</v>
      </c>
      <c r="F760" s="17"/>
      <c r="G760" s="17">
        <v>0</v>
      </c>
      <c r="H760" s="17">
        <v>0</v>
      </c>
      <c r="I760" s="17">
        <v>0</v>
      </c>
      <c r="J760" s="17">
        <v>0</v>
      </c>
      <c r="K760" s="17"/>
      <c r="L760" s="17">
        <v>0</v>
      </c>
      <c r="M760" s="17">
        <v>0</v>
      </c>
      <c r="N760" s="17">
        <v>0</v>
      </c>
      <c r="O760" s="17">
        <v>0</v>
      </c>
    </row>
    <row r="761" spans="2:15" x14ac:dyDescent="0.3">
      <c r="B761" t="s">
        <v>232</v>
      </c>
      <c r="C761" s="17">
        <v>3.9702259219089001E-2</v>
      </c>
      <c r="D761" s="17">
        <v>9.2915742158554096E-2</v>
      </c>
      <c r="E761" s="17">
        <v>0</v>
      </c>
      <c r="F761" s="17"/>
      <c r="G761" s="17">
        <v>7.2996094340048195E-2</v>
      </c>
      <c r="H761" s="17">
        <v>0</v>
      </c>
      <c r="I761" s="17">
        <v>0</v>
      </c>
      <c r="J761" s="17">
        <v>0</v>
      </c>
      <c r="K761" s="17"/>
      <c r="L761" s="17">
        <v>0.12763269693326801</v>
      </c>
      <c r="M761" s="17">
        <v>0</v>
      </c>
      <c r="N761" s="17">
        <v>0</v>
      </c>
      <c r="O761" s="17">
        <v>0</v>
      </c>
    </row>
    <row r="762" spans="2:15" x14ac:dyDescent="0.3">
      <c r="B762" t="s">
        <v>233</v>
      </c>
      <c r="C762" s="17">
        <v>0.19653886437159801</v>
      </c>
      <c r="D762" s="17">
        <v>7.3328366754849397E-2</v>
      </c>
      <c r="E762" s="17">
        <v>0.28846547478456203</v>
      </c>
      <c r="F762" s="17"/>
      <c r="G762" s="17">
        <v>0.248327026286807</v>
      </c>
      <c r="H762" s="17">
        <v>0.30551816545364802</v>
      </c>
      <c r="I762" s="17">
        <v>0</v>
      </c>
      <c r="J762" s="17">
        <v>0</v>
      </c>
      <c r="K762" s="17"/>
      <c r="L762" s="17">
        <v>0</v>
      </c>
      <c r="M762" s="17">
        <v>0</v>
      </c>
      <c r="N762" s="17">
        <v>0.47629134577485199</v>
      </c>
      <c r="O762" s="17">
        <v>0.20011042745518001</v>
      </c>
    </row>
    <row r="763" spans="2:15" x14ac:dyDescent="0.3">
      <c r="B763" t="s">
        <v>234</v>
      </c>
      <c r="C763" s="17">
        <v>0.21012998180064499</v>
      </c>
      <c r="D763" s="17">
        <v>0</v>
      </c>
      <c r="E763" s="17">
        <v>0.36690669601501302</v>
      </c>
      <c r="F763" s="17"/>
      <c r="G763" s="17">
        <v>0.241730332022492</v>
      </c>
      <c r="H763" s="17">
        <v>0</v>
      </c>
      <c r="I763" s="17">
        <v>0</v>
      </c>
      <c r="J763" s="17">
        <v>1</v>
      </c>
      <c r="K763" s="17"/>
      <c r="L763" s="17">
        <v>0.42313786512632101</v>
      </c>
      <c r="M763" s="17">
        <v>0.52733037284313899</v>
      </c>
      <c r="N763" s="17">
        <v>0.14570294651010801</v>
      </c>
      <c r="O763" s="17">
        <v>0</v>
      </c>
    </row>
    <row r="764" spans="2:15" x14ac:dyDescent="0.3">
      <c r="B764" t="s">
        <v>235</v>
      </c>
      <c r="C764" s="17">
        <v>0.175252448183911</v>
      </c>
      <c r="D764" s="17">
        <v>0.219299296502737</v>
      </c>
      <c r="E764" s="17">
        <v>0.142389359862342</v>
      </c>
      <c r="F764" s="17"/>
      <c r="G764" s="17">
        <v>6.5292318653837E-2</v>
      </c>
      <c r="H764" s="17">
        <v>0.69448183454635204</v>
      </c>
      <c r="I764" s="17">
        <v>0</v>
      </c>
      <c r="J764" s="17">
        <v>0</v>
      </c>
      <c r="K764" s="17"/>
      <c r="L764" s="17">
        <v>0.44922943794041098</v>
      </c>
      <c r="M764" s="17">
        <v>0.47266962715686101</v>
      </c>
      <c r="N764" s="17">
        <v>0</v>
      </c>
      <c r="O764" s="17">
        <v>0</v>
      </c>
    </row>
    <row r="765" spans="2:15" x14ac:dyDescent="0.3">
      <c r="B765" t="s">
        <v>236</v>
      </c>
      <c r="C765" s="17">
        <v>0</v>
      </c>
      <c r="D765" s="17">
        <v>0</v>
      </c>
      <c r="E765" s="17">
        <v>0</v>
      </c>
      <c r="F765" s="17"/>
      <c r="G765" s="17">
        <v>0</v>
      </c>
      <c r="H765" s="17">
        <v>0</v>
      </c>
      <c r="I765" s="17">
        <v>0</v>
      </c>
      <c r="J765" s="17">
        <v>0</v>
      </c>
      <c r="K765" s="17"/>
      <c r="L765" s="17">
        <v>0</v>
      </c>
      <c r="M765" s="17">
        <v>0</v>
      </c>
      <c r="N765" s="17">
        <v>0</v>
      </c>
      <c r="O765" s="17">
        <v>0</v>
      </c>
    </row>
    <row r="766" spans="2:15" x14ac:dyDescent="0.3">
      <c r="B766" t="s">
        <v>237</v>
      </c>
      <c r="C766" s="17">
        <v>0.11582335875293701</v>
      </c>
      <c r="D766" s="17">
        <v>0</v>
      </c>
      <c r="E766" s="17">
        <v>0.20223846933808301</v>
      </c>
      <c r="F766" s="17"/>
      <c r="G766" s="17">
        <v>6.76400634722778E-2</v>
      </c>
      <c r="H766" s="17">
        <v>0</v>
      </c>
      <c r="I766" s="17">
        <v>0.448458460138693</v>
      </c>
      <c r="J766" s="17">
        <v>0</v>
      </c>
      <c r="K766" s="17"/>
      <c r="L766" s="17">
        <v>0</v>
      </c>
      <c r="M766" s="17">
        <v>0</v>
      </c>
      <c r="N766" s="17">
        <v>0</v>
      </c>
      <c r="O766" s="17">
        <v>0.33387165277063502</v>
      </c>
    </row>
    <row r="767" spans="2:15" x14ac:dyDescent="0.3">
      <c r="B767" t="s">
        <v>238</v>
      </c>
      <c r="C767" s="17">
        <v>0.196522364346565</v>
      </c>
      <c r="D767" s="17">
        <v>0.459923986523049</v>
      </c>
      <c r="E767" s="17">
        <v>0</v>
      </c>
      <c r="F767" s="17"/>
      <c r="G767" s="17">
        <v>0.18261087473182799</v>
      </c>
      <c r="H767" s="17">
        <v>0</v>
      </c>
      <c r="I767" s="17">
        <v>0.55154153986130705</v>
      </c>
      <c r="J767" s="17">
        <v>0</v>
      </c>
      <c r="K767" s="17"/>
      <c r="L767" s="17">
        <v>0</v>
      </c>
      <c r="M767" s="17">
        <v>0</v>
      </c>
      <c r="N767" s="17">
        <v>0.13060002030847301</v>
      </c>
      <c r="O767" s="17">
        <v>0.466017919774185</v>
      </c>
    </row>
    <row r="768" spans="2:15" x14ac:dyDescent="0.3">
      <c r="B768" t="s">
        <v>261</v>
      </c>
      <c r="C768" s="17">
        <v>6.6030723325254906E-2</v>
      </c>
      <c r="D768" s="17">
        <v>0.15453260806081101</v>
      </c>
      <c r="E768" s="17">
        <v>0</v>
      </c>
      <c r="F768" s="17"/>
      <c r="G768" s="17">
        <v>0.12140329049270999</v>
      </c>
      <c r="H768" s="17">
        <v>0</v>
      </c>
      <c r="I768" s="17">
        <v>0</v>
      </c>
      <c r="J768" s="17">
        <v>0</v>
      </c>
      <c r="K768" s="17"/>
      <c r="L768" s="17">
        <v>0</v>
      </c>
      <c r="M768" s="17">
        <v>0</v>
      </c>
      <c r="N768" s="17">
        <v>0.24740568740656799</v>
      </c>
      <c r="O768" s="17">
        <v>0</v>
      </c>
    </row>
    <row r="769" spans="2:15" x14ac:dyDescent="0.3">
      <c r="C769" s="17"/>
      <c r="D769" s="17"/>
      <c r="E769" s="17"/>
      <c r="F769" s="17"/>
      <c r="G769" s="17"/>
      <c r="H769" s="17"/>
      <c r="I769" s="17"/>
      <c r="J769" s="17"/>
      <c r="K769" s="17"/>
      <c r="L769" s="17"/>
      <c r="M769" s="17"/>
      <c r="N769" s="17"/>
      <c r="O769" s="17"/>
    </row>
    <row r="770" spans="2:15" x14ac:dyDescent="0.3">
      <c r="B770" s="6" t="s">
        <v>274</v>
      </c>
      <c r="C770" s="17"/>
      <c r="D770" s="17"/>
      <c r="E770" s="17"/>
      <c r="F770" s="17"/>
      <c r="G770" s="17"/>
      <c r="H770" s="17"/>
      <c r="I770" s="17"/>
      <c r="J770" s="17"/>
      <c r="K770" s="17"/>
      <c r="L770" s="17"/>
      <c r="M770" s="17"/>
      <c r="N770" s="17"/>
      <c r="O770" s="17"/>
    </row>
    <row r="771" spans="2:15" x14ac:dyDescent="0.3">
      <c r="B771" s="23" t="s">
        <v>241</v>
      </c>
      <c r="C771" s="17"/>
      <c r="D771" s="17"/>
      <c r="E771" s="17"/>
      <c r="F771" s="17"/>
      <c r="G771" s="17"/>
      <c r="H771" s="17"/>
      <c r="I771" s="17"/>
      <c r="J771" s="17"/>
      <c r="K771" s="17"/>
      <c r="L771" s="17"/>
      <c r="M771" s="17"/>
      <c r="N771" s="17"/>
      <c r="O771" s="17"/>
    </row>
    <row r="772" spans="2:15" x14ac:dyDescent="0.3">
      <c r="B772" t="s">
        <v>231</v>
      </c>
      <c r="C772" s="17">
        <v>0</v>
      </c>
      <c r="D772" s="17">
        <v>0</v>
      </c>
      <c r="E772" s="17">
        <v>0</v>
      </c>
      <c r="F772" s="17"/>
      <c r="G772" s="17">
        <v>0</v>
      </c>
      <c r="H772" s="17">
        <v>0</v>
      </c>
      <c r="I772" s="17">
        <v>0</v>
      </c>
      <c r="J772" s="17">
        <v>0</v>
      </c>
      <c r="K772" s="17"/>
      <c r="L772" s="17">
        <v>0</v>
      </c>
      <c r="M772" s="17">
        <v>0</v>
      </c>
      <c r="N772" s="17">
        <v>0</v>
      </c>
      <c r="O772" s="17">
        <v>0</v>
      </c>
    </row>
    <row r="773" spans="2:15" x14ac:dyDescent="0.3">
      <c r="B773" t="s">
        <v>232</v>
      </c>
      <c r="C773" s="17">
        <v>3.2385109057029501E-2</v>
      </c>
      <c r="D773" s="17">
        <v>2.3828953585514401E-2</v>
      </c>
      <c r="E773" s="17">
        <v>5.1128438303044102E-2</v>
      </c>
      <c r="F773" s="17"/>
      <c r="G773" s="17">
        <v>6.6167400247273606E-2</v>
      </c>
      <c r="H773" s="17">
        <v>0</v>
      </c>
      <c r="I773" s="17">
        <v>0</v>
      </c>
      <c r="J773" s="17">
        <v>0</v>
      </c>
      <c r="K773" s="17"/>
      <c r="L773" s="17">
        <v>0.10143966920101399</v>
      </c>
      <c r="M773" s="17">
        <v>0</v>
      </c>
      <c r="N773" s="17">
        <v>4.3613609262449601E-2</v>
      </c>
      <c r="O773" s="17">
        <v>0</v>
      </c>
    </row>
    <row r="774" spans="2:15" x14ac:dyDescent="0.3">
      <c r="B774" t="s">
        <v>233</v>
      </c>
      <c r="C774" s="17">
        <v>0.216432377209549</v>
      </c>
      <c r="D774" s="17">
        <v>0.175728065130282</v>
      </c>
      <c r="E774" s="17">
        <v>0.30560026640629701</v>
      </c>
      <c r="F774" s="17"/>
      <c r="G774" s="17">
        <v>0.30265583698464199</v>
      </c>
      <c r="H774" s="17">
        <v>0.148867952828827</v>
      </c>
      <c r="I774" s="17">
        <v>0.14986338414005901</v>
      </c>
      <c r="J774" s="17">
        <v>0</v>
      </c>
      <c r="K774" s="17"/>
      <c r="L774" s="17">
        <v>0.15242088978037099</v>
      </c>
      <c r="M774" s="17">
        <v>0.14100446140092099</v>
      </c>
      <c r="N774" s="17">
        <v>0.281638429705801</v>
      </c>
      <c r="O774" s="17">
        <v>0.25753349173346002</v>
      </c>
    </row>
    <row r="775" spans="2:15" x14ac:dyDescent="0.3">
      <c r="B775" t="s">
        <v>234</v>
      </c>
      <c r="C775" s="17">
        <v>0.21959917007990201</v>
      </c>
      <c r="D775" s="17">
        <v>0.17488969739378599</v>
      </c>
      <c r="E775" s="17">
        <v>0.31754086477694399</v>
      </c>
      <c r="F775" s="17"/>
      <c r="G775" s="17">
        <v>0.242645634640064</v>
      </c>
      <c r="H775" s="17">
        <v>0.14157817290063701</v>
      </c>
      <c r="I775" s="17">
        <v>0.35244648539249301</v>
      </c>
      <c r="J775" s="17">
        <v>0</v>
      </c>
      <c r="K775" s="17"/>
      <c r="L775" s="17">
        <v>0.14055824612808801</v>
      </c>
      <c r="M775" s="17">
        <v>0.21772302026561999</v>
      </c>
      <c r="N775" s="17">
        <v>0.27950080204309802</v>
      </c>
      <c r="O775" s="17">
        <v>0.17317943384210499</v>
      </c>
    </row>
    <row r="776" spans="2:15" x14ac:dyDescent="0.3">
      <c r="B776" t="s">
        <v>235</v>
      </c>
      <c r="C776" s="17">
        <v>0.15357250445783299</v>
      </c>
      <c r="D776" s="17">
        <v>0.15127499791392901</v>
      </c>
      <c r="E776" s="17">
        <v>0.15860548004372799</v>
      </c>
      <c r="F776" s="17"/>
      <c r="G776" s="17">
        <v>0.16500249120654401</v>
      </c>
      <c r="H776" s="17">
        <v>0.16727359466987099</v>
      </c>
      <c r="I776" s="17">
        <v>0</v>
      </c>
      <c r="J776" s="17">
        <v>0.46975974511553997</v>
      </c>
      <c r="K776" s="17"/>
      <c r="L776" s="17">
        <v>0.60558119489052697</v>
      </c>
      <c r="M776" s="17">
        <v>0.13941496546917001</v>
      </c>
      <c r="N776" s="17">
        <v>0</v>
      </c>
      <c r="O776" s="17">
        <v>8.7287348085056907E-2</v>
      </c>
    </row>
    <row r="777" spans="2:15" x14ac:dyDescent="0.3">
      <c r="B777" t="s">
        <v>236</v>
      </c>
      <c r="C777" s="17">
        <v>7.9140106205498495E-2</v>
      </c>
      <c r="D777" s="17">
        <v>9.3186305712045794E-2</v>
      </c>
      <c r="E777" s="17">
        <v>4.83701484969341E-2</v>
      </c>
      <c r="F777" s="17"/>
      <c r="G777" s="17">
        <v>6.1742134317686201E-2</v>
      </c>
      <c r="H777" s="17">
        <v>0.17062397331096699</v>
      </c>
      <c r="I777" s="17">
        <v>0</v>
      </c>
      <c r="J777" s="17">
        <v>0</v>
      </c>
      <c r="K777" s="17"/>
      <c r="L777" s="17">
        <v>0</v>
      </c>
      <c r="M777" s="17">
        <v>0</v>
      </c>
      <c r="N777" s="17">
        <v>4.09859179467255E-2</v>
      </c>
      <c r="O777" s="17">
        <v>0.34074409399592198</v>
      </c>
    </row>
    <row r="778" spans="2:15" x14ac:dyDescent="0.3">
      <c r="B778" t="s">
        <v>237</v>
      </c>
      <c r="C778" s="17">
        <v>3.6927241405447397E-2</v>
      </c>
      <c r="D778" s="17">
        <v>2.6414148421435E-2</v>
      </c>
      <c r="E778" s="17">
        <v>5.99574871565118E-2</v>
      </c>
      <c r="F778" s="17"/>
      <c r="G778" s="17">
        <v>3.7053360824221698E-2</v>
      </c>
      <c r="H778" s="17">
        <v>6.5541017407861599E-2</v>
      </c>
      <c r="I778" s="17">
        <v>0</v>
      </c>
      <c r="J778" s="17">
        <v>0</v>
      </c>
      <c r="K778" s="17"/>
      <c r="L778" s="17">
        <v>0</v>
      </c>
      <c r="M778" s="17">
        <v>6.4030199074838298E-2</v>
      </c>
      <c r="N778" s="17">
        <v>5.1144969492384403E-2</v>
      </c>
      <c r="O778" s="17">
        <v>0</v>
      </c>
    </row>
    <row r="779" spans="2:15" x14ac:dyDescent="0.3">
      <c r="B779" t="s">
        <v>238</v>
      </c>
      <c r="C779" s="17">
        <v>0.12955283756083599</v>
      </c>
      <c r="D779" s="17">
        <v>0.18869250295310699</v>
      </c>
      <c r="E779" s="17">
        <v>0</v>
      </c>
      <c r="F779" s="17"/>
      <c r="G779" s="17">
        <v>5.42756933940425E-2</v>
      </c>
      <c r="H779" s="17">
        <v>0.16500090148379901</v>
      </c>
      <c r="I779" s="17">
        <v>0.32573524513438401</v>
      </c>
      <c r="J779" s="17">
        <v>0</v>
      </c>
      <c r="K779" s="17"/>
      <c r="L779" s="17">
        <v>0</v>
      </c>
      <c r="M779" s="17">
        <v>0.25335593980960402</v>
      </c>
      <c r="N779" s="17">
        <v>8.4995636645615394E-2</v>
      </c>
      <c r="O779" s="17">
        <v>0.14125563234345601</v>
      </c>
    </row>
    <row r="780" spans="2:15" x14ac:dyDescent="0.3">
      <c r="B780" t="s">
        <v>261</v>
      </c>
      <c r="C780" s="17">
        <v>0.13239065402390399</v>
      </c>
      <c r="D780" s="17">
        <v>0.1659853288899</v>
      </c>
      <c r="E780" s="17">
        <v>5.8797314816539797E-2</v>
      </c>
      <c r="F780" s="17"/>
      <c r="G780" s="17">
        <v>7.0457448385526103E-2</v>
      </c>
      <c r="H780" s="17">
        <v>0.141114387398038</v>
      </c>
      <c r="I780" s="17">
        <v>0.17195488533306499</v>
      </c>
      <c r="J780" s="17">
        <v>0.53024025488446003</v>
      </c>
      <c r="K780" s="17"/>
      <c r="L780" s="17">
        <v>0</v>
      </c>
      <c r="M780" s="17">
        <v>0.18447141397984601</v>
      </c>
      <c r="N780" s="17">
        <v>0.218120634903926</v>
      </c>
      <c r="O780" s="17">
        <v>0</v>
      </c>
    </row>
    <row r="781" spans="2:15" x14ac:dyDescent="0.3">
      <c r="C781" s="17"/>
      <c r="D781" s="17"/>
      <c r="E781" s="17"/>
      <c r="F781" s="17"/>
      <c r="G781" s="17"/>
      <c r="H781" s="17"/>
      <c r="I781" s="17"/>
      <c r="J781" s="17"/>
      <c r="K781" s="17"/>
      <c r="L781" s="17"/>
      <c r="M781" s="17"/>
      <c r="N781" s="17"/>
      <c r="O781" s="17"/>
    </row>
    <row r="782" spans="2:15" x14ac:dyDescent="0.3">
      <c r="B782" s="6" t="s">
        <v>275</v>
      </c>
      <c r="C782" s="17"/>
      <c r="D782" s="17"/>
      <c r="E782" s="17"/>
      <c r="F782" s="17"/>
      <c r="G782" s="17"/>
      <c r="H782" s="17"/>
      <c r="I782" s="17"/>
      <c r="J782" s="17"/>
      <c r="K782" s="17"/>
      <c r="L782" s="17"/>
      <c r="M782" s="17"/>
      <c r="N782" s="17"/>
      <c r="O782" s="17"/>
    </row>
    <row r="783" spans="2:15" x14ac:dyDescent="0.3">
      <c r="B783" s="23" t="s">
        <v>241</v>
      </c>
      <c r="C783" s="17"/>
      <c r="D783" s="17"/>
      <c r="E783" s="17"/>
      <c r="F783" s="17"/>
      <c r="G783" s="17"/>
      <c r="H783" s="17"/>
      <c r="I783" s="17"/>
      <c r="J783" s="17"/>
      <c r="K783" s="17"/>
      <c r="L783" s="17"/>
      <c r="M783" s="17"/>
      <c r="N783" s="17"/>
      <c r="O783" s="17"/>
    </row>
    <row r="784" spans="2:15" x14ac:dyDescent="0.3">
      <c r="B784" t="s">
        <v>231</v>
      </c>
      <c r="C784" s="17">
        <v>2.1243432267368301E-2</v>
      </c>
      <c r="D784" s="17">
        <v>0</v>
      </c>
      <c r="E784" s="17">
        <v>5.2894694223252298E-2</v>
      </c>
      <c r="F784" s="17"/>
      <c r="G784" s="17">
        <v>5.1375089737440698E-2</v>
      </c>
      <c r="H784" s="17">
        <v>0</v>
      </c>
      <c r="I784" s="17">
        <v>0</v>
      </c>
      <c r="J784" s="17">
        <v>0</v>
      </c>
      <c r="K784" s="17"/>
      <c r="L784" s="17">
        <v>6.5640083401517904E-2</v>
      </c>
      <c r="M784" s="17">
        <v>0</v>
      </c>
      <c r="N784" s="17">
        <v>0</v>
      </c>
      <c r="O784" s="17">
        <v>0</v>
      </c>
    </row>
    <row r="785" spans="2:15" x14ac:dyDescent="0.3">
      <c r="B785" t="s">
        <v>232</v>
      </c>
      <c r="C785" s="17">
        <v>1.5778178618781499E-2</v>
      </c>
      <c r="D785" s="17">
        <v>2.6368046070439698E-2</v>
      </c>
      <c r="E785" s="17">
        <v>0</v>
      </c>
      <c r="F785" s="17"/>
      <c r="G785" s="17">
        <v>3.8157927223390502E-2</v>
      </c>
      <c r="H785" s="17">
        <v>0</v>
      </c>
      <c r="I785" s="17">
        <v>0</v>
      </c>
      <c r="J785" s="17">
        <v>0</v>
      </c>
      <c r="K785" s="17"/>
      <c r="L785" s="17">
        <v>0</v>
      </c>
      <c r="M785" s="17">
        <v>6.1305196118211697E-2</v>
      </c>
      <c r="N785" s="17">
        <v>0</v>
      </c>
      <c r="O785" s="17">
        <v>0</v>
      </c>
    </row>
    <row r="786" spans="2:15" x14ac:dyDescent="0.3">
      <c r="B786" t="s">
        <v>233</v>
      </c>
      <c r="C786" s="17">
        <v>7.6322018957736298E-2</v>
      </c>
      <c r="D786" s="17">
        <v>9.9146509678046099E-2</v>
      </c>
      <c r="E786" s="17">
        <v>4.23150879822803E-2</v>
      </c>
      <c r="F786" s="17"/>
      <c r="G786" s="17">
        <v>0.184577074153851</v>
      </c>
      <c r="H786" s="17">
        <v>0</v>
      </c>
      <c r="I786" s="17">
        <v>0</v>
      </c>
      <c r="J786" s="17">
        <v>0</v>
      </c>
      <c r="K786" s="17"/>
      <c r="L786" s="17">
        <v>0</v>
      </c>
      <c r="M786" s="17">
        <v>0.127890525658586</v>
      </c>
      <c r="N786" s="17">
        <v>0.21439122011154299</v>
      </c>
      <c r="O786" s="17">
        <v>0</v>
      </c>
    </row>
    <row r="787" spans="2:15" x14ac:dyDescent="0.3">
      <c r="B787" t="s">
        <v>234</v>
      </c>
      <c r="C787" s="17">
        <v>0.186725139320397</v>
      </c>
      <c r="D787" s="17">
        <v>0.100247502633387</v>
      </c>
      <c r="E787" s="17">
        <v>0.31557090669249799</v>
      </c>
      <c r="F787" s="17"/>
      <c r="G787" s="17">
        <v>0.180695835740601</v>
      </c>
      <c r="H787" s="17">
        <v>0.47219011818307699</v>
      </c>
      <c r="I787" s="17">
        <v>0.152100459306729</v>
      </c>
      <c r="J787" s="17">
        <v>9.1477123909342206E-2</v>
      </c>
      <c r="K787" s="17"/>
      <c r="L787" s="17">
        <v>0</v>
      </c>
      <c r="M787" s="17">
        <v>0.43737348867596798</v>
      </c>
      <c r="N787" s="17">
        <v>0.22726502751397301</v>
      </c>
      <c r="O787" s="17">
        <v>0.129981159843229</v>
      </c>
    </row>
    <row r="788" spans="2:15" x14ac:dyDescent="0.3">
      <c r="B788" t="s">
        <v>235</v>
      </c>
      <c r="C788" s="17">
        <v>8.9316672231674804E-2</v>
      </c>
      <c r="D788" s="17">
        <v>0.110494831719394</v>
      </c>
      <c r="E788" s="17">
        <v>5.7762662255661498E-2</v>
      </c>
      <c r="F788" s="17"/>
      <c r="G788" s="17">
        <v>9.4606127993101793E-2</v>
      </c>
      <c r="H788" s="17">
        <v>0</v>
      </c>
      <c r="I788" s="17">
        <v>0</v>
      </c>
      <c r="J788" s="17">
        <v>0.213242677225737</v>
      </c>
      <c r="K788" s="17"/>
      <c r="L788" s="17">
        <v>7.1681026303930806E-2</v>
      </c>
      <c r="M788" s="17">
        <v>0.14171694470724</v>
      </c>
      <c r="N788" s="17">
        <v>0</v>
      </c>
      <c r="O788" s="17">
        <v>0.136907061804214</v>
      </c>
    </row>
    <row r="789" spans="2:15" x14ac:dyDescent="0.3">
      <c r="B789" t="s">
        <v>236</v>
      </c>
      <c r="C789" s="17">
        <v>0.24683969085613799</v>
      </c>
      <c r="D789" s="17">
        <v>0.250734729625611</v>
      </c>
      <c r="E789" s="17">
        <v>0.24103634934007301</v>
      </c>
      <c r="F789" s="17"/>
      <c r="G789" s="17">
        <v>0.22003621202677401</v>
      </c>
      <c r="H789" s="17">
        <v>0.225263826083754</v>
      </c>
      <c r="I789" s="17">
        <v>0.15271648683209399</v>
      </c>
      <c r="J789" s="17">
        <v>0.39861534728874298</v>
      </c>
      <c r="K789" s="17"/>
      <c r="L789" s="17">
        <v>0.50654741164655803</v>
      </c>
      <c r="M789" s="17">
        <v>0.13508291871642999</v>
      </c>
      <c r="N789" s="17">
        <v>0</v>
      </c>
      <c r="O789" s="17">
        <v>0.22231093774913199</v>
      </c>
    </row>
    <row r="790" spans="2:15" x14ac:dyDescent="0.3">
      <c r="B790" t="s">
        <v>237</v>
      </c>
      <c r="C790" s="17">
        <v>6.0572553722867503E-2</v>
      </c>
      <c r="D790" s="17">
        <v>0</v>
      </c>
      <c r="E790" s="17">
        <v>0.15082151825409901</v>
      </c>
      <c r="F790" s="17"/>
      <c r="G790" s="17">
        <v>6.1749095577523498E-2</v>
      </c>
      <c r="H790" s="17">
        <v>0.30254605573316901</v>
      </c>
      <c r="I790" s="17">
        <v>0</v>
      </c>
      <c r="J790" s="17">
        <v>0</v>
      </c>
      <c r="K790" s="17"/>
      <c r="L790" s="17">
        <v>7.8894573311529798E-2</v>
      </c>
      <c r="M790" s="17">
        <v>0</v>
      </c>
      <c r="N790" s="17">
        <v>0</v>
      </c>
      <c r="O790" s="17">
        <v>0.161823604807497</v>
      </c>
    </row>
    <row r="791" spans="2:15" x14ac:dyDescent="0.3">
      <c r="B791" t="s">
        <v>238</v>
      </c>
      <c r="C791" s="17">
        <v>9.4669337294683104E-2</v>
      </c>
      <c r="D791" s="17">
        <v>0.124703780326532</v>
      </c>
      <c r="E791" s="17">
        <v>4.9920070220720099E-2</v>
      </c>
      <c r="F791" s="17"/>
      <c r="G791" s="17">
        <v>0.168802637547317</v>
      </c>
      <c r="H791" s="17">
        <v>0</v>
      </c>
      <c r="I791" s="17">
        <v>0.105700356969083</v>
      </c>
      <c r="J791" s="17">
        <v>0</v>
      </c>
      <c r="K791" s="17"/>
      <c r="L791" s="17">
        <v>0.15372428929856799</v>
      </c>
      <c r="M791" s="17">
        <v>9.6630926123563804E-2</v>
      </c>
      <c r="N791" s="17">
        <v>9.9023415801433395E-2</v>
      </c>
      <c r="O791" s="17">
        <v>0</v>
      </c>
    </row>
    <row r="792" spans="2:15" x14ac:dyDescent="0.3">
      <c r="B792" t="s">
        <v>261</v>
      </c>
      <c r="C792" s="17">
        <v>0.20853297673035401</v>
      </c>
      <c r="D792" s="17">
        <v>0.28830459994659002</v>
      </c>
      <c r="E792" s="17">
        <v>8.9678711031416697E-2</v>
      </c>
      <c r="F792" s="17"/>
      <c r="G792" s="17">
        <v>0</v>
      </c>
      <c r="H792" s="17">
        <v>0</v>
      </c>
      <c r="I792" s="17">
        <v>0.58948269689209398</v>
      </c>
      <c r="J792" s="17">
        <v>0.296664851576179</v>
      </c>
      <c r="K792" s="17"/>
      <c r="L792" s="17">
        <v>0.123512616037895</v>
      </c>
      <c r="M792" s="17">
        <v>0</v>
      </c>
      <c r="N792" s="17">
        <v>0.45932033657305099</v>
      </c>
      <c r="O792" s="17">
        <v>0.34897723579592699</v>
      </c>
    </row>
    <row r="793" spans="2:15" x14ac:dyDescent="0.3">
      <c r="C793" s="17"/>
      <c r="D793" s="17"/>
      <c r="E793" s="17"/>
      <c r="F793" s="17"/>
      <c r="G793" s="17"/>
      <c r="H793" s="17"/>
      <c r="I793" s="17"/>
      <c r="J793" s="17"/>
      <c r="K793" s="17"/>
      <c r="L793" s="17"/>
      <c r="M793" s="17"/>
      <c r="N793" s="17"/>
      <c r="O793" s="17"/>
    </row>
    <row r="794" spans="2:15" x14ac:dyDescent="0.3">
      <c r="B794" s="6" t="s">
        <v>276</v>
      </c>
      <c r="C794" s="17"/>
      <c r="D794" s="17"/>
      <c r="E794" s="17"/>
      <c r="F794" s="17"/>
      <c r="G794" s="17"/>
      <c r="H794" s="17"/>
      <c r="I794" s="17"/>
      <c r="J794" s="17"/>
      <c r="K794" s="17"/>
      <c r="L794" s="17"/>
      <c r="M794" s="17"/>
      <c r="N794" s="17"/>
      <c r="O794" s="17"/>
    </row>
    <row r="795" spans="2:15" x14ac:dyDescent="0.3">
      <c r="B795" s="23" t="s">
        <v>241</v>
      </c>
      <c r="C795" s="17"/>
      <c r="D795" s="17"/>
      <c r="E795" s="17"/>
      <c r="F795" s="17"/>
      <c r="G795" s="17"/>
      <c r="H795" s="17"/>
      <c r="I795" s="17"/>
      <c r="J795" s="17"/>
      <c r="K795" s="17"/>
      <c r="L795" s="17"/>
      <c r="M795" s="17"/>
      <c r="N795" s="17"/>
      <c r="O795" s="17"/>
    </row>
    <row r="796" spans="2:15" x14ac:dyDescent="0.3">
      <c r="B796" t="s">
        <v>231</v>
      </c>
      <c r="C796" s="17">
        <v>0</v>
      </c>
      <c r="D796" s="17" t="s">
        <v>256</v>
      </c>
      <c r="E796" s="17">
        <v>0</v>
      </c>
      <c r="F796" s="17"/>
      <c r="G796" s="17">
        <v>0</v>
      </c>
      <c r="H796" s="17" t="s">
        <v>256</v>
      </c>
      <c r="I796" s="17" t="s">
        <v>256</v>
      </c>
      <c r="J796" s="17" t="s">
        <v>256</v>
      </c>
      <c r="K796" s="17"/>
      <c r="L796" s="17">
        <v>0</v>
      </c>
      <c r="M796" s="17" t="s">
        <v>256</v>
      </c>
      <c r="N796" s="17">
        <v>0</v>
      </c>
      <c r="O796" s="17" t="s">
        <v>256</v>
      </c>
    </row>
    <row r="797" spans="2:15" x14ac:dyDescent="0.3">
      <c r="B797" t="s">
        <v>232</v>
      </c>
      <c r="C797" s="17">
        <v>0.51320184218776199</v>
      </c>
      <c r="D797" s="17" t="s">
        <v>256</v>
      </c>
      <c r="E797" s="17">
        <v>0.51320184218776199</v>
      </c>
      <c r="F797" s="17"/>
      <c r="G797" s="17">
        <v>0.51320184218776199</v>
      </c>
      <c r="H797" s="17" t="s">
        <v>256</v>
      </c>
      <c r="I797" s="17" t="s">
        <v>256</v>
      </c>
      <c r="J797" s="17" t="s">
        <v>256</v>
      </c>
      <c r="K797" s="17"/>
      <c r="L797" s="17">
        <v>1</v>
      </c>
      <c r="M797" s="17" t="s">
        <v>256</v>
      </c>
      <c r="N797" s="17">
        <v>0</v>
      </c>
      <c r="O797" s="17" t="s">
        <v>256</v>
      </c>
    </row>
    <row r="798" spans="2:15" x14ac:dyDescent="0.3">
      <c r="B798" t="s">
        <v>233</v>
      </c>
      <c r="C798" s="17">
        <v>0</v>
      </c>
      <c r="D798" s="17" t="s">
        <v>256</v>
      </c>
      <c r="E798" s="17">
        <v>0</v>
      </c>
      <c r="F798" s="17"/>
      <c r="G798" s="17">
        <v>0</v>
      </c>
      <c r="H798" s="17" t="s">
        <v>256</v>
      </c>
      <c r="I798" s="17" t="s">
        <v>256</v>
      </c>
      <c r="J798" s="17" t="s">
        <v>256</v>
      </c>
      <c r="K798" s="17"/>
      <c r="L798" s="17">
        <v>0</v>
      </c>
      <c r="M798" s="17" t="s">
        <v>256</v>
      </c>
      <c r="N798" s="17">
        <v>0</v>
      </c>
      <c r="O798" s="17" t="s">
        <v>256</v>
      </c>
    </row>
    <row r="799" spans="2:15" x14ac:dyDescent="0.3">
      <c r="B799" t="s">
        <v>234</v>
      </c>
      <c r="C799" s="17">
        <v>0.48679815781223801</v>
      </c>
      <c r="D799" s="17" t="s">
        <v>256</v>
      </c>
      <c r="E799" s="17">
        <v>0.48679815781223801</v>
      </c>
      <c r="F799" s="17"/>
      <c r="G799" s="17">
        <v>0.48679815781223801</v>
      </c>
      <c r="H799" s="17" t="s">
        <v>256</v>
      </c>
      <c r="I799" s="17" t="s">
        <v>256</v>
      </c>
      <c r="J799" s="17" t="s">
        <v>256</v>
      </c>
      <c r="K799" s="17"/>
      <c r="L799" s="17">
        <v>0</v>
      </c>
      <c r="M799" s="17" t="s">
        <v>256</v>
      </c>
      <c r="N799" s="17">
        <v>1</v>
      </c>
      <c r="O799" s="17" t="s">
        <v>256</v>
      </c>
    </row>
    <row r="800" spans="2:15" x14ac:dyDescent="0.3">
      <c r="B800" t="s">
        <v>235</v>
      </c>
      <c r="C800" s="17">
        <v>0</v>
      </c>
      <c r="D800" s="17" t="s">
        <v>256</v>
      </c>
      <c r="E800" s="17">
        <v>0</v>
      </c>
      <c r="F800" s="17"/>
      <c r="G800" s="17">
        <v>0</v>
      </c>
      <c r="H800" s="17" t="s">
        <v>256</v>
      </c>
      <c r="I800" s="17" t="s">
        <v>256</v>
      </c>
      <c r="J800" s="17" t="s">
        <v>256</v>
      </c>
      <c r="K800" s="17"/>
      <c r="L800" s="17">
        <v>0</v>
      </c>
      <c r="M800" s="17" t="s">
        <v>256</v>
      </c>
      <c r="N800" s="17">
        <v>0</v>
      </c>
      <c r="O800" s="17" t="s">
        <v>256</v>
      </c>
    </row>
    <row r="801" spans="2:15" x14ac:dyDescent="0.3">
      <c r="B801" t="s">
        <v>236</v>
      </c>
      <c r="C801" s="17">
        <v>0</v>
      </c>
      <c r="D801" s="17" t="s">
        <v>256</v>
      </c>
      <c r="E801" s="17">
        <v>0</v>
      </c>
      <c r="F801" s="17"/>
      <c r="G801" s="17">
        <v>0</v>
      </c>
      <c r="H801" s="17" t="s">
        <v>256</v>
      </c>
      <c r="I801" s="17" t="s">
        <v>256</v>
      </c>
      <c r="J801" s="17" t="s">
        <v>256</v>
      </c>
      <c r="K801" s="17"/>
      <c r="L801" s="17">
        <v>0</v>
      </c>
      <c r="M801" s="17" t="s">
        <v>256</v>
      </c>
      <c r="N801" s="17">
        <v>0</v>
      </c>
      <c r="O801" s="17" t="s">
        <v>256</v>
      </c>
    </row>
    <row r="802" spans="2:15" x14ac:dyDescent="0.3">
      <c r="B802" t="s">
        <v>237</v>
      </c>
      <c r="C802" s="17">
        <v>0</v>
      </c>
      <c r="D802" s="17" t="s">
        <v>256</v>
      </c>
      <c r="E802" s="17">
        <v>0</v>
      </c>
      <c r="F802" s="17"/>
      <c r="G802" s="17">
        <v>0</v>
      </c>
      <c r="H802" s="17" t="s">
        <v>256</v>
      </c>
      <c r="I802" s="17" t="s">
        <v>256</v>
      </c>
      <c r="J802" s="17" t="s">
        <v>256</v>
      </c>
      <c r="K802" s="17"/>
      <c r="L802" s="17">
        <v>0</v>
      </c>
      <c r="M802" s="17" t="s">
        <v>256</v>
      </c>
      <c r="N802" s="17">
        <v>0</v>
      </c>
      <c r="O802" s="17" t="s">
        <v>256</v>
      </c>
    </row>
    <row r="803" spans="2:15" x14ac:dyDescent="0.3">
      <c r="B803" t="s">
        <v>238</v>
      </c>
      <c r="C803" s="17">
        <v>0</v>
      </c>
      <c r="D803" s="17" t="s">
        <v>256</v>
      </c>
      <c r="E803" s="17">
        <v>0</v>
      </c>
      <c r="F803" s="17"/>
      <c r="G803" s="17">
        <v>0</v>
      </c>
      <c r="H803" s="17" t="s">
        <v>256</v>
      </c>
      <c r="I803" s="17" t="s">
        <v>256</v>
      </c>
      <c r="J803" s="17" t="s">
        <v>256</v>
      </c>
      <c r="K803" s="17"/>
      <c r="L803" s="17">
        <v>0</v>
      </c>
      <c r="M803" s="17" t="s">
        <v>256</v>
      </c>
      <c r="N803" s="17">
        <v>0</v>
      </c>
      <c r="O803" s="17" t="s">
        <v>256</v>
      </c>
    </row>
    <row r="804" spans="2:15" x14ac:dyDescent="0.3">
      <c r="B804" t="s">
        <v>261</v>
      </c>
      <c r="C804" s="17">
        <v>0</v>
      </c>
      <c r="D804" s="17" t="s">
        <v>256</v>
      </c>
      <c r="E804" s="17">
        <v>0</v>
      </c>
      <c r="F804" s="17"/>
      <c r="G804" s="17">
        <v>0</v>
      </c>
      <c r="H804" s="17" t="s">
        <v>256</v>
      </c>
      <c r="I804" s="17" t="s">
        <v>256</v>
      </c>
      <c r="J804" s="17" t="s">
        <v>256</v>
      </c>
      <c r="K804" s="17"/>
      <c r="L804" s="17">
        <v>0</v>
      </c>
      <c r="M804" s="17" t="s">
        <v>256</v>
      </c>
      <c r="N804" s="17">
        <v>0</v>
      </c>
      <c r="O804" s="17" t="s">
        <v>256</v>
      </c>
    </row>
    <row r="805" spans="2:15" x14ac:dyDescent="0.3">
      <c r="C805" s="17"/>
      <c r="D805" s="17"/>
      <c r="E805" s="17"/>
      <c r="F805" s="17"/>
      <c r="G805" s="17"/>
      <c r="H805" s="17"/>
      <c r="I805" s="17"/>
      <c r="J805" s="17"/>
      <c r="K805" s="17"/>
      <c r="L805" s="17"/>
      <c r="M805" s="17"/>
      <c r="N805" s="17"/>
      <c r="O805" s="17"/>
    </row>
    <row r="806" spans="2:15" x14ac:dyDescent="0.3">
      <c r="B806" s="6" t="s">
        <v>277</v>
      </c>
      <c r="C806" s="17"/>
      <c r="D806" s="17"/>
      <c r="E806" s="17"/>
      <c r="F806" s="17"/>
      <c r="G806" s="17"/>
      <c r="H806" s="17"/>
      <c r="I806" s="17"/>
      <c r="J806" s="17"/>
      <c r="K806" s="17"/>
      <c r="L806" s="17"/>
      <c r="M806" s="17"/>
      <c r="N806" s="17"/>
      <c r="O806" s="17"/>
    </row>
    <row r="807" spans="2:15" x14ac:dyDescent="0.3">
      <c r="B807" s="23" t="s">
        <v>241</v>
      </c>
      <c r="C807" s="17"/>
      <c r="D807" s="17"/>
      <c r="E807" s="17"/>
      <c r="F807" s="17"/>
      <c r="G807" s="17"/>
      <c r="H807" s="17"/>
      <c r="I807" s="17"/>
      <c r="J807" s="17"/>
      <c r="K807" s="17"/>
      <c r="L807" s="17"/>
      <c r="M807" s="17"/>
      <c r="N807" s="17"/>
      <c r="O807" s="17"/>
    </row>
    <row r="808" spans="2:15" x14ac:dyDescent="0.3">
      <c r="B808" t="s">
        <v>231</v>
      </c>
      <c r="C808" s="17">
        <v>5.4252428113598303E-2</v>
      </c>
      <c r="D808" s="17">
        <v>0.12912416044993499</v>
      </c>
      <c r="E808" s="17">
        <v>0</v>
      </c>
      <c r="F808" s="17"/>
      <c r="G808" s="17">
        <v>0.10700802120411899</v>
      </c>
      <c r="H808" s="17">
        <v>0</v>
      </c>
      <c r="I808" s="17">
        <v>0</v>
      </c>
      <c r="J808" s="17" t="s">
        <v>256</v>
      </c>
      <c r="K808" s="17"/>
      <c r="L808" s="17">
        <v>0.238082727424102</v>
      </c>
      <c r="M808" s="17">
        <v>0</v>
      </c>
      <c r="N808" s="17">
        <v>0</v>
      </c>
      <c r="O808" s="17">
        <v>0</v>
      </c>
    </row>
    <row r="809" spans="2:15" x14ac:dyDescent="0.3">
      <c r="B809" t="s">
        <v>232</v>
      </c>
      <c r="C809" s="17">
        <v>0.248234600720311</v>
      </c>
      <c r="D809" s="17">
        <v>0.114461931701929</v>
      </c>
      <c r="E809" s="17">
        <v>0.34516693930815101</v>
      </c>
      <c r="F809" s="17"/>
      <c r="G809" s="17">
        <v>0.32081088919731698</v>
      </c>
      <c r="H809" s="17">
        <v>0.22229561732421599</v>
      </c>
      <c r="I809" s="17">
        <v>0</v>
      </c>
      <c r="J809" s="17" t="s">
        <v>256</v>
      </c>
      <c r="K809" s="17"/>
      <c r="L809" s="17">
        <v>0</v>
      </c>
      <c r="M809" s="17">
        <v>0.37378774022238997</v>
      </c>
      <c r="N809" s="17">
        <v>0.50149783266063797</v>
      </c>
      <c r="O809" s="17">
        <v>0</v>
      </c>
    </row>
    <row r="810" spans="2:15" x14ac:dyDescent="0.3">
      <c r="B810" t="s">
        <v>233</v>
      </c>
      <c r="C810" s="17">
        <v>0</v>
      </c>
      <c r="D810" s="17">
        <v>0</v>
      </c>
      <c r="E810" s="17">
        <v>0</v>
      </c>
      <c r="F810" s="17"/>
      <c r="G810" s="17">
        <v>0</v>
      </c>
      <c r="H810" s="17">
        <v>0</v>
      </c>
      <c r="I810" s="17">
        <v>0</v>
      </c>
      <c r="J810" s="17" t="s">
        <v>256</v>
      </c>
      <c r="K810" s="17"/>
      <c r="L810" s="17">
        <v>0</v>
      </c>
      <c r="M810" s="17">
        <v>0</v>
      </c>
      <c r="N810" s="17">
        <v>0</v>
      </c>
      <c r="O810" s="17">
        <v>0</v>
      </c>
    </row>
    <row r="811" spans="2:15" x14ac:dyDescent="0.3">
      <c r="B811" t="s">
        <v>234</v>
      </c>
      <c r="C811" s="17">
        <v>0.100326076089226</v>
      </c>
      <c r="D811" s="17">
        <v>0.11549680714055501</v>
      </c>
      <c r="E811" s="17">
        <v>8.9333289224142007E-2</v>
      </c>
      <c r="F811" s="17"/>
      <c r="G811" s="17">
        <v>0.19788413626396001</v>
      </c>
      <c r="H811" s="17">
        <v>0</v>
      </c>
      <c r="I811" s="17">
        <v>0</v>
      </c>
      <c r="J811" s="17" t="s">
        <v>256</v>
      </c>
      <c r="K811" s="17"/>
      <c r="L811" s="17">
        <v>0</v>
      </c>
      <c r="M811" s="17">
        <v>0.28053105347423601</v>
      </c>
      <c r="N811" s="17">
        <v>0</v>
      </c>
      <c r="O811" s="17">
        <v>0</v>
      </c>
    </row>
    <row r="812" spans="2:15" x14ac:dyDescent="0.3">
      <c r="B812" t="s">
        <v>235</v>
      </c>
      <c r="C812" s="17">
        <v>0.32790104793754699</v>
      </c>
      <c r="D812" s="17">
        <v>0</v>
      </c>
      <c r="E812" s="17">
        <v>0.56549977146770702</v>
      </c>
      <c r="F812" s="17"/>
      <c r="G812" s="17">
        <v>0</v>
      </c>
      <c r="H812" s="17">
        <v>0.57116397774752203</v>
      </c>
      <c r="I812" s="17">
        <v>1</v>
      </c>
      <c r="J812" s="17" t="s">
        <v>256</v>
      </c>
      <c r="K812" s="17"/>
      <c r="L812" s="17">
        <v>0.41295177539654199</v>
      </c>
      <c r="M812" s="17">
        <v>0.17752304939873201</v>
      </c>
      <c r="N812" s="17">
        <v>0.27279485239620399</v>
      </c>
      <c r="O812" s="17">
        <v>0.58042502394498197</v>
      </c>
    </row>
    <row r="813" spans="2:15" x14ac:dyDescent="0.3">
      <c r="B813" t="s">
        <v>236</v>
      </c>
      <c r="C813" s="17">
        <v>0.191216132871005</v>
      </c>
      <c r="D813" s="17">
        <v>0.455106314684247</v>
      </c>
      <c r="E813" s="17">
        <v>0</v>
      </c>
      <c r="F813" s="17"/>
      <c r="G813" s="17">
        <v>0.220311483369453</v>
      </c>
      <c r="H813" s="17">
        <v>0.20654040492826201</v>
      </c>
      <c r="I813" s="17">
        <v>0</v>
      </c>
      <c r="J813" s="17" t="s">
        <v>256</v>
      </c>
      <c r="K813" s="17"/>
      <c r="L813" s="17">
        <v>0.34896549717935699</v>
      </c>
      <c r="M813" s="17">
        <v>0.168158156904642</v>
      </c>
      <c r="N813" s="17">
        <v>0.22570731494315899</v>
      </c>
      <c r="O813" s="17">
        <v>0</v>
      </c>
    </row>
    <row r="814" spans="2:15" x14ac:dyDescent="0.3">
      <c r="B814" t="s">
        <v>237</v>
      </c>
      <c r="C814" s="17">
        <v>7.8069714268311802E-2</v>
      </c>
      <c r="D814" s="17">
        <v>0.18581078602333301</v>
      </c>
      <c r="E814" s="17">
        <v>0</v>
      </c>
      <c r="F814" s="17"/>
      <c r="G814" s="17">
        <v>0.153985469965151</v>
      </c>
      <c r="H814" s="17">
        <v>0</v>
      </c>
      <c r="I814" s="17">
        <v>0</v>
      </c>
      <c r="J814" s="17" t="s">
        <v>256</v>
      </c>
      <c r="K814" s="17"/>
      <c r="L814" s="17">
        <v>0</v>
      </c>
      <c r="M814" s="17">
        <v>0</v>
      </c>
      <c r="N814" s="17">
        <v>0</v>
      </c>
      <c r="O814" s="17">
        <v>0.41957497605501798</v>
      </c>
    </row>
    <row r="815" spans="2:15" x14ac:dyDescent="0.3">
      <c r="B815" t="s">
        <v>238</v>
      </c>
      <c r="C815" s="17">
        <v>0</v>
      </c>
      <c r="D815" s="17">
        <v>0</v>
      </c>
      <c r="E815" s="17">
        <v>0</v>
      </c>
      <c r="F815" s="17"/>
      <c r="G815" s="17">
        <v>0</v>
      </c>
      <c r="H815" s="17">
        <v>0</v>
      </c>
      <c r="I815" s="17">
        <v>0</v>
      </c>
      <c r="J815" s="17" t="s">
        <v>256</v>
      </c>
      <c r="K815" s="17"/>
      <c r="L815" s="17">
        <v>0</v>
      </c>
      <c r="M815" s="17">
        <v>0</v>
      </c>
      <c r="N815" s="17">
        <v>0</v>
      </c>
      <c r="O815" s="17">
        <v>0</v>
      </c>
    </row>
    <row r="816" spans="2:15" x14ac:dyDescent="0.3">
      <c r="B816" t="s">
        <v>261</v>
      </c>
      <c r="C816" s="17">
        <v>0</v>
      </c>
      <c r="D816" s="17">
        <v>0</v>
      </c>
      <c r="E816" s="17">
        <v>0</v>
      </c>
      <c r="F816" s="17"/>
      <c r="G816" s="17">
        <v>0</v>
      </c>
      <c r="H816" s="17">
        <v>0</v>
      </c>
      <c r="I816" s="17">
        <v>0</v>
      </c>
      <c r="J816" s="17" t="s">
        <v>256</v>
      </c>
      <c r="K816" s="17"/>
      <c r="L816" s="17">
        <v>0</v>
      </c>
      <c r="M816" s="17">
        <v>0</v>
      </c>
      <c r="N816" s="17">
        <v>0</v>
      </c>
      <c r="O816" s="17">
        <v>0</v>
      </c>
    </row>
    <row r="817" spans="2:15" x14ac:dyDescent="0.3">
      <c r="C817" s="17"/>
      <c r="D817" s="17"/>
      <c r="E817" s="17"/>
      <c r="F817" s="17"/>
      <c r="G817" s="17"/>
      <c r="H817" s="17"/>
      <c r="I817" s="17"/>
      <c r="J817" s="17"/>
      <c r="K817" s="17"/>
      <c r="L817" s="17"/>
      <c r="M817" s="17"/>
      <c r="N817" s="17"/>
      <c r="O817" s="17"/>
    </row>
    <row r="818" spans="2:15" x14ac:dyDescent="0.3">
      <c r="B818" s="6" t="s">
        <v>278</v>
      </c>
      <c r="C818" s="17"/>
      <c r="D818" s="17"/>
      <c r="E818" s="17"/>
      <c r="F818" s="17"/>
      <c r="G818" s="17"/>
      <c r="H818" s="17"/>
      <c r="I818" s="17"/>
      <c r="J818" s="17"/>
      <c r="K818" s="17"/>
      <c r="L818" s="17"/>
      <c r="M818" s="17"/>
      <c r="N818" s="17"/>
      <c r="O818" s="17"/>
    </row>
    <row r="819" spans="2:15" x14ac:dyDescent="0.3">
      <c r="B819" s="23" t="s">
        <v>241</v>
      </c>
      <c r="C819" s="17"/>
      <c r="D819" s="17"/>
      <c r="E819" s="17"/>
      <c r="F819" s="17"/>
      <c r="G819" s="17"/>
      <c r="H819" s="17"/>
      <c r="I819" s="17"/>
      <c r="J819" s="17"/>
      <c r="K819" s="17"/>
      <c r="L819" s="17"/>
      <c r="M819" s="17"/>
      <c r="N819" s="17"/>
      <c r="O819" s="17"/>
    </row>
    <row r="820" spans="2:15" x14ac:dyDescent="0.3">
      <c r="B820" t="s">
        <v>231</v>
      </c>
      <c r="C820" s="17">
        <v>7.6828013471336902E-3</v>
      </c>
      <c r="D820" s="17">
        <v>1.19672801901511E-2</v>
      </c>
      <c r="E820" s="17">
        <v>0</v>
      </c>
      <c r="F820" s="17"/>
      <c r="G820" s="17">
        <v>2.1001385660668399E-2</v>
      </c>
      <c r="H820" s="17">
        <v>0</v>
      </c>
      <c r="I820" s="17">
        <v>0</v>
      </c>
      <c r="J820" s="17">
        <v>0</v>
      </c>
      <c r="K820" s="17"/>
      <c r="L820" s="17">
        <v>4.4097478647921302E-2</v>
      </c>
      <c r="M820" s="17">
        <v>0</v>
      </c>
      <c r="N820" s="17">
        <v>0</v>
      </c>
      <c r="O820" s="17">
        <v>0</v>
      </c>
    </row>
    <row r="821" spans="2:15" x14ac:dyDescent="0.3">
      <c r="B821" t="s">
        <v>232</v>
      </c>
      <c r="C821" s="17">
        <v>4.2571893724788902E-2</v>
      </c>
      <c r="D821" s="17">
        <v>4.2223021160494298E-2</v>
      </c>
      <c r="E821" s="17">
        <v>4.3197481737974601E-2</v>
      </c>
      <c r="F821" s="17"/>
      <c r="G821" s="17">
        <v>9.0435074803618801E-2</v>
      </c>
      <c r="H821" s="17">
        <v>0</v>
      </c>
      <c r="I821" s="17">
        <v>0</v>
      </c>
      <c r="J821" s="17">
        <v>5.7598244273486303E-2</v>
      </c>
      <c r="K821" s="17"/>
      <c r="L821" s="17">
        <v>6.5666144697970899E-2</v>
      </c>
      <c r="M821" s="17">
        <v>9.1785856580912206E-2</v>
      </c>
      <c r="N821" s="17">
        <v>2.32521682422922E-2</v>
      </c>
      <c r="O821" s="17">
        <v>0</v>
      </c>
    </row>
    <row r="822" spans="2:15" x14ac:dyDescent="0.3">
      <c r="B822" t="s">
        <v>233</v>
      </c>
      <c r="C822" s="17">
        <v>7.3066487560085394E-2</v>
      </c>
      <c r="D822" s="17">
        <v>6.23662427594509E-2</v>
      </c>
      <c r="E822" s="17">
        <v>9.22538515735528E-2</v>
      </c>
      <c r="F822" s="17"/>
      <c r="G822" s="17">
        <v>5.6199393785630998E-2</v>
      </c>
      <c r="H822" s="17">
        <v>4.73199245754609E-2</v>
      </c>
      <c r="I822" s="17">
        <v>0.16855149252757501</v>
      </c>
      <c r="J822" s="17">
        <v>0</v>
      </c>
      <c r="K822" s="17"/>
      <c r="L822" s="17">
        <v>4.1013811000346498E-2</v>
      </c>
      <c r="M822" s="17">
        <v>6.2577808244633895E-2</v>
      </c>
      <c r="N822" s="17">
        <v>8.2885674108118798E-2</v>
      </c>
      <c r="O822" s="17">
        <v>9.3903023001681393E-2</v>
      </c>
    </row>
    <row r="823" spans="2:15" x14ac:dyDescent="0.3">
      <c r="B823" t="s">
        <v>234</v>
      </c>
      <c r="C823" s="17">
        <v>0.11987816828407</v>
      </c>
      <c r="D823" s="17">
        <v>0.111864909151831</v>
      </c>
      <c r="E823" s="17">
        <v>0.134247308688727</v>
      </c>
      <c r="F823" s="17"/>
      <c r="G823" s="17">
        <v>0.14895756634104501</v>
      </c>
      <c r="H823" s="17">
        <v>6.8885615160762595E-2</v>
      </c>
      <c r="I823" s="17">
        <v>0.16394522498301001</v>
      </c>
      <c r="J823" s="17">
        <v>5.6421144627408999E-2</v>
      </c>
      <c r="K823" s="17"/>
      <c r="L823" s="17">
        <v>6.11029620487036E-2</v>
      </c>
      <c r="M823" s="17">
        <v>0.110626623867917</v>
      </c>
      <c r="N823" s="17">
        <v>0.15206548236531001</v>
      </c>
      <c r="O823" s="17">
        <v>0.128870185408827</v>
      </c>
    </row>
    <row r="824" spans="2:15" x14ac:dyDescent="0.3">
      <c r="B824" t="s">
        <v>235</v>
      </c>
      <c r="C824" s="17">
        <v>6.7725470335497598E-2</v>
      </c>
      <c r="D824" s="17">
        <v>7.7313828313585103E-2</v>
      </c>
      <c r="E824" s="17">
        <v>5.0531909043694999E-2</v>
      </c>
      <c r="F824" s="17"/>
      <c r="G824" s="17">
        <v>6.8238416301999005E-2</v>
      </c>
      <c r="H824" s="17">
        <v>4.3300927996400999E-2</v>
      </c>
      <c r="I824" s="17">
        <v>5.8687838086808601E-2</v>
      </c>
      <c r="J824" s="17">
        <v>0.112847185080397</v>
      </c>
      <c r="K824" s="17"/>
      <c r="L824" s="17">
        <v>0.106703440676666</v>
      </c>
      <c r="M824" s="17">
        <v>2.6719612725293201E-2</v>
      </c>
      <c r="N824" s="17">
        <v>0.13059229301752801</v>
      </c>
      <c r="O824" s="17">
        <v>0</v>
      </c>
    </row>
    <row r="825" spans="2:15" x14ac:dyDescent="0.3">
      <c r="B825" t="s">
        <v>236</v>
      </c>
      <c r="C825" s="17">
        <v>0.109150607146151</v>
      </c>
      <c r="D825" s="17">
        <v>7.1403615427028194E-2</v>
      </c>
      <c r="E825" s="17">
        <v>0.176837401609509</v>
      </c>
      <c r="F825" s="17"/>
      <c r="G825" s="17">
        <v>0.105084197812604</v>
      </c>
      <c r="H825" s="17">
        <v>0.19786536950801401</v>
      </c>
      <c r="I825" s="17">
        <v>0.109114408716425</v>
      </c>
      <c r="J825" s="17">
        <v>0</v>
      </c>
      <c r="K825" s="17"/>
      <c r="L825" s="17">
        <v>6.4635090194157793E-2</v>
      </c>
      <c r="M825" s="17">
        <v>0.13445008051044199</v>
      </c>
      <c r="N825" s="17">
        <v>0.119310959356887</v>
      </c>
      <c r="O825" s="17">
        <v>0.10082568520431601</v>
      </c>
    </row>
    <row r="826" spans="2:15" x14ac:dyDescent="0.3">
      <c r="B826" t="s">
        <v>237</v>
      </c>
      <c r="C826" s="17">
        <v>2.8424001433818302E-2</v>
      </c>
      <c r="D826" s="17">
        <v>4.4275255068343997E-2</v>
      </c>
      <c r="E826" s="17">
        <v>0</v>
      </c>
      <c r="F826" s="17"/>
      <c r="G826" s="17">
        <v>7.7698666041094502E-2</v>
      </c>
      <c r="H826" s="17">
        <v>0</v>
      </c>
      <c r="I826" s="17">
        <v>0</v>
      </c>
      <c r="J826" s="17">
        <v>0</v>
      </c>
      <c r="K826" s="17"/>
      <c r="L826" s="17">
        <v>7.2357827252869697E-2</v>
      </c>
      <c r="M826" s="17">
        <v>3.3113061364385701E-2</v>
      </c>
      <c r="N826" s="17">
        <v>2.25607646741737E-2</v>
      </c>
      <c r="O826" s="17">
        <v>0</v>
      </c>
    </row>
    <row r="827" spans="2:15" x14ac:dyDescent="0.3">
      <c r="B827" t="s">
        <v>238</v>
      </c>
      <c r="C827" s="17">
        <v>3.10195060128764E-2</v>
      </c>
      <c r="D827" s="17">
        <v>4.8318198407494101E-2</v>
      </c>
      <c r="E827" s="17">
        <v>0</v>
      </c>
      <c r="F827" s="17"/>
      <c r="G827" s="17">
        <v>4.26019893976885E-2</v>
      </c>
      <c r="H827" s="17">
        <v>0</v>
      </c>
      <c r="I827" s="17">
        <v>0</v>
      </c>
      <c r="J827" s="17">
        <v>9.3692433706434805E-2</v>
      </c>
      <c r="K827" s="17"/>
      <c r="L827" s="17">
        <v>0.13745498841762699</v>
      </c>
      <c r="M827" s="17">
        <v>0</v>
      </c>
      <c r="N827" s="17">
        <v>2.1851240376076098E-2</v>
      </c>
      <c r="O827" s="17">
        <v>0</v>
      </c>
    </row>
    <row r="828" spans="2:15" x14ac:dyDescent="0.3">
      <c r="B828" t="s">
        <v>261</v>
      </c>
      <c r="C828" s="17">
        <v>0.52048106415557804</v>
      </c>
      <c r="D828" s="17">
        <v>0.53026764952162098</v>
      </c>
      <c r="E828" s="17">
        <v>0.50293204734654195</v>
      </c>
      <c r="F828" s="17"/>
      <c r="G828" s="17">
        <v>0.38978330985565102</v>
      </c>
      <c r="H828" s="17">
        <v>0.64262816275936097</v>
      </c>
      <c r="I828" s="17">
        <v>0.49970103568618202</v>
      </c>
      <c r="J828" s="17">
        <v>0.67944099231227295</v>
      </c>
      <c r="K828" s="17"/>
      <c r="L828" s="17">
        <v>0.40696825706373702</v>
      </c>
      <c r="M828" s="17">
        <v>0.54072695670641702</v>
      </c>
      <c r="N828" s="17">
        <v>0.44748141785961498</v>
      </c>
      <c r="O828" s="17">
        <v>0.67640110638517603</v>
      </c>
    </row>
    <row r="829" spans="2:15" x14ac:dyDescent="0.3">
      <c r="C829" s="17"/>
      <c r="D829" s="17"/>
      <c r="E829" s="17"/>
      <c r="F829" s="17"/>
      <c r="G829" s="17"/>
      <c r="H829" s="17"/>
      <c r="I829" s="17"/>
      <c r="J829" s="17"/>
      <c r="K829" s="17"/>
      <c r="L829" s="17"/>
      <c r="M829" s="17"/>
      <c r="N829" s="17"/>
      <c r="O829" s="17"/>
    </row>
    <row r="830" spans="2:15" x14ac:dyDescent="0.3">
      <c r="B830" s="6" t="s">
        <v>279</v>
      </c>
      <c r="C830" s="17"/>
      <c r="D830" s="17"/>
      <c r="E830" s="17"/>
      <c r="F830" s="17"/>
      <c r="G830" s="17"/>
      <c r="H830" s="17"/>
      <c r="I830" s="17"/>
      <c r="J830" s="17"/>
      <c r="K830" s="17"/>
      <c r="L830" s="17"/>
      <c r="M830" s="17"/>
      <c r="N830" s="17"/>
      <c r="O830" s="17"/>
    </row>
    <row r="831" spans="2:15" x14ac:dyDescent="0.3">
      <c r="B831" s="23" t="s">
        <v>241</v>
      </c>
      <c r="C831" s="17"/>
      <c r="D831" s="17"/>
      <c r="E831" s="17"/>
      <c r="F831" s="17"/>
      <c r="G831" s="17"/>
      <c r="H831" s="17"/>
      <c r="I831" s="17"/>
      <c r="J831" s="17"/>
      <c r="K831" s="17"/>
      <c r="L831" s="17"/>
      <c r="M831" s="17"/>
      <c r="N831" s="17"/>
      <c r="O831" s="17"/>
    </row>
    <row r="832" spans="2:15" x14ac:dyDescent="0.3">
      <c r="B832" t="s">
        <v>231</v>
      </c>
      <c r="C832" s="17">
        <v>2.3440939828466401E-2</v>
      </c>
      <c r="D832" s="17">
        <v>2.4394431546350601E-2</v>
      </c>
      <c r="E832" s="17">
        <v>2.2267670578150399E-2</v>
      </c>
      <c r="F832" s="17"/>
      <c r="G832" s="17">
        <v>2.15214869818567E-2</v>
      </c>
      <c r="H832" s="17">
        <v>0</v>
      </c>
      <c r="I832" s="17">
        <v>6.8694915722724806E-2</v>
      </c>
      <c r="J832" s="17">
        <v>0</v>
      </c>
      <c r="K832" s="17"/>
      <c r="L832" s="17">
        <v>9.6207924186138105E-2</v>
      </c>
      <c r="M832" s="17">
        <v>0</v>
      </c>
      <c r="N832" s="17">
        <v>0</v>
      </c>
      <c r="O832" s="17">
        <v>0</v>
      </c>
    </row>
    <row r="833" spans="2:15" x14ac:dyDescent="0.3">
      <c r="B833" t="s">
        <v>232</v>
      </c>
      <c r="C833" s="17">
        <v>6.6018952143957005E-2</v>
      </c>
      <c r="D833" s="17">
        <v>7.2986506929973896E-2</v>
      </c>
      <c r="E833" s="17">
        <v>5.5003301209211E-2</v>
      </c>
      <c r="F833" s="17"/>
      <c r="G833" s="17">
        <v>0.119980151761495</v>
      </c>
      <c r="H833" s="17">
        <v>0.123374919654402</v>
      </c>
      <c r="I833" s="17">
        <v>0</v>
      </c>
      <c r="J833" s="17">
        <v>0</v>
      </c>
      <c r="K833" s="17"/>
      <c r="L833" s="17">
        <v>0.105019344030938</v>
      </c>
      <c r="M833" s="17">
        <v>8.3708600459322893E-2</v>
      </c>
      <c r="N833" s="17">
        <v>3.00283629696683E-2</v>
      </c>
      <c r="O833" s="17">
        <v>4.4766472904749097E-2</v>
      </c>
    </row>
    <row r="834" spans="2:15" x14ac:dyDescent="0.3">
      <c r="B834" t="s">
        <v>233</v>
      </c>
      <c r="C834" s="17">
        <v>5.0133949352536199E-2</v>
      </c>
      <c r="D834" s="17">
        <v>5.0531896790909601E-2</v>
      </c>
      <c r="E834" s="17">
        <v>5.0580313772612399E-2</v>
      </c>
      <c r="F834" s="17"/>
      <c r="G834" s="17">
        <v>0.105610249199309</v>
      </c>
      <c r="H834" s="17">
        <v>6.3979753549135099E-2</v>
      </c>
      <c r="I834" s="17">
        <v>0</v>
      </c>
      <c r="J834" s="17">
        <v>0</v>
      </c>
      <c r="K834" s="17"/>
      <c r="L834" s="17">
        <v>2.5219833871674001E-2</v>
      </c>
      <c r="M834" s="17">
        <v>2.33963065803518E-2</v>
      </c>
      <c r="N834" s="17">
        <v>7.7877156431051295E-2</v>
      </c>
      <c r="O834" s="17">
        <v>7.3486405817755895E-2</v>
      </c>
    </row>
    <row r="835" spans="2:15" x14ac:dyDescent="0.3">
      <c r="B835" t="s">
        <v>234</v>
      </c>
      <c r="C835" s="17">
        <v>0.14838008321146201</v>
      </c>
      <c r="D835" s="17">
        <v>0.12979864178185299</v>
      </c>
      <c r="E835" s="17">
        <v>0.16208591790705801</v>
      </c>
      <c r="F835" s="17"/>
      <c r="G835" s="17">
        <v>0.13867099897423599</v>
      </c>
      <c r="H835" s="17">
        <v>0.116557320445587</v>
      </c>
      <c r="I835" s="17">
        <v>0.13592461415565199</v>
      </c>
      <c r="J835" s="17">
        <v>0.20122488554860801</v>
      </c>
      <c r="K835" s="17"/>
      <c r="L835" s="17">
        <v>5.3238032928260799E-2</v>
      </c>
      <c r="M835" s="17">
        <v>0.243065150644171</v>
      </c>
      <c r="N835" s="17">
        <v>0.15757333006340499</v>
      </c>
      <c r="O835" s="17">
        <v>0.13976992931889901</v>
      </c>
    </row>
    <row r="836" spans="2:15" x14ac:dyDescent="0.3">
      <c r="B836" t="s">
        <v>235</v>
      </c>
      <c r="C836" s="17">
        <v>0.14197414542796</v>
      </c>
      <c r="D836" s="17">
        <v>0.12566939463450899</v>
      </c>
      <c r="E836" s="17">
        <v>0.17462909610503399</v>
      </c>
      <c r="F836" s="17"/>
      <c r="G836" s="17">
        <v>0.123296962097106</v>
      </c>
      <c r="H836" s="17">
        <v>0</v>
      </c>
      <c r="I836" s="17">
        <v>0.28259280876682902</v>
      </c>
      <c r="J836" s="17">
        <v>0.14366383096521301</v>
      </c>
      <c r="K836" s="17"/>
      <c r="L836" s="17">
        <v>7.4428250180133299E-2</v>
      </c>
      <c r="M836" s="17">
        <v>0.133942744243051</v>
      </c>
      <c r="N836" s="17">
        <v>0.16098649052061301</v>
      </c>
      <c r="O836" s="17">
        <v>0.19143789654121601</v>
      </c>
    </row>
    <row r="837" spans="2:15" x14ac:dyDescent="0.3">
      <c r="B837" t="s">
        <v>236</v>
      </c>
      <c r="C837" s="17">
        <v>0.15451437777615501</v>
      </c>
      <c r="D837" s="17">
        <v>0.108544064049738</v>
      </c>
      <c r="E837" s="17">
        <v>0.24088179595492901</v>
      </c>
      <c r="F837" s="17"/>
      <c r="G837" s="17">
        <v>0.25457457778950299</v>
      </c>
      <c r="H837" s="17">
        <v>0.17175805296497601</v>
      </c>
      <c r="I837" s="17">
        <v>5.6183271859518998E-2</v>
      </c>
      <c r="J837" s="17">
        <v>7.7982239164022596E-2</v>
      </c>
      <c r="K837" s="17"/>
      <c r="L837" s="17">
        <v>8.6272469451714406E-2</v>
      </c>
      <c r="M837" s="17">
        <v>0.14537680365427</v>
      </c>
      <c r="N837" s="17">
        <v>0.29620696601517099</v>
      </c>
      <c r="O837" s="17">
        <v>0.114517145519674</v>
      </c>
    </row>
    <row r="838" spans="2:15" x14ac:dyDescent="0.3">
      <c r="B838" t="s">
        <v>237</v>
      </c>
      <c r="C838" s="17">
        <v>0</v>
      </c>
      <c r="D838" s="17">
        <v>0</v>
      </c>
      <c r="E838" s="17">
        <v>0</v>
      </c>
      <c r="F838" s="17"/>
      <c r="G838" s="17">
        <v>0</v>
      </c>
      <c r="H838" s="17">
        <v>0</v>
      </c>
      <c r="I838" s="17">
        <v>0</v>
      </c>
      <c r="J838" s="17">
        <v>0</v>
      </c>
      <c r="K838" s="17"/>
      <c r="L838" s="17">
        <v>0</v>
      </c>
      <c r="M838" s="17">
        <v>0</v>
      </c>
      <c r="N838" s="17">
        <v>0</v>
      </c>
      <c r="O838" s="17">
        <v>0</v>
      </c>
    </row>
    <row r="839" spans="2:15" x14ac:dyDescent="0.3">
      <c r="B839" t="s">
        <v>238</v>
      </c>
      <c r="C839" s="17">
        <v>0.119072747155322</v>
      </c>
      <c r="D839" s="17">
        <v>0.133231233694419</v>
      </c>
      <c r="E839" s="17">
        <v>9.6338429283349999E-2</v>
      </c>
      <c r="F839" s="17"/>
      <c r="G839" s="17">
        <v>0.12187155068156701</v>
      </c>
      <c r="H839" s="17">
        <v>0.133801319059977</v>
      </c>
      <c r="I839" s="17">
        <v>4.0765775526379402E-2</v>
      </c>
      <c r="J839" s="17">
        <v>0.180700131560114</v>
      </c>
      <c r="K839" s="17"/>
      <c r="L839" s="17">
        <v>0.188930637936437</v>
      </c>
      <c r="M839" s="17">
        <v>0.13245202164183001</v>
      </c>
      <c r="N839" s="17">
        <v>4.3322497638404997E-2</v>
      </c>
      <c r="O839" s="17">
        <v>0.105147560215982</v>
      </c>
    </row>
    <row r="840" spans="2:15" x14ac:dyDescent="0.3">
      <c r="B840" t="s">
        <v>261</v>
      </c>
      <c r="C840" s="17">
        <v>0.29646480510414203</v>
      </c>
      <c r="D840" s="17">
        <v>0.354843830572247</v>
      </c>
      <c r="E840" s="17">
        <v>0.19821347518965499</v>
      </c>
      <c r="F840" s="17"/>
      <c r="G840" s="17">
        <v>0.114474022514928</v>
      </c>
      <c r="H840" s="17">
        <v>0.390528634325922</v>
      </c>
      <c r="I840" s="17">
        <v>0.41583861396889499</v>
      </c>
      <c r="J840" s="17">
        <v>0.39642891276204301</v>
      </c>
      <c r="K840" s="17"/>
      <c r="L840" s="17">
        <v>0.37068350741470502</v>
      </c>
      <c r="M840" s="17">
        <v>0.23805837277700501</v>
      </c>
      <c r="N840" s="17">
        <v>0.23400519636168701</v>
      </c>
      <c r="O840" s="17">
        <v>0.33087458968172401</v>
      </c>
    </row>
    <row r="841" spans="2:15" x14ac:dyDescent="0.3">
      <c r="C841" s="17"/>
      <c r="D841" s="17"/>
      <c r="E841" s="17"/>
      <c r="F841" s="17"/>
      <c r="G841" s="17"/>
      <c r="H841" s="17"/>
      <c r="I841" s="17"/>
      <c r="J841" s="17"/>
      <c r="K841" s="17"/>
      <c r="L841" s="17"/>
      <c r="M841" s="17"/>
      <c r="N841" s="17"/>
      <c r="O841" s="17"/>
    </row>
    <row r="842" spans="2:15" x14ac:dyDescent="0.3">
      <c r="B842" s="6" t="s">
        <v>282</v>
      </c>
      <c r="C842" s="17"/>
      <c r="D842" s="17"/>
      <c r="E842" s="17"/>
      <c r="F842" s="17"/>
      <c r="G842" s="17"/>
      <c r="H842" s="17"/>
      <c r="I842" s="17"/>
      <c r="J842" s="17"/>
      <c r="K842" s="17"/>
      <c r="L842" s="17"/>
      <c r="M842" s="17"/>
      <c r="N842" s="17"/>
      <c r="O842" s="17"/>
    </row>
    <row r="843" spans="2:15" x14ac:dyDescent="0.3">
      <c r="B843" s="23" t="s">
        <v>46</v>
      </c>
      <c r="C843" s="17"/>
      <c r="D843" s="17"/>
      <c r="E843" s="17"/>
      <c r="F843" s="17"/>
      <c r="G843" s="17"/>
      <c r="H843" s="17"/>
      <c r="I843" s="17"/>
      <c r="J843" s="17"/>
      <c r="K843" s="17"/>
      <c r="L843" s="17"/>
      <c r="M843" s="17"/>
      <c r="N843" s="17"/>
      <c r="O843" s="17"/>
    </row>
    <row r="844" spans="2:15" x14ac:dyDescent="0.3">
      <c r="B844" t="s">
        <v>280</v>
      </c>
      <c r="C844" s="17">
        <v>0.53286977188137796</v>
      </c>
      <c r="D844" s="17">
        <v>0.63190070566637002</v>
      </c>
      <c r="E844" s="17">
        <v>0.43489302761425402</v>
      </c>
      <c r="F844" s="17"/>
      <c r="G844" s="17">
        <v>0.64057909340237795</v>
      </c>
      <c r="H844" s="17">
        <v>0.46059565071213598</v>
      </c>
      <c r="I844" s="17">
        <v>0.59508406354438104</v>
      </c>
      <c r="J844" s="17">
        <v>0.41422756270696598</v>
      </c>
      <c r="K844" s="17"/>
      <c r="L844" s="17">
        <v>0.53195603767991095</v>
      </c>
      <c r="M844" s="17">
        <v>0.58207630071757899</v>
      </c>
      <c r="N844" s="17">
        <v>0.60831383968353803</v>
      </c>
      <c r="O844" s="17">
        <v>0.39911813645823002</v>
      </c>
    </row>
    <row r="845" spans="2:15" x14ac:dyDescent="0.3">
      <c r="B845" t="s">
        <v>281</v>
      </c>
      <c r="C845" s="17">
        <v>0.39784086663500601</v>
      </c>
      <c r="D845" s="17">
        <v>0.30424239598577801</v>
      </c>
      <c r="E845" s="17">
        <v>0.48988639861865302</v>
      </c>
      <c r="F845" s="17"/>
      <c r="G845" s="17">
        <v>0.27911838709047398</v>
      </c>
      <c r="H845" s="17">
        <v>0.463265961208078</v>
      </c>
      <c r="I845" s="17">
        <v>0.364796126211546</v>
      </c>
      <c r="J845" s="17">
        <v>0.51142124352034901</v>
      </c>
      <c r="K845" s="17"/>
      <c r="L845" s="17">
        <v>0.42868027461528002</v>
      </c>
      <c r="M845" s="17">
        <v>0.36331984022691999</v>
      </c>
      <c r="N845" s="17">
        <v>0.31217676340114198</v>
      </c>
      <c r="O845" s="17">
        <v>0.49694049283951203</v>
      </c>
    </row>
    <row r="846" spans="2:15" x14ac:dyDescent="0.3">
      <c r="B846" t="s">
        <v>107</v>
      </c>
      <c r="C846" s="17">
        <v>6.9289361483615294E-2</v>
      </c>
      <c r="D846" s="17">
        <v>6.3856898347852603E-2</v>
      </c>
      <c r="E846" s="17">
        <v>7.5220573767093096E-2</v>
      </c>
      <c r="F846" s="17"/>
      <c r="G846" s="17">
        <v>8.0302519507147702E-2</v>
      </c>
      <c r="H846" s="17">
        <v>7.6138388079786595E-2</v>
      </c>
      <c r="I846" s="17">
        <v>4.0119810244072698E-2</v>
      </c>
      <c r="J846" s="17">
        <v>7.4351193772684995E-2</v>
      </c>
      <c r="K846" s="17"/>
      <c r="L846" s="17">
        <v>3.9363687704809303E-2</v>
      </c>
      <c r="M846" s="17">
        <v>5.4603859055502003E-2</v>
      </c>
      <c r="N846" s="17">
        <v>7.9509396915319205E-2</v>
      </c>
      <c r="O846" s="17">
        <v>0.10394137070225801</v>
      </c>
    </row>
    <row r="847" spans="2:15" x14ac:dyDescent="0.3">
      <c r="C847" s="17"/>
      <c r="D847" s="17"/>
      <c r="E847" s="17"/>
      <c r="F847" s="17"/>
      <c r="G847" s="17"/>
      <c r="H847" s="17"/>
      <c r="I847" s="17"/>
      <c r="J847" s="17"/>
      <c r="K847" s="17"/>
      <c r="L847" s="17"/>
      <c r="M847" s="17"/>
      <c r="N847" s="17"/>
      <c r="O847" s="17"/>
    </row>
    <row r="848" spans="2:15" x14ac:dyDescent="0.3">
      <c r="B848" s="6" t="s">
        <v>285</v>
      </c>
      <c r="C848" s="17"/>
      <c r="D848" s="17"/>
      <c r="E848" s="17"/>
      <c r="F848" s="17"/>
      <c r="G848" s="17"/>
      <c r="H848" s="17"/>
      <c r="I848" s="17"/>
      <c r="J848" s="17"/>
      <c r="K848" s="17"/>
      <c r="L848" s="17"/>
      <c r="M848" s="17"/>
      <c r="N848" s="17"/>
      <c r="O848" s="17"/>
    </row>
    <row r="849" spans="2:15" x14ac:dyDescent="0.3">
      <c r="B849" s="23" t="s">
        <v>286</v>
      </c>
      <c r="C849" s="17"/>
      <c r="D849" s="17"/>
      <c r="E849" s="17"/>
      <c r="F849" s="17"/>
      <c r="G849" s="17"/>
      <c r="H849" s="17"/>
      <c r="I849" s="17"/>
      <c r="J849" s="17"/>
      <c r="K849" s="17"/>
      <c r="L849" s="17"/>
      <c r="M849" s="17"/>
      <c r="N849" s="17"/>
      <c r="O849" s="17"/>
    </row>
    <row r="850" spans="2:15" x14ac:dyDescent="0.3">
      <c r="B850" t="s">
        <v>283</v>
      </c>
      <c r="C850" s="17">
        <v>0.266012874456445</v>
      </c>
      <c r="D850" s="17">
        <v>0.318668705499209</v>
      </c>
      <c r="E850" s="17">
        <v>0.212326721758861</v>
      </c>
      <c r="F850" s="17"/>
      <c r="G850" s="17">
        <v>0.31921816018427801</v>
      </c>
      <c r="H850" s="17">
        <v>0.244209285528178</v>
      </c>
      <c r="I850" s="17">
        <v>0.24284523410150399</v>
      </c>
      <c r="J850" s="17">
        <v>0.23615980965896199</v>
      </c>
      <c r="K850" s="17"/>
      <c r="L850" s="17" t="s">
        <v>256</v>
      </c>
      <c r="M850" s="17">
        <v>0.35004136693071303</v>
      </c>
      <c r="N850" s="17">
        <v>0.25869887449602502</v>
      </c>
      <c r="O850" s="17">
        <v>0.18354208705488601</v>
      </c>
    </row>
    <row r="851" spans="2:15" x14ac:dyDescent="0.3">
      <c r="B851" t="s">
        <v>280</v>
      </c>
      <c r="C851" s="17">
        <v>0.337742960558778</v>
      </c>
      <c r="D851" s="17">
        <v>0.34861215881000701</v>
      </c>
      <c r="E851" s="17">
        <v>0.325459211353959</v>
      </c>
      <c r="F851" s="17"/>
      <c r="G851" s="17">
        <v>0.39858354173930399</v>
      </c>
      <c r="H851" s="17">
        <v>0.32997048280407099</v>
      </c>
      <c r="I851" s="17">
        <v>0.29669334731723501</v>
      </c>
      <c r="J851" s="17">
        <v>0.31092350330025198</v>
      </c>
      <c r="K851" s="17"/>
      <c r="L851" s="17" t="s">
        <v>256</v>
      </c>
      <c r="M851" s="17">
        <v>0.319993880924062</v>
      </c>
      <c r="N851" s="17">
        <v>0.392507646636787</v>
      </c>
      <c r="O851" s="17">
        <v>0.29750825752070498</v>
      </c>
    </row>
    <row r="852" spans="2:15" x14ac:dyDescent="0.3">
      <c r="B852" t="s">
        <v>284</v>
      </c>
      <c r="C852" s="17">
        <v>0.29959068842015601</v>
      </c>
      <c r="D852" s="17">
        <v>0.23235521409031301</v>
      </c>
      <c r="E852" s="17">
        <v>0.36856875353655999</v>
      </c>
      <c r="F852" s="17"/>
      <c r="G852" s="17">
        <v>0.229108063391364</v>
      </c>
      <c r="H852" s="17">
        <v>0.30045776107407801</v>
      </c>
      <c r="I852" s="17">
        <v>0.37558339997457302</v>
      </c>
      <c r="J852" s="17">
        <v>0.31908540047310002</v>
      </c>
      <c r="K852" s="17"/>
      <c r="L852" s="17" t="s">
        <v>256</v>
      </c>
      <c r="M852" s="17">
        <v>0.245388412417746</v>
      </c>
      <c r="N852" s="17">
        <v>0.24554767724589099</v>
      </c>
      <c r="O852" s="17">
        <v>0.41644579289183897</v>
      </c>
    </row>
    <row r="853" spans="2:15" x14ac:dyDescent="0.3">
      <c r="B853" t="s">
        <v>107</v>
      </c>
      <c r="C853" s="17">
        <v>9.6653476564620505E-2</v>
      </c>
      <c r="D853" s="17">
        <v>0.100363921600471</v>
      </c>
      <c r="E853" s="17">
        <v>9.3645313350619402E-2</v>
      </c>
      <c r="F853" s="17"/>
      <c r="G853" s="17">
        <v>5.3090234685054499E-2</v>
      </c>
      <c r="H853" s="17">
        <v>0.125362470593673</v>
      </c>
      <c r="I853" s="17">
        <v>8.4878018606687797E-2</v>
      </c>
      <c r="J853" s="17">
        <v>0.133831286567687</v>
      </c>
      <c r="K853" s="17"/>
      <c r="L853" s="17" t="s">
        <v>256</v>
      </c>
      <c r="M853" s="17">
        <v>8.4576339727479605E-2</v>
      </c>
      <c r="N853" s="17">
        <v>0.103245801621296</v>
      </c>
      <c r="O853" s="17">
        <v>0.102503862532571</v>
      </c>
    </row>
    <row r="854" spans="2:15" x14ac:dyDescent="0.3">
      <c r="C854" s="17"/>
      <c r="D854" s="17"/>
      <c r="E854" s="17"/>
      <c r="F854" s="17"/>
      <c r="G854" s="17"/>
      <c r="H854" s="17"/>
      <c r="I854" s="17"/>
      <c r="J854" s="17"/>
      <c r="K854" s="17"/>
      <c r="L854" s="17"/>
      <c r="M854" s="17"/>
      <c r="N854" s="17"/>
      <c r="O854" s="17"/>
    </row>
    <row r="855" spans="2:15" x14ac:dyDescent="0.3">
      <c r="B855" s="6" t="s">
        <v>293</v>
      </c>
      <c r="C855" s="17"/>
      <c r="D855" s="17"/>
      <c r="E855" s="17"/>
      <c r="F855" s="17"/>
      <c r="G855" s="17"/>
      <c r="H855" s="17"/>
      <c r="I855" s="17"/>
      <c r="J855" s="17"/>
      <c r="K855" s="17"/>
      <c r="L855" s="17"/>
      <c r="M855" s="17"/>
      <c r="N855" s="17"/>
      <c r="O855" s="17"/>
    </row>
    <row r="856" spans="2:15" x14ac:dyDescent="0.3">
      <c r="B856" s="23" t="s">
        <v>46</v>
      </c>
      <c r="C856" s="17"/>
      <c r="D856" s="17"/>
      <c r="E856" s="17"/>
      <c r="F856" s="17"/>
      <c r="G856" s="17"/>
      <c r="H856" s="17"/>
      <c r="I856" s="17"/>
      <c r="J856" s="17"/>
      <c r="K856" s="17"/>
      <c r="L856" s="17"/>
      <c r="M856" s="17"/>
      <c r="N856" s="17"/>
      <c r="O856" s="17"/>
    </row>
    <row r="857" spans="2:15" x14ac:dyDescent="0.3">
      <c r="B857" t="s">
        <v>287</v>
      </c>
      <c r="C857" s="17">
        <v>0.48512299295698702</v>
      </c>
      <c r="D857" s="17">
        <v>0.58221743116395397</v>
      </c>
      <c r="E857" s="17">
        <v>0.39167426330899002</v>
      </c>
      <c r="F857" s="17"/>
      <c r="G857" s="17">
        <v>0.54769039708008904</v>
      </c>
      <c r="H857" s="17">
        <v>0.40552769557787</v>
      </c>
      <c r="I857" s="17">
        <v>0.44509122339161</v>
      </c>
      <c r="J857" s="17">
        <v>0.53440556787874705</v>
      </c>
      <c r="K857" s="17"/>
      <c r="L857" s="17">
        <v>0.47661859719199101</v>
      </c>
      <c r="M857" s="17">
        <v>0.58337194012175497</v>
      </c>
      <c r="N857" s="17">
        <v>0.49144611181940401</v>
      </c>
      <c r="O857" s="17">
        <v>0.38108529406499297</v>
      </c>
    </row>
    <row r="858" spans="2:15" x14ac:dyDescent="0.3">
      <c r="B858" t="s">
        <v>288</v>
      </c>
      <c r="C858" s="17">
        <v>0.41675314041649703</v>
      </c>
      <c r="D858" s="17">
        <v>0.39967310121736399</v>
      </c>
      <c r="E858" s="17">
        <v>0.43250512985705097</v>
      </c>
      <c r="F858" s="17"/>
      <c r="G858" s="17">
        <v>0.471683921286635</v>
      </c>
      <c r="H858" s="17">
        <v>0.39935639163159398</v>
      </c>
      <c r="I858" s="17">
        <v>0.324080994917819</v>
      </c>
      <c r="J858" s="17">
        <v>0.44494777371968802</v>
      </c>
      <c r="K858" s="17"/>
      <c r="L858" s="17">
        <v>0.25431596845062499</v>
      </c>
      <c r="M858" s="17">
        <v>0.28342023944342098</v>
      </c>
      <c r="N858" s="17">
        <v>0.50228760378752602</v>
      </c>
      <c r="O858" s="17">
        <v>0.62996185538327698</v>
      </c>
    </row>
    <row r="859" spans="2:15" x14ac:dyDescent="0.3">
      <c r="B859" t="s">
        <v>289</v>
      </c>
      <c r="C859" s="17">
        <v>0.27319603515496299</v>
      </c>
      <c r="D859" s="17">
        <v>0.381785729509029</v>
      </c>
      <c r="E859" s="17">
        <v>0.163779092922267</v>
      </c>
      <c r="F859" s="17"/>
      <c r="G859" s="17">
        <v>0.36372605776633499</v>
      </c>
      <c r="H859" s="17">
        <v>0.21697318018396899</v>
      </c>
      <c r="I859" s="17">
        <v>0.27548977868931601</v>
      </c>
      <c r="J859" s="17">
        <v>0.21925073282223201</v>
      </c>
      <c r="K859" s="17"/>
      <c r="L859" s="17">
        <v>0.272547899915902</v>
      </c>
      <c r="M859" s="17">
        <v>0.35310113734925902</v>
      </c>
      <c r="N859" s="17">
        <v>0.27612699747763703</v>
      </c>
      <c r="O859" s="17">
        <v>0.18471044218393001</v>
      </c>
    </row>
    <row r="860" spans="2:15" x14ac:dyDescent="0.3">
      <c r="B860" t="s">
        <v>290</v>
      </c>
      <c r="C860" s="17">
        <v>0.21894869405160799</v>
      </c>
      <c r="D860" s="17">
        <v>0.143122126049258</v>
      </c>
      <c r="E860" s="17">
        <v>0.29334285246479702</v>
      </c>
      <c r="F860" s="17"/>
      <c r="G860" s="17">
        <v>0.25696721926555799</v>
      </c>
      <c r="H860" s="17">
        <v>0.26581099544209702</v>
      </c>
      <c r="I860" s="17">
        <v>0.15226819759628701</v>
      </c>
      <c r="J860" s="17">
        <v>0.178867614294555</v>
      </c>
      <c r="K860" s="17"/>
      <c r="L860" s="17">
        <v>0.27261971283610398</v>
      </c>
      <c r="M860" s="17">
        <v>0.17969306093613499</v>
      </c>
      <c r="N860" s="17">
        <v>0.197600812114816</v>
      </c>
      <c r="O860" s="17">
        <v>0.23063409208043201</v>
      </c>
    </row>
    <row r="861" spans="2:15" x14ac:dyDescent="0.3">
      <c r="B861" t="s">
        <v>291</v>
      </c>
      <c r="C861" s="17">
        <v>0.19575934734786599</v>
      </c>
      <c r="D861" s="17">
        <v>0.18954864987947501</v>
      </c>
      <c r="E861" s="17">
        <v>0.203389530143335</v>
      </c>
      <c r="F861" s="17"/>
      <c r="G861" s="17">
        <v>0.26470318901338102</v>
      </c>
      <c r="H861" s="17">
        <v>0.18510904687828</v>
      </c>
      <c r="I861" s="17">
        <v>0.16238600666674499</v>
      </c>
      <c r="J861" s="17">
        <v>0.15012193334297999</v>
      </c>
      <c r="K861" s="17"/>
      <c r="L861" s="17">
        <v>0.22671574150916901</v>
      </c>
      <c r="M861" s="17">
        <v>0.23937600649341101</v>
      </c>
      <c r="N861" s="17">
        <v>0.19289454890532401</v>
      </c>
      <c r="O861" s="17">
        <v>0.120985533327595</v>
      </c>
    </row>
    <row r="862" spans="2:15" x14ac:dyDescent="0.3">
      <c r="B862" t="s">
        <v>292</v>
      </c>
      <c r="C862" s="17">
        <v>0.14568589143493399</v>
      </c>
      <c r="D862" s="17">
        <v>0.142076967902977</v>
      </c>
      <c r="E862" s="17">
        <v>0.15035236173198099</v>
      </c>
      <c r="F862" s="17"/>
      <c r="G862" s="17">
        <v>0.21645928923639199</v>
      </c>
      <c r="H862" s="17">
        <v>0.128797817472728</v>
      </c>
      <c r="I862" s="17">
        <v>0.122726373498404</v>
      </c>
      <c r="J862" s="17">
        <v>9.4846121505195294E-2</v>
      </c>
      <c r="K862" s="17"/>
      <c r="L862" s="17">
        <v>0.172125313164539</v>
      </c>
      <c r="M862" s="17">
        <v>0.17383277280475301</v>
      </c>
      <c r="N862" s="17">
        <v>0.14588652582275899</v>
      </c>
      <c r="O862" s="17">
        <v>8.8749894917652006E-2</v>
      </c>
    </row>
    <row r="863" spans="2:15" x14ac:dyDescent="0.3">
      <c r="C863" s="17"/>
      <c r="D863" s="17"/>
      <c r="E863" s="17"/>
      <c r="F863" s="17"/>
      <c r="G863" s="17"/>
      <c r="H863" s="17"/>
      <c r="I863" s="17"/>
      <c r="J863" s="17"/>
      <c r="K863" s="17"/>
      <c r="L863" s="17"/>
      <c r="M863" s="17"/>
      <c r="N863" s="17"/>
      <c r="O863" s="17"/>
    </row>
    <row r="864" spans="2:15" x14ac:dyDescent="0.3">
      <c r="B864" s="6" t="s">
        <v>301</v>
      </c>
      <c r="C864" s="17"/>
      <c r="D864" s="17"/>
      <c r="E864" s="17"/>
      <c r="F864" s="17"/>
      <c r="G864" s="17"/>
      <c r="H864" s="17"/>
      <c r="I864" s="17"/>
      <c r="J864" s="17"/>
      <c r="K864" s="17"/>
      <c r="L864" s="17"/>
      <c r="M864" s="17"/>
      <c r="N864" s="17"/>
      <c r="O864" s="17"/>
    </row>
    <row r="865" spans="2:15" x14ac:dyDescent="0.3">
      <c r="B865" s="23" t="s">
        <v>286</v>
      </c>
      <c r="C865" s="17"/>
      <c r="D865" s="17"/>
      <c r="E865" s="17"/>
      <c r="F865" s="17"/>
      <c r="G865" s="17"/>
      <c r="H865" s="17"/>
      <c r="I865" s="17"/>
      <c r="J865" s="17"/>
      <c r="K865" s="17"/>
      <c r="L865" s="17"/>
      <c r="M865" s="17"/>
      <c r="N865" s="17"/>
      <c r="O865" s="17"/>
    </row>
    <row r="866" spans="2:15" x14ac:dyDescent="0.3">
      <c r="B866" t="s">
        <v>294</v>
      </c>
      <c r="C866" s="17">
        <v>0.177282004608625</v>
      </c>
      <c r="D866" s="17">
        <v>0.221844481531695</v>
      </c>
      <c r="E866" s="17">
        <v>0.13137171056232699</v>
      </c>
      <c r="F866" s="17"/>
      <c r="G866" s="17">
        <v>0.187544636051448</v>
      </c>
      <c r="H866" s="17">
        <v>0.22040399648654599</v>
      </c>
      <c r="I866" s="17">
        <v>0.19406328703752301</v>
      </c>
      <c r="J866" s="17">
        <v>9.8570684117904303E-2</v>
      </c>
      <c r="K866" s="17"/>
      <c r="L866" s="17" t="s">
        <v>256</v>
      </c>
      <c r="M866" s="17">
        <v>0.20804303159349399</v>
      </c>
      <c r="N866" s="17">
        <v>0.18541204242798301</v>
      </c>
      <c r="O866" s="17">
        <v>0.13538305582059901</v>
      </c>
    </row>
    <row r="867" spans="2:15" x14ac:dyDescent="0.3">
      <c r="B867" t="s">
        <v>295</v>
      </c>
      <c r="C867" s="17">
        <v>0.159905126927291</v>
      </c>
      <c r="D867" s="17">
        <v>0.16663987098918201</v>
      </c>
      <c r="E867" s="17">
        <v>0.15429063211772001</v>
      </c>
      <c r="F867" s="17"/>
      <c r="G867" s="17">
        <v>0.15224790017366999</v>
      </c>
      <c r="H867" s="17">
        <v>0.14102369526720099</v>
      </c>
      <c r="I867" s="17">
        <v>0.181518296460939</v>
      </c>
      <c r="J867" s="17">
        <v>0.17209897945669</v>
      </c>
      <c r="K867" s="17"/>
      <c r="L867" s="17" t="s">
        <v>256</v>
      </c>
      <c r="M867" s="17">
        <v>0.13818162223643199</v>
      </c>
      <c r="N867" s="17">
        <v>0.18466425934689401</v>
      </c>
      <c r="O867" s="17">
        <v>0.15645195821591701</v>
      </c>
    </row>
    <row r="868" spans="2:15" x14ac:dyDescent="0.3">
      <c r="B868" t="s">
        <v>296</v>
      </c>
      <c r="C868" s="17">
        <v>0.14235213083124801</v>
      </c>
      <c r="D868" s="17">
        <v>0.15193653238674901</v>
      </c>
      <c r="E868" s="17">
        <v>0.12949950426786799</v>
      </c>
      <c r="F868" s="17"/>
      <c r="G868" s="17">
        <v>0.19749233411511499</v>
      </c>
      <c r="H868" s="17">
        <v>0.13017923296757</v>
      </c>
      <c r="I868" s="17">
        <v>9.5495328191809906E-2</v>
      </c>
      <c r="J868" s="17">
        <v>0.13192435268241701</v>
      </c>
      <c r="K868" s="17"/>
      <c r="L868" s="17" t="s">
        <v>256</v>
      </c>
      <c r="M868" s="17">
        <v>0.14723193861915801</v>
      </c>
      <c r="N868" s="17">
        <v>0.157231346575047</v>
      </c>
      <c r="O868" s="17">
        <v>0.120983490246047</v>
      </c>
    </row>
    <row r="869" spans="2:15" x14ac:dyDescent="0.3">
      <c r="B869" t="s">
        <v>297</v>
      </c>
      <c r="C869" s="17">
        <v>9.8459894227362205E-2</v>
      </c>
      <c r="D869" s="17">
        <v>9.2965927762958298E-2</v>
      </c>
      <c r="E869" s="17">
        <v>0.10531670426406201</v>
      </c>
      <c r="F869" s="17"/>
      <c r="G869" s="17">
        <v>0.159577973768007</v>
      </c>
      <c r="H869" s="17">
        <v>7.35194298026874E-2</v>
      </c>
      <c r="I869" s="17">
        <v>7.5668706192913895E-2</v>
      </c>
      <c r="J869" s="17">
        <v>7.0374903855306106E-2</v>
      </c>
      <c r="K869" s="17"/>
      <c r="L869" s="17" t="s">
        <v>256</v>
      </c>
      <c r="M869" s="17">
        <v>7.1454412460934702E-2</v>
      </c>
      <c r="N869" s="17">
        <v>9.19292069033181E-2</v>
      </c>
      <c r="O869" s="17">
        <v>0.13458615709229399</v>
      </c>
    </row>
    <row r="870" spans="2:15" x14ac:dyDescent="0.3">
      <c r="B870" t="s">
        <v>298</v>
      </c>
      <c r="C870" s="17">
        <v>7.4826047340966498E-2</v>
      </c>
      <c r="D870" s="17">
        <v>7.8215598317749796E-2</v>
      </c>
      <c r="E870" s="17">
        <v>7.1944083912562795E-2</v>
      </c>
      <c r="F870" s="17"/>
      <c r="G870" s="17">
        <v>7.4091730443037296E-2</v>
      </c>
      <c r="H870" s="17">
        <v>6.99994561357139E-2</v>
      </c>
      <c r="I870" s="17">
        <v>6.7400692205586199E-2</v>
      </c>
      <c r="J870" s="17">
        <v>7.8876291233709095E-2</v>
      </c>
      <c r="K870" s="17"/>
      <c r="L870" s="17" t="s">
        <v>256</v>
      </c>
      <c r="M870" s="17">
        <v>6.7632929116235099E-2</v>
      </c>
      <c r="N870" s="17">
        <v>8.1427089853304296E-2</v>
      </c>
      <c r="O870" s="17">
        <v>7.5412969376175198E-2</v>
      </c>
    </row>
    <row r="871" spans="2:15" x14ac:dyDescent="0.3">
      <c r="B871" t="s">
        <v>299</v>
      </c>
      <c r="C871" s="17">
        <v>8.9216020424947307E-2</v>
      </c>
      <c r="D871" s="17">
        <v>6.3617392671682094E-2</v>
      </c>
      <c r="E871" s="17">
        <v>0.11748913446494499</v>
      </c>
      <c r="F871" s="17"/>
      <c r="G871" s="17">
        <v>0.100102794872398</v>
      </c>
      <c r="H871" s="17">
        <v>0.100525358526252</v>
      </c>
      <c r="I871" s="17">
        <v>4.9524577014431199E-2</v>
      </c>
      <c r="J871" s="17">
        <v>0.102364269805376</v>
      </c>
      <c r="K871" s="17"/>
      <c r="L871" s="17" t="s">
        <v>256</v>
      </c>
      <c r="M871" s="17">
        <v>9.1766522067195003E-2</v>
      </c>
      <c r="N871" s="17">
        <v>7.8786290228213401E-2</v>
      </c>
      <c r="O871" s="17">
        <v>9.7771173341112197E-2</v>
      </c>
    </row>
    <row r="872" spans="2:15" x14ac:dyDescent="0.3">
      <c r="B872" t="s">
        <v>300</v>
      </c>
      <c r="C872" s="17">
        <v>0.17939626170082101</v>
      </c>
      <c r="D872" s="17">
        <v>0.13927445532499999</v>
      </c>
      <c r="E872" s="17">
        <v>0.21817228849930601</v>
      </c>
      <c r="F872" s="17"/>
      <c r="G872" s="17">
        <v>8.5466638728234998E-2</v>
      </c>
      <c r="H872" s="17">
        <v>0.163126181722896</v>
      </c>
      <c r="I872" s="17">
        <v>0.27435551118511198</v>
      </c>
      <c r="J872" s="17">
        <v>0.22961696372646401</v>
      </c>
      <c r="K872" s="17"/>
      <c r="L872" s="17" t="s">
        <v>256</v>
      </c>
      <c r="M872" s="17">
        <v>0.224479258058214</v>
      </c>
      <c r="N872" s="17">
        <v>0.14117139252194799</v>
      </c>
      <c r="O872" s="17">
        <v>0.17230816177528499</v>
      </c>
    </row>
    <row r="873" spans="2:15" x14ac:dyDescent="0.3">
      <c r="B873" t="s">
        <v>44</v>
      </c>
      <c r="C873" s="17">
        <v>0</v>
      </c>
      <c r="D873" s="17">
        <v>0</v>
      </c>
      <c r="E873" s="17">
        <v>0</v>
      </c>
      <c r="F873" s="17"/>
      <c r="G873" s="17">
        <v>0</v>
      </c>
      <c r="H873" s="17">
        <v>0</v>
      </c>
      <c r="I873" s="17">
        <v>0</v>
      </c>
      <c r="J873" s="17">
        <v>0</v>
      </c>
      <c r="K873" s="17"/>
      <c r="L873" s="17" t="s">
        <v>256</v>
      </c>
      <c r="M873" s="17">
        <v>0</v>
      </c>
      <c r="N873" s="17">
        <v>0</v>
      </c>
      <c r="O873" s="17">
        <v>0</v>
      </c>
    </row>
    <row r="874" spans="2:15" x14ac:dyDescent="0.3">
      <c r="B874" t="s">
        <v>107</v>
      </c>
      <c r="C874" s="17">
        <v>7.8562513938738796E-2</v>
      </c>
      <c r="D874" s="17">
        <v>8.5505741014983802E-2</v>
      </c>
      <c r="E874" s="17">
        <v>7.1915941911209105E-2</v>
      </c>
      <c r="F874" s="17"/>
      <c r="G874" s="17">
        <v>4.347599184809E-2</v>
      </c>
      <c r="H874" s="17">
        <v>0.101222649091134</v>
      </c>
      <c r="I874" s="17">
        <v>6.19736017116847E-2</v>
      </c>
      <c r="J874" s="17">
        <v>0.116173555122133</v>
      </c>
      <c r="K874" s="17"/>
      <c r="L874" s="17" t="s">
        <v>256</v>
      </c>
      <c r="M874" s="17">
        <v>5.1210285848338297E-2</v>
      </c>
      <c r="N874" s="17">
        <v>7.9378372143292505E-2</v>
      </c>
      <c r="O874" s="17">
        <v>0.10710303413257</v>
      </c>
    </row>
    <row r="875" spans="2:15" x14ac:dyDescent="0.3">
      <c r="C875" s="17"/>
      <c r="D875" s="17"/>
      <c r="E875" s="17"/>
      <c r="F875" s="17"/>
      <c r="G875" s="17"/>
      <c r="H875" s="17"/>
      <c r="I875" s="17"/>
      <c r="J875" s="17"/>
      <c r="K875" s="17"/>
      <c r="L875" s="17"/>
      <c r="M875" s="17"/>
      <c r="N875" s="17"/>
      <c r="O875" s="17"/>
    </row>
    <row r="876" spans="2:15" x14ac:dyDescent="0.3">
      <c r="B876" s="6" t="s">
        <v>307</v>
      </c>
      <c r="C876" s="17"/>
      <c r="D876" s="17"/>
      <c r="E876" s="17"/>
      <c r="F876" s="17"/>
      <c r="G876" s="17"/>
      <c r="H876" s="17"/>
      <c r="I876" s="17"/>
      <c r="J876" s="17"/>
      <c r="K876" s="17"/>
      <c r="L876" s="17"/>
      <c r="M876" s="17"/>
      <c r="N876" s="17"/>
      <c r="O876" s="17"/>
    </row>
    <row r="877" spans="2:15" x14ac:dyDescent="0.3">
      <c r="B877" s="23" t="s">
        <v>286</v>
      </c>
      <c r="C877" s="17"/>
      <c r="D877" s="17"/>
      <c r="E877" s="17"/>
      <c r="F877" s="17"/>
      <c r="G877" s="17"/>
      <c r="H877" s="17"/>
      <c r="I877" s="17"/>
      <c r="J877" s="17"/>
      <c r="K877" s="17"/>
      <c r="L877" s="17"/>
      <c r="M877" s="17"/>
      <c r="N877" s="17"/>
      <c r="O877" s="17"/>
    </row>
    <row r="878" spans="2:15" x14ac:dyDescent="0.3">
      <c r="B878" t="s">
        <v>58</v>
      </c>
      <c r="C878" s="17">
        <v>1.1122667998568401E-2</v>
      </c>
      <c r="D878" s="17">
        <v>1.1978831978909799E-2</v>
      </c>
      <c r="E878" s="17">
        <v>1.0317358771633801E-2</v>
      </c>
      <c r="F878" s="17"/>
      <c r="G878" s="17">
        <v>7.4523752811353596E-3</v>
      </c>
      <c r="H878" s="17">
        <v>6.89839989140195E-3</v>
      </c>
      <c r="I878" s="17">
        <v>0</v>
      </c>
      <c r="J878" s="17">
        <v>3.2174496152573798E-2</v>
      </c>
      <c r="K878" s="17"/>
      <c r="L878" s="17" t="s">
        <v>256</v>
      </c>
      <c r="M878" s="17">
        <v>0</v>
      </c>
      <c r="N878" s="17">
        <v>2.08642959788909E-2</v>
      </c>
      <c r="O878" s="17">
        <v>1.2534532048648701E-2</v>
      </c>
    </row>
    <row r="879" spans="2:15" x14ac:dyDescent="0.3">
      <c r="B879" t="s">
        <v>59</v>
      </c>
      <c r="C879" s="17">
        <v>1.2268154960561099E-2</v>
      </c>
      <c r="D879" s="17">
        <v>1.33882525405974E-2</v>
      </c>
      <c r="E879" s="17">
        <v>1.11918790168081E-2</v>
      </c>
      <c r="F879" s="17"/>
      <c r="G879" s="17">
        <v>1.6260159727760799E-2</v>
      </c>
      <c r="H879" s="17">
        <v>1.8521084875447801E-2</v>
      </c>
      <c r="I879" s="17">
        <v>0</v>
      </c>
      <c r="J879" s="17">
        <v>1.2125785964322301E-2</v>
      </c>
      <c r="K879" s="17"/>
      <c r="L879" s="17" t="s">
        <v>256</v>
      </c>
      <c r="M879" s="17">
        <v>2.3898382049683999E-2</v>
      </c>
      <c r="N879" s="17">
        <v>0</v>
      </c>
      <c r="O879" s="17">
        <v>1.30473512689305E-2</v>
      </c>
    </row>
    <row r="880" spans="2:15" x14ac:dyDescent="0.3">
      <c r="B880" t="s">
        <v>60</v>
      </c>
      <c r="C880" s="17">
        <v>3.5884043862085498E-2</v>
      </c>
      <c r="D880" s="17">
        <v>4.1823040738347902E-2</v>
      </c>
      <c r="E880" s="17">
        <v>2.9887328174432098E-2</v>
      </c>
      <c r="F880" s="17"/>
      <c r="G880" s="17">
        <v>4.7814777636214903E-2</v>
      </c>
      <c r="H880" s="17">
        <v>3.9064845761990603E-2</v>
      </c>
      <c r="I880" s="17">
        <v>1.02318187166944E-2</v>
      </c>
      <c r="J880" s="17">
        <v>4.2463484873814801E-2</v>
      </c>
      <c r="K880" s="17"/>
      <c r="L880" s="17" t="s">
        <v>256</v>
      </c>
      <c r="M880" s="17">
        <v>3.8952919223113898E-2</v>
      </c>
      <c r="N880" s="17">
        <v>6.5960361963688693E-2</v>
      </c>
      <c r="O880" s="17">
        <v>0</v>
      </c>
    </row>
    <row r="881" spans="2:15" x14ac:dyDescent="0.3">
      <c r="B881" t="s">
        <v>61</v>
      </c>
      <c r="C881" s="17">
        <v>9.4709025577801503E-2</v>
      </c>
      <c r="D881" s="17">
        <v>9.1233325083802705E-2</v>
      </c>
      <c r="E881" s="17">
        <v>9.9369360418718397E-2</v>
      </c>
      <c r="F881" s="17"/>
      <c r="G881" s="17">
        <v>9.1700840169392797E-2</v>
      </c>
      <c r="H881" s="17">
        <v>8.1555687952424294E-2</v>
      </c>
      <c r="I881" s="17">
        <v>0.124464035068684</v>
      </c>
      <c r="J881" s="17">
        <v>7.4414978894719402E-2</v>
      </c>
      <c r="K881" s="17"/>
      <c r="L881" s="17" t="s">
        <v>256</v>
      </c>
      <c r="M881" s="17">
        <v>7.4417165073834099E-2</v>
      </c>
      <c r="N881" s="17">
        <v>8.6578372651334307E-2</v>
      </c>
      <c r="O881" s="17">
        <v>0.12534635557816601</v>
      </c>
    </row>
    <row r="882" spans="2:15" x14ac:dyDescent="0.3">
      <c r="B882" t="s">
        <v>62</v>
      </c>
      <c r="C882" s="17">
        <v>0.18413257203186301</v>
      </c>
      <c r="D882" s="17">
        <v>0.22168072194066299</v>
      </c>
      <c r="E882" s="17">
        <v>0.14177949255532901</v>
      </c>
      <c r="F882" s="17"/>
      <c r="G882" s="17">
        <v>0.20726412194206101</v>
      </c>
      <c r="H882" s="17">
        <v>0.149871509756204</v>
      </c>
      <c r="I882" s="17">
        <v>0.24398024590515499</v>
      </c>
      <c r="J882" s="17">
        <v>0.13535110717170501</v>
      </c>
      <c r="K882" s="17"/>
      <c r="L882" s="17" t="s">
        <v>256</v>
      </c>
      <c r="M882" s="17">
        <v>0.21121601738718601</v>
      </c>
      <c r="N882" s="17">
        <v>0.20406638055545401</v>
      </c>
      <c r="O882" s="17">
        <v>0.13340239127936601</v>
      </c>
    </row>
    <row r="883" spans="2:15" x14ac:dyDescent="0.3">
      <c r="B883" t="s">
        <v>302</v>
      </c>
      <c r="C883" s="17">
        <v>0.247868225580584</v>
      </c>
      <c r="D883" s="17">
        <v>0.27222504799487202</v>
      </c>
      <c r="E883" s="17">
        <v>0.22427627507952899</v>
      </c>
      <c r="F883" s="17"/>
      <c r="G883" s="17">
        <v>0.33080832777183</v>
      </c>
      <c r="H883" s="17">
        <v>0.19580061798928799</v>
      </c>
      <c r="I883" s="17">
        <v>0.19652357785285501</v>
      </c>
      <c r="J883" s="17">
        <v>0.25266471534575202</v>
      </c>
      <c r="K883" s="17"/>
      <c r="L883" s="17" t="s">
        <v>256</v>
      </c>
      <c r="M883" s="17">
        <v>0.216373150147492</v>
      </c>
      <c r="N883" s="17">
        <v>0.26060907358447</v>
      </c>
      <c r="O883" s="17">
        <v>0.26794670623924699</v>
      </c>
    </row>
    <row r="884" spans="2:15" x14ac:dyDescent="0.3">
      <c r="B884" t="s">
        <v>303</v>
      </c>
      <c r="C884" s="17">
        <v>0.16559428954041899</v>
      </c>
      <c r="D884" s="17">
        <v>0.15928383028529</v>
      </c>
      <c r="E884" s="17">
        <v>0.173992318139819</v>
      </c>
      <c r="F884" s="17"/>
      <c r="G884" s="17">
        <v>0.151182146709788</v>
      </c>
      <c r="H884" s="17">
        <v>0.19482138320165901</v>
      </c>
      <c r="I884" s="17">
        <v>0.19683075891648399</v>
      </c>
      <c r="J884" s="17">
        <v>0.121155119941126</v>
      </c>
      <c r="K884" s="17"/>
      <c r="L884" s="17" t="s">
        <v>256</v>
      </c>
      <c r="M884" s="17">
        <v>0.178563231346336</v>
      </c>
      <c r="N884" s="17">
        <v>0.178179063680694</v>
      </c>
      <c r="O884" s="17">
        <v>0.13800934682451199</v>
      </c>
    </row>
    <row r="885" spans="2:15" x14ac:dyDescent="0.3">
      <c r="B885" t="s">
        <v>304</v>
      </c>
      <c r="C885" s="17">
        <v>4.7664646171409003E-2</v>
      </c>
      <c r="D885" s="17">
        <v>3.3453537144182498E-2</v>
      </c>
      <c r="E885" s="17">
        <v>6.3341962645396599E-2</v>
      </c>
      <c r="F885" s="17"/>
      <c r="G885" s="17">
        <v>6.4215471038318997E-2</v>
      </c>
      <c r="H885" s="17">
        <v>5.7346896724110502E-2</v>
      </c>
      <c r="I885" s="17">
        <v>2.2843920373346999E-2</v>
      </c>
      <c r="J885" s="17">
        <v>3.9844425278725101E-2</v>
      </c>
      <c r="K885" s="17"/>
      <c r="L885" s="17" t="s">
        <v>256</v>
      </c>
      <c r="M885" s="17">
        <v>5.8798292953313298E-2</v>
      </c>
      <c r="N885" s="17">
        <v>2.3182829651851301E-2</v>
      </c>
      <c r="O885" s="17">
        <v>6.2209509196153999E-2</v>
      </c>
    </row>
    <row r="886" spans="2:15" x14ac:dyDescent="0.3">
      <c r="B886" t="s">
        <v>305</v>
      </c>
      <c r="C886" s="17">
        <v>4.4089225304379698E-2</v>
      </c>
      <c r="D886" s="17">
        <v>2.4816557040050601E-2</v>
      </c>
      <c r="E886" s="17">
        <v>6.5145906347470403E-2</v>
      </c>
      <c r="F886" s="17"/>
      <c r="G886" s="17">
        <v>2.9822396163228699E-2</v>
      </c>
      <c r="H886" s="17">
        <v>7.1026510453843894E-2</v>
      </c>
      <c r="I886" s="17">
        <v>2.31721705668924E-2</v>
      </c>
      <c r="J886" s="17">
        <v>5.3086306697079998E-2</v>
      </c>
      <c r="K886" s="17"/>
      <c r="L886" s="17" t="s">
        <v>256</v>
      </c>
      <c r="M886" s="17">
        <v>5.1639425587715698E-2</v>
      </c>
      <c r="N886" s="17">
        <v>1.8996839592035498E-2</v>
      </c>
      <c r="O886" s="17">
        <v>6.3150458006133503E-2</v>
      </c>
    </row>
    <row r="887" spans="2:15" x14ac:dyDescent="0.3">
      <c r="B887" t="s">
        <v>306</v>
      </c>
      <c r="C887" s="17">
        <v>9.5123268732529603E-2</v>
      </c>
      <c r="D887" s="17">
        <v>7.5467854441586102E-2</v>
      </c>
      <c r="E887" s="17">
        <v>0.11116588175365601</v>
      </c>
      <c r="F887" s="17"/>
      <c r="G887" s="17">
        <v>2.9936723275521399E-2</v>
      </c>
      <c r="H887" s="17">
        <v>0.12871961959414199</v>
      </c>
      <c r="I887" s="17">
        <v>0.102363464230674</v>
      </c>
      <c r="J887" s="17">
        <v>0.13620169545251801</v>
      </c>
      <c r="K887" s="17"/>
      <c r="L887" s="17" t="s">
        <v>256</v>
      </c>
      <c r="M887" s="17">
        <v>9.3654682626536895E-2</v>
      </c>
      <c r="N887" s="17">
        <v>8.4990376885030194E-2</v>
      </c>
      <c r="O887" s="17">
        <v>0.10768041086316101</v>
      </c>
    </row>
    <row r="888" spans="2:15" x14ac:dyDescent="0.3">
      <c r="B888" t="s">
        <v>66</v>
      </c>
      <c r="C888" s="17">
        <v>6.1543880239799703E-2</v>
      </c>
      <c r="D888" s="17">
        <v>5.4649000811698503E-2</v>
      </c>
      <c r="E888" s="17">
        <v>6.9532237097208002E-2</v>
      </c>
      <c r="F888" s="17"/>
      <c r="G888" s="17">
        <v>2.3542660284747101E-2</v>
      </c>
      <c r="H888" s="17">
        <v>5.6373443799487999E-2</v>
      </c>
      <c r="I888" s="17">
        <v>7.9590008369214704E-2</v>
      </c>
      <c r="J888" s="17">
        <v>0.100517884227664</v>
      </c>
      <c r="K888" s="17"/>
      <c r="L888" s="17" t="s">
        <v>256</v>
      </c>
      <c r="M888" s="17">
        <v>5.2486733604788303E-2</v>
      </c>
      <c r="N888" s="17">
        <v>5.6572405456550998E-2</v>
      </c>
      <c r="O888" s="17">
        <v>7.6672938695679996E-2</v>
      </c>
    </row>
    <row r="889" spans="2:15" x14ac:dyDescent="0.3">
      <c r="C889" s="17"/>
      <c r="D889" s="17"/>
      <c r="E889" s="17"/>
      <c r="F889" s="17"/>
      <c r="G889" s="17"/>
      <c r="H889" s="17"/>
      <c r="I889" s="17"/>
      <c r="J889" s="17"/>
      <c r="K889" s="17"/>
      <c r="L889" s="17"/>
      <c r="M889" s="17"/>
      <c r="N889" s="17"/>
      <c r="O889" s="17"/>
    </row>
    <row r="890" spans="2:15" x14ac:dyDescent="0.3">
      <c r="B890" s="6" t="s">
        <v>308</v>
      </c>
      <c r="C890" s="17"/>
      <c r="D890" s="17"/>
      <c r="E890" s="17"/>
      <c r="F890" s="17"/>
      <c r="G890" s="17"/>
      <c r="H890" s="17"/>
      <c r="I890" s="17"/>
      <c r="J890" s="17"/>
      <c r="K890" s="17"/>
      <c r="L890" s="17"/>
      <c r="M890" s="17"/>
      <c r="N890" s="17"/>
      <c r="O890" s="17"/>
    </row>
    <row r="891" spans="2:15" x14ac:dyDescent="0.3">
      <c r="B891" s="23" t="s">
        <v>286</v>
      </c>
      <c r="C891" s="17"/>
      <c r="D891" s="17"/>
      <c r="E891" s="17"/>
      <c r="F891" s="17"/>
      <c r="G891" s="17"/>
      <c r="H891" s="17"/>
      <c r="I891" s="17"/>
      <c r="J891" s="17"/>
      <c r="K891" s="17"/>
      <c r="L891" s="17"/>
      <c r="M891" s="17"/>
      <c r="N891" s="17"/>
      <c r="O891" s="17"/>
    </row>
    <row r="892" spans="2:15" x14ac:dyDescent="0.3">
      <c r="B892" t="s">
        <v>58</v>
      </c>
      <c r="C892" s="17">
        <v>5.7529769056550197E-3</v>
      </c>
      <c r="D892" s="17">
        <v>5.0069340538869698E-3</v>
      </c>
      <c r="E892" s="17">
        <v>6.6083233512514404E-3</v>
      </c>
      <c r="F892" s="17"/>
      <c r="G892" s="17">
        <v>8.7480825172914604E-3</v>
      </c>
      <c r="H892" s="17">
        <v>0</v>
      </c>
      <c r="I892" s="17">
        <v>0</v>
      </c>
      <c r="J892" s="17">
        <v>1.43078636634254E-2</v>
      </c>
      <c r="K892" s="17"/>
      <c r="L892" s="17" t="s">
        <v>256</v>
      </c>
      <c r="M892" s="17">
        <v>0</v>
      </c>
      <c r="N892" s="17">
        <v>1.25722759222275E-2</v>
      </c>
      <c r="O892" s="17">
        <v>4.5542114604515804E-3</v>
      </c>
    </row>
    <row r="893" spans="2:15" x14ac:dyDescent="0.3">
      <c r="B893" t="s">
        <v>59</v>
      </c>
      <c r="C893" s="17">
        <v>6.5759054720208399E-3</v>
      </c>
      <c r="D893" s="17">
        <v>4.0818076937814999E-3</v>
      </c>
      <c r="E893" s="17">
        <v>9.3095301151385097E-3</v>
      </c>
      <c r="F893" s="17"/>
      <c r="G893" s="17">
        <v>0</v>
      </c>
      <c r="H893" s="17">
        <v>1.50201219599954E-2</v>
      </c>
      <c r="I893" s="17">
        <v>0</v>
      </c>
      <c r="J893" s="17">
        <v>1.2125785964322301E-2</v>
      </c>
      <c r="K893" s="17"/>
      <c r="L893" s="17" t="s">
        <v>256</v>
      </c>
      <c r="M893" s="17">
        <v>1.4073777844692799E-2</v>
      </c>
      <c r="N893" s="17">
        <v>5.2005323628413697E-3</v>
      </c>
      <c r="O893" s="17">
        <v>0</v>
      </c>
    </row>
    <row r="894" spans="2:15" x14ac:dyDescent="0.3">
      <c r="B894" t="s">
        <v>60</v>
      </c>
      <c r="C894" s="17">
        <v>5.6868172706655201E-2</v>
      </c>
      <c r="D894" s="17">
        <v>5.5546388017603997E-2</v>
      </c>
      <c r="E894" s="17">
        <v>5.8847850963548103E-2</v>
      </c>
      <c r="F894" s="17"/>
      <c r="G894" s="17">
        <v>7.8432215203625505E-2</v>
      </c>
      <c r="H894" s="17">
        <v>5.7744940141894199E-2</v>
      </c>
      <c r="I894" s="17">
        <v>3.2896620757343203E-2</v>
      </c>
      <c r="J894" s="17">
        <v>5.1900626582508803E-2</v>
      </c>
      <c r="K894" s="17"/>
      <c r="L894" s="17" t="s">
        <v>256</v>
      </c>
      <c r="M894" s="17">
        <v>6.2477027804838103E-2</v>
      </c>
      <c r="N894" s="17">
        <v>6.7542464566743302E-2</v>
      </c>
      <c r="O894" s="17">
        <v>3.92705881616962E-2</v>
      </c>
    </row>
    <row r="895" spans="2:15" x14ac:dyDescent="0.3">
      <c r="B895" t="s">
        <v>61</v>
      </c>
      <c r="C895" s="17">
        <v>0.115453951260827</v>
      </c>
      <c r="D895" s="17">
        <v>0.11705267268231399</v>
      </c>
      <c r="E895" s="17">
        <v>0.11489192993489</v>
      </c>
      <c r="F895" s="17"/>
      <c r="G895" s="17">
        <v>0.136908769041787</v>
      </c>
      <c r="H895" s="17">
        <v>0.105763829286145</v>
      </c>
      <c r="I895" s="17">
        <v>0.113527530915509</v>
      </c>
      <c r="J895" s="17">
        <v>9.0676162756776896E-2</v>
      </c>
      <c r="K895" s="17"/>
      <c r="L895" s="17" t="s">
        <v>256</v>
      </c>
      <c r="M895" s="17">
        <v>0.101470563067658</v>
      </c>
      <c r="N895" s="17">
        <v>0.15466993840267401</v>
      </c>
      <c r="O895" s="17">
        <v>8.8012700974055003E-2</v>
      </c>
    </row>
    <row r="896" spans="2:15" x14ac:dyDescent="0.3">
      <c r="B896" t="s">
        <v>62</v>
      </c>
      <c r="C896" s="17">
        <v>0.20572155696216199</v>
      </c>
      <c r="D896" s="17">
        <v>0.22657842949909099</v>
      </c>
      <c r="E896" s="17">
        <v>0.18545470750088899</v>
      </c>
      <c r="F896" s="17"/>
      <c r="G896" s="17">
        <v>0.26249392572055502</v>
      </c>
      <c r="H896" s="17">
        <v>0.17834240942968499</v>
      </c>
      <c r="I896" s="17">
        <v>0.19871785912862899</v>
      </c>
      <c r="J896" s="17">
        <v>0.171570096308926</v>
      </c>
      <c r="K896" s="17"/>
      <c r="L896" s="17" t="s">
        <v>256</v>
      </c>
      <c r="M896" s="17">
        <v>0.20993288359516801</v>
      </c>
      <c r="N896" s="17">
        <v>0.20065482393081199</v>
      </c>
      <c r="O896" s="17">
        <v>0.20668015121668001</v>
      </c>
    </row>
    <row r="897" spans="2:15" x14ac:dyDescent="0.3">
      <c r="B897" t="s">
        <v>302</v>
      </c>
      <c r="C897" s="17">
        <v>0.243770750490198</v>
      </c>
      <c r="D897" s="17">
        <v>0.24559772578632599</v>
      </c>
      <c r="E897" s="17">
        <v>0.23429471908360699</v>
      </c>
      <c r="F897" s="17"/>
      <c r="G897" s="17">
        <v>0.235289497070231</v>
      </c>
      <c r="H897" s="17">
        <v>0.21860159446696001</v>
      </c>
      <c r="I897" s="17">
        <v>0.24170485871904199</v>
      </c>
      <c r="J897" s="17">
        <v>0.28901577871067602</v>
      </c>
      <c r="K897" s="17"/>
      <c r="L897" s="17" t="s">
        <v>256</v>
      </c>
      <c r="M897" s="17">
        <v>0.188912215204011</v>
      </c>
      <c r="N897" s="17">
        <v>0.25052051896807498</v>
      </c>
      <c r="O897" s="17">
        <v>0.29547298623491303</v>
      </c>
    </row>
    <row r="898" spans="2:15" x14ac:dyDescent="0.3">
      <c r="B898" t="s">
        <v>303</v>
      </c>
      <c r="C898" s="17">
        <v>0.15672645921035799</v>
      </c>
      <c r="D898" s="17">
        <v>0.15231494737528301</v>
      </c>
      <c r="E898" s="17">
        <v>0.163004767594395</v>
      </c>
      <c r="F898" s="17"/>
      <c r="G898" s="17">
        <v>0.149698690229774</v>
      </c>
      <c r="H898" s="17">
        <v>0.19239077581251601</v>
      </c>
      <c r="I898" s="17">
        <v>0.200336051467423</v>
      </c>
      <c r="J898" s="17">
        <v>8.2506483852787194E-2</v>
      </c>
      <c r="K898" s="17"/>
      <c r="L898" s="17" t="s">
        <v>256</v>
      </c>
      <c r="M898" s="17">
        <v>0.17275209025791899</v>
      </c>
      <c r="N898" s="17">
        <v>0.15395221210825999</v>
      </c>
      <c r="O898" s="17">
        <v>0.142492199565253</v>
      </c>
    </row>
    <row r="899" spans="2:15" x14ac:dyDescent="0.3">
      <c r="B899" t="s">
        <v>304</v>
      </c>
      <c r="C899" s="17">
        <v>5.6919918004592097E-2</v>
      </c>
      <c r="D899" s="17">
        <v>4.0380540862537603E-2</v>
      </c>
      <c r="E899" s="17">
        <v>7.5180101420079595E-2</v>
      </c>
      <c r="F899" s="17"/>
      <c r="G899" s="17">
        <v>4.7681376596743603E-2</v>
      </c>
      <c r="H899" s="17">
        <v>7.2325051764648499E-2</v>
      </c>
      <c r="I899" s="17">
        <v>4.5587091463677502E-2</v>
      </c>
      <c r="J899" s="17">
        <v>6.32076665465965E-2</v>
      </c>
      <c r="K899" s="17"/>
      <c r="L899" s="17" t="s">
        <v>256</v>
      </c>
      <c r="M899" s="17">
        <v>7.4117119526379199E-2</v>
      </c>
      <c r="N899" s="17">
        <v>3.6125860557254703E-2</v>
      </c>
      <c r="O899" s="17">
        <v>6.0946793753648899E-2</v>
      </c>
    </row>
    <row r="900" spans="2:15" x14ac:dyDescent="0.3">
      <c r="B900" t="s">
        <v>305</v>
      </c>
      <c r="C900" s="17">
        <v>3.7277948249713803E-2</v>
      </c>
      <c r="D900" s="17">
        <v>4.2873257343652001E-2</v>
      </c>
      <c r="E900" s="17">
        <v>3.1662778365150399E-2</v>
      </c>
      <c r="F900" s="17"/>
      <c r="G900" s="17">
        <v>3.3467074049595202E-2</v>
      </c>
      <c r="H900" s="17">
        <v>2.9519321450009701E-2</v>
      </c>
      <c r="I900" s="17">
        <v>3.5959036157616101E-2</v>
      </c>
      <c r="J900" s="17">
        <v>5.3086306697079998E-2</v>
      </c>
      <c r="K900" s="17"/>
      <c r="L900" s="17" t="s">
        <v>256</v>
      </c>
      <c r="M900" s="17">
        <v>5.7424638669615502E-2</v>
      </c>
      <c r="N900" s="17">
        <v>1.0782672045124101E-2</v>
      </c>
      <c r="O900" s="17">
        <v>4.4308209292367402E-2</v>
      </c>
    </row>
    <row r="901" spans="2:15" x14ac:dyDescent="0.3">
      <c r="B901" t="s">
        <v>306</v>
      </c>
      <c r="C901" s="17">
        <v>6.1538117470917301E-2</v>
      </c>
      <c r="D901" s="17">
        <v>6.1433923037126401E-2</v>
      </c>
      <c r="E901" s="17">
        <v>6.22616484541028E-2</v>
      </c>
      <c r="F901" s="17"/>
      <c r="G901" s="17">
        <v>1.4529102549560901E-2</v>
      </c>
      <c r="H901" s="17">
        <v>9.5727701982041696E-2</v>
      </c>
      <c r="I901" s="17">
        <v>5.1680943021546299E-2</v>
      </c>
      <c r="J901" s="17">
        <v>9.4602300821161694E-2</v>
      </c>
      <c r="K901" s="17"/>
      <c r="L901" s="17" t="s">
        <v>256</v>
      </c>
      <c r="M901" s="17">
        <v>5.1050501306531403E-2</v>
      </c>
      <c r="N901" s="17">
        <v>6.3668709958349404E-2</v>
      </c>
      <c r="O901" s="17">
        <v>7.0512108150008093E-2</v>
      </c>
    </row>
    <row r="902" spans="2:15" x14ac:dyDescent="0.3">
      <c r="B902" t="s">
        <v>66</v>
      </c>
      <c r="C902" s="17">
        <v>5.3394243266900003E-2</v>
      </c>
      <c r="D902" s="17">
        <v>4.91333736483981E-2</v>
      </c>
      <c r="E902" s="17">
        <v>5.8483643216947198E-2</v>
      </c>
      <c r="F902" s="17"/>
      <c r="G902" s="17">
        <v>3.2751267020836097E-2</v>
      </c>
      <c r="H902" s="17">
        <v>3.4564253706104102E-2</v>
      </c>
      <c r="I902" s="17">
        <v>7.9590008369214704E-2</v>
      </c>
      <c r="J902" s="17">
        <v>7.7000928095739093E-2</v>
      </c>
      <c r="K902" s="17"/>
      <c r="L902" s="17" t="s">
        <v>256</v>
      </c>
      <c r="M902" s="17">
        <v>6.7789182723187999E-2</v>
      </c>
      <c r="N902" s="17">
        <v>4.43099911776383E-2</v>
      </c>
      <c r="O902" s="17">
        <v>4.77500511909267E-2</v>
      </c>
    </row>
    <row r="903" spans="2:15" x14ac:dyDescent="0.3">
      <c r="C903" s="17"/>
      <c r="D903" s="17"/>
      <c r="E903" s="17"/>
      <c r="F903" s="17"/>
      <c r="G903" s="17"/>
      <c r="H903" s="17"/>
      <c r="I903" s="17"/>
      <c r="J903" s="17"/>
      <c r="K903" s="17"/>
      <c r="L903" s="17"/>
      <c r="M903" s="17"/>
      <c r="N903" s="17"/>
      <c r="O903" s="17"/>
    </row>
    <row r="904" spans="2:15" x14ac:dyDescent="0.3">
      <c r="B904" s="6" t="s">
        <v>315</v>
      </c>
      <c r="C904" s="17"/>
      <c r="D904" s="17"/>
      <c r="E904" s="17"/>
      <c r="F904" s="17"/>
      <c r="G904" s="17"/>
      <c r="H904" s="17"/>
      <c r="I904" s="17"/>
      <c r="J904" s="17"/>
      <c r="K904" s="17"/>
      <c r="L904" s="17"/>
      <c r="M904" s="17"/>
      <c r="N904" s="17"/>
      <c r="O904" s="17"/>
    </row>
    <row r="905" spans="2:15" x14ac:dyDescent="0.3">
      <c r="B905" s="23" t="s">
        <v>46</v>
      </c>
      <c r="C905" s="17"/>
      <c r="D905" s="17"/>
      <c r="E905" s="17"/>
      <c r="F905" s="17"/>
      <c r="G905" s="17"/>
      <c r="H905" s="17"/>
      <c r="I905" s="17"/>
      <c r="J905" s="17"/>
      <c r="K905" s="17"/>
      <c r="L905" s="17"/>
      <c r="M905" s="17"/>
      <c r="N905" s="17"/>
      <c r="O905" s="17"/>
    </row>
    <row r="906" spans="2:15" x14ac:dyDescent="0.3">
      <c r="B906" t="s">
        <v>309</v>
      </c>
      <c r="C906" s="17">
        <v>0.19181150634538099</v>
      </c>
      <c r="D906" s="17">
        <v>0.204550748818801</v>
      </c>
      <c r="E906" s="17">
        <v>0.18048454323341401</v>
      </c>
      <c r="F906" s="17"/>
      <c r="G906" s="17">
        <v>0.13751972329110501</v>
      </c>
      <c r="H906" s="17">
        <v>0.19388837942279399</v>
      </c>
      <c r="I906" s="17">
        <v>0.26003456069590902</v>
      </c>
      <c r="J906" s="17">
        <v>0.19937968951582799</v>
      </c>
      <c r="K906" s="17"/>
      <c r="L906" s="17">
        <v>0.228572568651771</v>
      </c>
      <c r="M906" s="17">
        <v>0.21965037873416601</v>
      </c>
      <c r="N906" s="17">
        <v>0.169550697635554</v>
      </c>
      <c r="O906" s="17">
        <v>0.14921844226851999</v>
      </c>
    </row>
    <row r="907" spans="2:15" x14ac:dyDescent="0.3">
      <c r="B907" t="s">
        <v>310</v>
      </c>
      <c r="C907" s="17">
        <v>0.23333329829924501</v>
      </c>
      <c r="D907" s="17">
        <v>0.29329393355298</v>
      </c>
      <c r="E907" s="17">
        <v>0.17514125616479101</v>
      </c>
      <c r="F907" s="17"/>
      <c r="G907" s="17">
        <v>0.30566549421544598</v>
      </c>
      <c r="H907" s="17">
        <v>0.190334645490953</v>
      </c>
      <c r="I907" s="17">
        <v>0.19427565748025999</v>
      </c>
      <c r="J907" s="17">
        <v>0.225485029856551</v>
      </c>
      <c r="K907" s="17"/>
      <c r="L907" s="17">
        <v>0.25415456214364002</v>
      </c>
      <c r="M907" s="17">
        <v>0.280679273163081</v>
      </c>
      <c r="N907" s="17">
        <v>0.236159603295517</v>
      </c>
      <c r="O907" s="17">
        <v>0.158517412900824</v>
      </c>
    </row>
    <row r="908" spans="2:15" x14ac:dyDescent="0.3">
      <c r="B908" t="s">
        <v>311</v>
      </c>
      <c r="C908" s="17">
        <v>0.157766674880536</v>
      </c>
      <c r="D908" s="17">
        <v>0.163831287047047</v>
      </c>
      <c r="E908" s="17">
        <v>0.149916986414592</v>
      </c>
      <c r="F908" s="17"/>
      <c r="G908" s="17">
        <v>0.18700274722410201</v>
      </c>
      <c r="H908" s="17">
        <v>0.13560546217022901</v>
      </c>
      <c r="I908" s="17">
        <v>0.13018779582925599</v>
      </c>
      <c r="J908" s="17">
        <v>0.17128587120136299</v>
      </c>
      <c r="K908" s="17"/>
      <c r="L908" s="17">
        <v>0.16492503363615901</v>
      </c>
      <c r="M908" s="17">
        <v>0.196085033045267</v>
      </c>
      <c r="N908" s="17">
        <v>0.18075062224438199</v>
      </c>
      <c r="O908" s="17">
        <v>8.4487775727777395E-2</v>
      </c>
    </row>
    <row r="909" spans="2:15" x14ac:dyDescent="0.3">
      <c r="B909" t="s">
        <v>312</v>
      </c>
      <c r="C909" s="17">
        <v>0.13058656842630101</v>
      </c>
      <c r="D909" s="17">
        <v>0.120341143598388</v>
      </c>
      <c r="E909" s="17">
        <v>0.14177195543903101</v>
      </c>
      <c r="F909" s="17"/>
      <c r="G909" s="17">
        <v>0.16970112337718901</v>
      </c>
      <c r="H909" s="17">
        <v>0.13045587682759399</v>
      </c>
      <c r="I909" s="17">
        <v>7.36385963668999E-2</v>
      </c>
      <c r="J909" s="17">
        <v>0.124899495596733</v>
      </c>
      <c r="K909" s="17"/>
      <c r="L909" s="17">
        <v>0.12077616031616401</v>
      </c>
      <c r="M909" s="17">
        <v>8.3559623889823395E-2</v>
      </c>
      <c r="N909" s="17">
        <v>0.144603845209829</v>
      </c>
      <c r="O909" s="17">
        <v>0.17580118520412899</v>
      </c>
    </row>
    <row r="910" spans="2:15" x14ac:dyDescent="0.3">
      <c r="B910" t="s">
        <v>313</v>
      </c>
      <c r="C910" s="17">
        <v>7.3543745359796006E-2</v>
      </c>
      <c r="D910" s="17">
        <v>4.46848984306394E-2</v>
      </c>
      <c r="E910" s="17">
        <v>0.102905687541696</v>
      </c>
      <c r="F910" s="17"/>
      <c r="G910" s="17">
        <v>5.9320418619408302E-2</v>
      </c>
      <c r="H910" s="17">
        <v>0.10726752026632499</v>
      </c>
      <c r="I910" s="17">
        <v>9.3420498110109898E-2</v>
      </c>
      <c r="J910" s="17">
        <v>3.6225307841461399E-2</v>
      </c>
      <c r="K910" s="17"/>
      <c r="L910" s="17">
        <v>6.2419820314353301E-2</v>
      </c>
      <c r="M910" s="17">
        <v>5.0098387706862701E-2</v>
      </c>
      <c r="N910" s="17">
        <v>8.2265283330966096E-2</v>
      </c>
      <c r="O910" s="17">
        <v>0.100440858714627</v>
      </c>
    </row>
    <row r="911" spans="2:15" x14ac:dyDescent="0.3">
      <c r="B911" t="s">
        <v>314</v>
      </c>
      <c r="C911" s="17">
        <v>0.182706376809747</v>
      </c>
      <c r="D911" s="17">
        <v>0.153837165018855</v>
      </c>
      <c r="E911" s="17">
        <v>0.20852856057190799</v>
      </c>
      <c r="F911" s="17"/>
      <c r="G911" s="17">
        <v>0.121713953523576</v>
      </c>
      <c r="H911" s="17">
        <v>0.213140142983229</v>
      </c>
      <c r="I911" s="17">
        <v>0.22518268324842799</v>
      </c>
      <c r="J911" s="17">
        <v>0.19023596525603501</v>
      </c>
      <c r="K911" s="17"/>
      <c r="L911" s="17">
        <v>0.13067628951323301</v>
      </c>
      <c r="M911" s="17">
        <v>0.145087439245419</v>
      </c>
      <c r="N911" s="17">
        <v>0.157915846001808</v>
      </c>
      <c r="O911" s="17">
        <v>0.30206172955830302</v>
      </c>
    </row>
    <row r="912" spans="2:15" x14ac:dyDescent="0.3">
      <c r="B912" t="s">
        <v>107</v>
      </c>
      <c r="C912" s="17">
        <v>3.0251829878994298E-2</v>
      </c>
      <c r="D912" s="17">
        <v>1.9460823533290001E-2</v>
      </c>
      <c r="E912" s="17">
        <v>4.12510106345675E-2</v>
      </c>
      <c r="F912" s="17"/>
      <c r="G912" s="17">
        <v>1.9076539749174001E-2</v>
      </c>
      <c r="H912" s="17">
        <v>2.9307972838875401E-2</v>
      </c>
      <c r="I912" s="17">
        <v>2.32602082691379E-2</v>
      </c>
      <c r="J912" s="17">
        <v>5.24886407320291E-2</v>
      </c>
      <c r="K912" s="17"/>
      <c r="L912" s="17">
        <v>3.8475565424679101E-2</v>
      </c>
      <c r="M912" s="17">
        <v>2.4839864215381299E-2</v>
      </c>
      <c r="N912" s="17">
        <v>2.8754102281943101E-2</v>
      </c>
      <c r="O912" s="17">
        <v>2.9472595625819799E-2</v>
      </c>
    </row>
    <row r="913" spans="2:15" x14ac:dyDescent="0.3">
      <c r="C913" s="17"/>
      <c r="D913" s="17"/>
      <c r="E913" s="17"/>
      <c r="F913" s="17"/>
      <c r="G913" s="17"/>
      <c r="H913" s="17"/>
      <c r="I913" s="17"/>
      <c r="J913" s="17"/>
      <c r="K913" s="17"/>
      <c r="L913" s="17"/>
      <c r="M913" s="17"/>
      <c r="N913" s="17"/>
      <c r="O913" s="17"/>
    </row>
    <row r="914" spans="2:15" x14ac:dyDescent="0.3">
      <c r="B914" s="6" t="s">
        <v>317</v>
      </c>
      <c r="C914" s="17"/>
      <c r="D914" s="17"/>
      <c r="E914" s="17"/>
      <c r="F914" s="17"/>
      <c r="G914" s="17"/>
      <c r="H914" s="17"/>
      <c r="I914" s="17"/>
      <c r="J914" s="17"/>
      <c r="K914" s="17"/>
      <c r="L914" s="17"/>
      <c r="M914" s="17"/>
      <c r="N914" s="17"/>
      <c r="O914" s="17"/>
    </row>
    <row r="915" spans="2:15" x14ac:dyDescent="0.3">
      <c r="B915" s="23" t="s">
        <v>318</v>
      </c>
      <c r="C915" s="17"/>
      <c r="D915" s="17"/>
      <c r="E915" s="17"/>
      <c r="F915" s="17"/>
      <c r="G915" s="17"/>
      <c r="H915" s="17"/>
      <c r="I915" s="17"/>
      <c r="J915" s="17"/>
      <c r="K915" s="17"/>
      <c r="L915" s="17"/>
      <c r="M915" s="17"/>
      <c r="N915" s="17"/>
      <c r="O915" s="17"/>
    </row>
    <row r="916" spans="2:15" x14ac:dyDescent="0.3">
      <c r="B916" t="s">
        <v>195</v>
      </c>
      <c r="C916" s="17">
        <v>0.58219683927221599</v>
      </c>
      <c r="D916" s="17">
        <v>0.77186056588949004</v>
      </c>
      <c r="E916" s="17">
        <v>0.37179733650673202</v>
      </c>
      <c r="F916" s="17"/>
      <c r="G916" s="17">
        <v>0.64288762807115196</v>
      </c>
      <c r="H916" s="17">
        <v>0.50048149918836005</v>
      </c>
      <c r="I916" s="17">
        <v>0.58846247405515895</v>
      </c>
      <c r="J916" s="17">
        <v>0.58577196830328704</v>
      </c>
      <c r="K916" s="17"/>
      <c r="L916" s="17">
        <v>0.51560955117130702</v>
      </c>
      <c r="M916" s="17">
        <v>0.65900268917751703</v>
      </c>
      <c r="N916" s="17">
        <v>0.65312586925262806</v>
      </c>
      <c r="O916" s="17">
        <v>0.46886790857780802</v>
      </c>
    </row>
    <row r="917" spans="2:15" x14ac:dyDescent="0.3">
      <c r="B917" t="s">
        <v>201</v>
      </c>
      <c r="C917" s="17">
        <v>0.204959077246396</v>
      </c>
      <c r="D917" s="17">
        <v>0.13751690556002399</v>
      </c>
      <c r="E917" s="17">
        <v>0.27607469714108102</v>
      </c>
      <c r="F917" s="17"/>
      <c r="G917" s="17">
        <v>0.22890916709512901</v>
      </c>
      <c r="H917" s="17">
        <v>0.27586951122800302</v>
      </c>
      <c r="I917" s="17">
        <v>0.176664121907397</v>
      </c>
      <c r="J917" s="17">
        <v>0.116854924136732</v>
      </c>
      <c r="K917" s="17"/>
      <c r="L917" s="17">
        <v>0.25471705712629999</v>
      </c>
      <c r="M917" s="17">
        <v>0.185627636540494</v>
      </c>
      <c r="N917" s="17">
        <v>0.168970512190704</v>
      </c>
      <c r="O917" s="17">
        <v>0.21637419808491601</v>
      </c>
    </row>
    <row r="918" spans="2:15" x14ac:dyDescent="0.3">
      <c r="B918" t="s">
        <v>196</v>
      </c>
      <c r="C918" s="17">
        <v>0.132689349145897</v>
      </c>
      <c r="D918" s="17">
        <v>0.11635969999859801</v>
      </c>
      <c r="E918" s="17">
        <v>0.15118354069222401</v>
      </c>
      <c r="F918" s="17"/>
      <c r="G918" s="17">
        <v>0.110801873192216</v>
      </c>
      <c r="H918" s="17">
        <v>0.135211595421105</v>
      </c>
      <c r="I918" s="17">
        <v>0.10379615653155901</v>
      </c>
      <c r="J918" s="17">
        <v>0.17923219923404701</v>
      </c>
      <c r="K918" s="17"/>
      <c r="L918" s="17">
        <v>0.18597878304099599</v>
      </c>
      <c r="M918" s="17">
        <v>0.116265480520818</v>
      </c>
      <c r="N918" s="17">
        <v>0.12087290948550999</v>
      </c>
      <c r="O918" s="17">
        <v>0.103969752259632</v>
      </c>
    </row>
    <row r="919" spans="2:15" x14ac:dyDescent="0.3">
      <c r="B919" t="s">
        <v>203</v>
      </c>
      <c r="C919" s="17">
        <v>0.122612626348736</v>
      </c>
      <c r="D919" s="17">
        <v>0.14050424998416</v>
      </c>
      <c r="E919" s="17">
        <v>0.103400239453201</v>
      </c>
      <c r="F919" s="17"/>
      <c r="G919" s="17">
        <v>0.13892572308816201</v>
      </c>
      <c r="H919" s="17">
        <v>0.105005806746218</v>
      </c>
      <c r="I919" s="17">
        <v>7.8375118309479394E-2</v>
      </c>
      <c r="J919" s="17">
        <v>0.15986244990954099</v>
      </c>
      <c r="K919" s="17"/>
      <c r="L919" s="17">
        <v>0.134275342767608</v>
      </c>
      <c r="M919" s="17">
        <v>0.119566921676853</v>
      </c>
      <c r="N919" s="17">
        <v>0.115531569305877</v>
      </c>
      <c r="O919" s="17">
        <v>0.121518942433574</v>
      </c>
    </row>
    <row r="920" spans="2:15" x14ac:dyDescent="0.3">
      <c r="B920" t="s">
        <v>197</v>
      </c>
      <c r="C920" s="17">
        <v>0.121957113527526</v>
      </c>
      <c r="D920" s="17">
        <v>8.6766686339884797E-2</v>
      </c>
      <c r="E920" s="17">
        <v>0.161169122867792</v>
      </c>
      <c r="F920" s="17"/>
      <c r="G920" s="17">
        <v>0.17703687581604099</v>
      </c>
      <c r="H920" s="17">
        <v>8.3274376927375701E-2</v>
      </c>
      <c r="I920" s="17">
        <v>0.140023973058398</v>
      </c>
      <c r="J920" s="17">
        <v>6.9451732414385306E-2</v>
      </c>
      <c r="K920" s="17"/>
      <c r="L920" s="17">
        <v>0.105937143316796</v>
      </c>
      <c r="M920" s="17">
        <v>9.7594857464943702E-2</v>
      </c>
      <c r="N920" s="17">
        <v>0.14439250609279</v>
      </c>
      <c r="O920" s="17">
        <v>0.14484028626713499</v>
      </c>
    </row>
    <row r="921" spans="2:15" x14ac:dyDescent="0.3">
      <c r="B921" t="s">
        <v>210</v>
      </c>
      <c r="C921" s="17">
        <v>0.11336957502836301</v>
      </c>
      <c r="D921" s="17">
        <v>9.6126583340877605E-2</v>
      </c>
      <c r="E921" s="17">
        <v>0.13279332084147699</v>
      </c>
      <c r="F921" s="17"/>
      <c r="G921" s="17">
        <v>9.2616698510046502E-2</v>
      </c>
      <c r="H921" s="17">
        <v>0.128974531863983</v>
      </c>
      <c r="I921" s="17">
        <v>9.78999960794283E-2</v>
      </c>
      <c r="J921" s="17">
        <v>0.14149707678214399</v>
      </c>
      <c r="K921" s="17"/>
      <c r="L921" s="17">
        <v>0.103108329096741</v>
      </c>
      <c r="M921" s="17">
        <v>0.14497184560921</v>
      </c>
      <c r="N921" s="17">
        <v>0.111584832359532</v>
      </c>
      <c r="O921" s="17">
        <v>8.6260657169015403E-2</v>
      </c>
    </row>
    <row r="922" spans="2:15" x14ac:dyDescent="0.3">
      <c r="B922" t="s">
        <v>208</v>
      </c>
      <c r="C922" s="17">
        <v>0.112537241090841</v>
      </c>
      <c r="D922" s="17">
        <v>9.4131721160174292E-3</v>
      </c>
      <c r="E922" s="17">
        <v>0.226486302170361</v>
      </c>
      <c r="F922" s="17"/>
      <c r="G922" s="17">
        <v>0.12931386594674599</v>
      </c>
      <c r="H922" s="17">
        <v>0.15200290452391901</v>
      </c>
      <c r="I922" s="17">
        <v>7.7717706930666597E-2</v>
      </c>
      <c r="J922" s="17">
        <v>7.5669052241058701E-2</v>
      </c>
      <c r="K922" s="17"/>
      <c r="L922" s="17">
        <v>0.15002909611333301</v>
      </c>
      <c r="M922" s="17">
        <v>0.158232542351807</v>
      </c>
      <c r="N922" s="17">
        <v>5.8367068041947398E-2</v>
      </c>
      <c r="O922" s="17">
        <v>7.6298689017550297E-2</v>
      </c>
    </row>
    <row r="923" spans="2:15" x14ac:dyDescent="0.3">
      <c r="B923" t="s">
        <v>205</v>
      </c>
      <c r="C923" s="17">
        <v>7.86567216170974E-2</v>
      </c>
      <c r="D923" s="17">
        <v>1.6481909404774699E-2</v>
      </c>
      <c r="E923" s="17">
        <v>0.14740043257368701</v>
      </c>
      <c r="F923" s="17"/>
      <c r="G923" s="17">
        <v>5.1546466852612299E-2</v>
      </c>
      <c r="H923" s="17">
        <v>7.8611275789755797E-2</v>
      </c>
      <c r="I923" s="17">
        <v>7.9157214749102894E-2</v>
      </c>
      <c r="J923" s="17">
        <v>0.11911379215366499</v>
      </c>
      <c r="K923" s="17"/>
      <c r="L923" s="17">
        <v>8.0790718816424203E-2</v>
      </c>
      <c r="M923" s="17">
        <v>5.2889104794180901E-2</v>
      </c>
      <c r="N923" s="17">
        <v>7.9234913931603104E-2</v>
      </c>
      <c r="O923" s="17">
        <v>0.10966339428763699</v>
      </c>
    </row>
    <row r="924" spans="2:15" x14ac:dyDescent="0.3">
      <c r="B924" t="s">
        <v>202</v>
      </c>
      <c r="C924" s="17">
        <v>5.4729168685613401E-2</v>
      </c>
      <c r="D924" s="17">
        <v>8.5329598486249006E-2</v>
      </c>
      <c r="E924" s="17">
        <v>2.12621300503134E-2</v>
      </c>
      <c r="F924" s="17"/>
      <c r="G924" s="17">
        <v>5.9267343017252803E-2</v>
      </c>
      <c r="H924" s="17">
        <v>4.3790417078356299E-2</v>
      </c>
      <c r="I924" s="17">
        <v>7.0974482747215198E-2</v>
      </c>
      <c r="J924" s="17">
        <v>4.6306859012971102E-2</v>
      </c>
      <c r="K924" s="17"/>
      <c r="L924" s="17">
        <v>4.4317926487342701E-2</v>
      </c>
      <c r="M924" s="17">
        <v>5.6388224678809898E-2</v>
      </c>
      <c r="N924" s="17">
        <v>6.7030880070689594E-2</v>
      </c>
      <c r="O924" s="17">
        <v>4.9238332922018603E-2</v>
      </c>
    </row>
    <row r="925" spans="2:15" x14ac:dyDescent="0.3">
      <c r="B925" t="s">
        <v>199</v>
      </c>
      <c r="C925" s="17">
        <v>3.9349452061131301E-2</v>
      </c>
      <c r="D925" s="17">
        <v>5.2515858451358602E-2</v>
      </c>
      <c r="E925" s="17">
        <v>2.5011591311020501E-2</v>
      </c>
      <c r="F925" s="17"/>
      <c r="G925" s="17">
        <v>4.0507583512868699E-2</v>
      </c>
      <c r="H925" s="17">
        <v>3.6149018099155897E-2</v>
      </c>
      <c r="I925" s="17">
        <v>1.44270767333013E-2</v>
      </c>
      <c r="J925" s="17">
        <v>6.4257062578209997E-2</v>
      </c>
      <c r="K925" s="17"/>
      <c r="L925" s="17">
        <v>4.2493164545720802E-2</v>
      </c>
      <c r="M925" s="17">
        <v>2.21152494804903E-2</v>
      </c>
      <c r="N925" s="17">
        <v>5.1743395537700403E-2</v>
      </c>
      <c r="O925" s="17">
        <v>4.2127540493600103E-2</v>
      </c>
    </row>
    <row r="926" spans="2:15" x14ac:dyDescent="0.3">
      <c r="B926" t="s">
        <v>204</v>
      </c>
      <c r="C926" s="17">
        <v>3.8783084336778198E-2</v>
      </c>
      <c r="D926" s="17">
        <v>5.49971189473853E-2</v>
      </c>
      <c r="E926" s="17">
        <v>2.1088504089219699E-2</v>
      </c>
      <c r="F926" s="17"/>
      <c r="G926" s="17">
        <v>5.8557446148901203E-2</v>
      </c>
      <c r="H926" s="17">
        <v>2.4112801587463598E-2</v>
      </c>
      <c r="I926" s="17">
        <v>4.0610657191688701E-2</v>
      </c>
      <c r="J926" s="17">
        <v>2.4988526911965701E-2</v>
      </c>
      <c r="K926" s="17"/>
      <c r="L926" s="17">
        <v>0</v>
      </c>
      <c r="M926" s="17">
        <v>7.4076648773914594E-2</v>
      </c>
      <c r="N926" s="17">
        <v>5.2501757370097497E-2</v>
      </c>
      <c r="O926" s="17">
        <v>2.1758413746605799E-2</v>
      </c>
    </row>
    <row r="927" spans="2:15" x14ac:dyDescent="0.3">
      <c r="B927" t="s">
        <v>209</v>
      </c>
      <c r="C927" s="17">
        <v>3.7999142500664301E-2</v>
      </c>
      <c r="D927" s="17">
        <v>1.91804824855424E-2</v>
      </c>
      <c r="E927" s="17">
        <v>5.8861680465536803E-2</v>
      </c>
      <c r="F927" s="17"/>
      <c r="G927" s="17">
        <v>3.2974175629125399E-2</v>
      </c>
      <c r="H927" s="17">
        <v>4.60967143754243E-2</v>
      </c>
      <c r="I927" s="17">
        <v>5.1694681833719502E-2</v>
      </c>
      <c r="J927" s="17">
        <v>2.4220045385680799E-2</v>
      </c>
      <c r="K927" s="17"/>
      <c r="L927" s="17">
        <v>9.2366506574642297E-3</v>
      </c>
      <c r="M927" s="17">
        <v>7.1281484076012105E-2</v>
      </c>
      <c r="N927" s="17">
        <v>3.3368366082304701E-2</v>
      </c>
      <c r="O927" s="17">
        <v>3.53928388581995E-2</v>
      </c>
    </row>
    <row r="928" spans="2:15" x14ac:dyDescent="0.3">
      <c r="B928" t="s">
        <v>207</v>
      </c>
      <c r="C928" s="17">
        <v>3.6397546572771299E-2</v>
      </c>
      <c r="D928" s="17">
        <v>2.6289523923060099E-2</v>
      </c>
      <c r="E928" s="17">
        <v>4.7666079338164302E-2</v>
      </c>
      <c r="F928" s="17"/>
      <c r="G928" s="17">
        <v>5.4096404936840398E-2</v>
      </c>
      <c r="H928" s="17">
        <v>3.0914623527269501E-2</v>
      </c>
      <c r="I928" s="17">
        <v>3.0161833314731799E-2</v>
      </c>
      <c r="J928" s="17">
        <v>2.2514853205287601E-2</v>
      </c>
      <c r="K928" s="17"/>
      <c r="L928" s="17">
        <v>3.8070707994685801E-2</v>
      </c>
      <c r="M928" s="17">
        <v>4.1195810833712099E-2</v>
      </c>
      <c r="N928" s="17">
        <v>1.71864328398731E-2</v>
      </c>
      <c r="O928" s="17">
        <v>5.3230528743560802E-2</v>
      </c>
    </row>
    <row r="929" spans="2:15" x14ac:dyDescent="0.3">
      <c r="B929" t="s">
        <v>206</v>
      </c>
      <c r="C929" s="17">
        <v>3.5532178036662698E-2</v>
      </c>
      <c r="D929" s="17">
        <v>5.3010882064690401E-2</v>
      </c>
      <c r="E929" s="17">
        <v>1.6432839776157799E-2</v>
      </c>
      <c r="F929" s="17"/>
      <c r="G929" s="17">
        <v>5.29789209709235E-2</v>
      </c>
      <c r="H929" s="17">
        <v>4.5839071183167497E-2</v>
      </c>
      <c r="I929" s="17">
        <v>1.11963987222123E-2</v>
      </c>
      <c r="J929" s="17">
        <v>2.0478648057308702E-2</v>
      </c>
      <c r="K929" s="17"/>
      <c r="L929" s="17">
        <v>8.1802462050665197E-3</v>
      </c>
      <c r="M929" s="17">
        <v>3.5608866222969403E-2</v>
      </c>
      <c r="N929" s="17">
        <v>7.5671578363738001E-2</v>
      </c>
      <c r="O929" s="17">
        <v>1.65180284290012E-2</v>
      </c>
    </row>
    <row r="930" spans="2:15" x14ac:dyDescent="0.3">
      <c r="B930" t="s">
        <v>316</v>
      </c>
      <c r="C930" s="17">
        <v>2.22043246905285E-2</v>
      </c>
      <c r="D930" s="17">
        <v>1.1642162388486E-2</v>
      </c>
      <c r="E930" s="17">
        <v>3.3917072537452297E-2</v>
      </c>
      <c r="F930" s="17"/>
      <c r="G930" s="17">
        <v>1.8811435244626501E-2</v>
      </c>
      <c r="H930" s="17">
        <v>7.5728553178507499E-3</v>
      </c>
      <c r="I930" s="17">
        <v>3.1442103094657101E-2</v>
      </c>
      <c r="J930" s="17">
        <v>3.5692786232267598E-2</v>
      </c>
      <c r="K930" s="17"/>
      <c r="L930" s="17">
        <v>2.64283327950788E-2</v>
      </c>
      <c r="M930" s="17">
        <v>2.6030706445157401E-2</v>
      </c>
      <c r="N930" s="17">
        <v>2.1292348446150699E-2</v>
      </c>
      <c r="O930" s="17">
        <v>1.30449097645909E-2</v>
      </c>
    </row>
    <row r="931" spans="2:15" x14ac:dyDescent="0.3">
      <c r="B931" t="s">
        <v>211</v>
      </c>
      <c r="C931" s="17">
        <v>1.5321926247638999E-2</v>
      </c>
      <c r="D931" s="17">
        <v>1.49314036677095E-2</v>
      </c>
      <c r="E931" s="17">
        <v>1.5811849504010801E-2</v>
      </c>
      <c r="F931" s="17"/>
      <c r="G931" s="17">
        <v>1.07904482159872E-2</v>
      </c>
      <c r="H931" s="17">
        <v>2.6930160090604598E-2</v>
      </c>
      <c r="I931" s="17">
        <v>2.52531375769974E-2</v>
      </c>
      <c r="J931" s="17">
        <v>0</v>
      </c>
      <c r="K931" s="17"/>
      <c r="L931" s="17">
        <v>2.3192539886155002E-2</v>
      </c>
      <c r="M931" s="17">
        <v>1.6340470118135102E-2</v>
      </c>
      <c r="N931" s="17">
        <v>1.09859854180512E-2</v>
      </c>
      <c r="O931" s="17">
        <v>9.8940179467762596E-3</v>
      </c>
    </row>
    <row r="932" spans="2:15" x14ac:dyDescent="0.3">
      <c r="B932" t="s">
        <v>200</v>
      </c>
      <c r="C932" s="17">
        <v>7.4108558790529199E-3</v>
      </c>
      <c r="D932" s="17">
        <v>1.41701647319159E-2</v>
      </c>
      <c r="E932" s="17">
        <v>0</v>
      </c>
      <c r="F932" s="17"/>
      <c r="G932" s="17">
        <v>1.7780357153563801E-2</v>
      </c>
      <c r="H932" s="17">
        <v>6.4308589373813603E-3</v>
      </c>
      <c r="I932" s="17">
        <v>0</v>
      </c>
      <c r="J932" s="17">
        <v>0</v>
      </c>
      <c r="K932" s="17"/>
      <c r="L932" s="17">
        <v>1.7661780287939698E-2</v>
      </c>
      <c r="M932" s="17">
        <v>0</v>
      </c>
      <c r="N932" s="17">
        <v>1.0877534602761901E-2</v>
      </c>
      <c r="O932" s="17">
        <v>0</v>
      </c>
    </row>
    <row r="933" spans="2:15" x14ac:dyDescent="0.3">
      <c r="B933" t="s">
        <v>212</v>
      </c>
      <c r="C933" s="17">
        <v>5.2222887788378599E-3</v>
      </c>
      <c r="D933" s="17">
        <v>2.8747811660221299E-3</v>
      </c>
      <c r="E933" s="17">
        <v>7.8266476071306608E-3</v>
      </c>
      <c r="F933" s="17"/>
      <c r="G933" s="17">
        <v>1.6013589489570299E-2</v>
      </c>
      <c r="H933" s="17">
        <v>0</v>
      </c>
      <c r="I933" s="17">
        <v>0</v>
      </c>
      <c r="J933" s="17">
        <v>0</v>
      </c>
      <c r="K933" s="17"/>
      <c r="L933" s="17">
        <v>7.8765062657506803E-3</v>
      </c>
      <c r="M933" s="17">
        <v>6.30364149231944E-3</v>
      </c>
      <c r="N933" s="17">
        <v>0</v>
      </c>
      <c r="O933" s="17">
        <v>7.3623312897018404E-3</v>
      </c>
    </row>
    <row r="934" spans="2:15" x14ac:dyDescent="0.3">
      <c r="B934" t="s">
        <v>179</v>
      </c>
      <c r="C934" s="17">
        <v>7.5037997117211902E-2</v>
      </c>
      <c r="D934" s="17">
        <v>5.3560478564589301E-2</v>
      </c>
      <c r="E934" s="17">
        <v>9.8972350222571795E-2</v>
      </c>
      <c r="F934" s="17"/>
      <c r="G934" s="17">
        <v>6.4385901893773106E-2</v>
      </c>
      <c r="H934" s="17">
        <v>8.6260159053094407E-2</v>
      </c>
      <c r="I934" s="17">
        <v>4.6652048279746602E-2</v>
      </c>
      <c r="J934" s="17">
        <v>0.10452211041657999</v>
      </c>
      <c r="K934" s="17"/>
      <c r="L934" s="17">
        <v>7.7520611973621298E-2</v>
      </c>
      <c r="M934" s="17">
        <v>7.8821148845187497E-2</v>
      </c>
      <c r="N934" s="17">
        <v>1.5052006761767701E-2</v>
      </c>
      <c r="O934" s="17">
        <v>0.145966458232754</v>
      </c>
    </row>
    <row r="935" spans="2:15" x14ac:dyDescent="0.3">
      <c r="C935" s="17"/>
      <c r="D935" s="17"/>
      <c r="E935" s="17"/>
      <c r="F935" s="17"/>
      <c r="G935" s="17"/>
      <c r="H935" s="17"/>
      <c r="I935" s="17"/>
      <c r="J935" s="17"/>
      <c r="K935" s="17"/>
      <c r="L935" s="17"/>
      <c r="M935" s="17"/>
      <c r="N935" s="17"/>
      <c r="O935" s="17"/>
    </row>
    <row r="936" spans="2:15" x14ac:dyDescent="0.3">
      <c r="B936" s="6" t="s">
        <v>325</v>
      </c>
      <c r="C936" s="17"/>
      <c r="D936" s="17"/>
      <c r="E936" s="17"/>
      <c r="F936" s="17"/>
      <c r="G936" s="17"/>
      <c r="H936" s="17"/>
      <c r="I936" s="17"/>
      <c r="J936" s="17"/>
      <c r="K936" s="17"/>
      <c r="L936" s="17"/>
      <c r="M936" s="17"/>
      <c r="N936" s="17"/>
      <c r="O936" s="17"/>
    </row>
    <row r="937" spans="2:15" x14ac:dyDescent="0.3">
      <c r="B937" s="23" t="s">
        <v>46</v>
      </c>
      <c r="C937" s="17"/>
      <c r="D937" s="17"/>
      <c r="E937" s="17"/>
      <c r="F937" s="17"/>
      <c r="G937" s="17"/>
      <c r="H937" s="17"/>
      <c r="I937" s="17"/>
      <c r="J937" s="17"/>
      <c r="K937" s="17"/>
      <c r="L937" s="17"/>
      <c r="M937" s="17"/>
      <c r="N937" s="17"/>
      <c r="O937" s="17"/>
    </row>
    <row r="938" spans="2:15" x14ac:dyDescent="0.3">
      <c r="B938" t="s">
        <v>319</v>
      </c>
      <c r="C938" s="17">
        <v>0.120682123767724</v>
      </c>
      <c r="D938" s="17">
        <v>9.9410664618496097E-2</v>
      </c>
      <c r="E938" s="17">
        <v>0.14280882220747201</v>
      </c>
      <c r="F938" s="17"/>
      <c r="G938" s="17">
        <v>7.2074643405907093E-2</v>
      </c>
      <c r="H938" s="17">
        <v>0.117836321733284</v>
      </c>
      <c r="I938" s="17">
        <v>0.13598567396969599</v>
      </c>
      <c r="J938" s="17">
        <v>0.174168340257468</v>
      </c>
      <c r="K938" s="17"/>
      <c r="L938" s="17">
        <v>6.3163755336361996E-2</v>
      </c>
      <c r="M938" s="17">
        <v>5.6521958541381603E-2</v>
      </c>
      <c r="N938" s="17">
        <v>8.2993132502706193E-2</v>
      </c>
      <c r="O938" s="17">
        <v>0.28805101654028398</v>
      </c>
    </row>
    <row r="939" spans="2:15" x14ac:dyDescent="0.3">
      <c r="B939" t="s">
        <v>320</v>
      </c>
      <c r="C939" s="17">
        <v>0.20689339166416101</v>
      </c>
      <c r="D939" s="17">
        <v>0.18357621502361701</v>
      </c>
      <c r="E939" s="17">
        <v>0.22440444882947</v>
      </c>
      <c r="F939" s="17"/>
      <c r="G939" s="17">
        <v>0.21581977777999001</v>
      </c>
      <c r="H939" s="17">
        <v>0.18149364484800301</v>
      </c>
      <c r="I939" s="17">
        <v>0.21070312651642001</v>
      </c>
      <c r="J939" s="17">
        <v>0.22226704428185301</v>
      </c>
      <c r="K939" s="17"/>
      <c r="L939" s="17">
        <v>0.16159821476250999</v>
      </c>
      <c r="M939" s="17">
        <v>0.144377687469843</v>
      </c>
      <c r="N939" s="17">
        <v>0.26135776347850198</v>
      </c>
      <c r="O939" s="17">
        <v>0.26043724149113501</v>
      </c>
    </row>
    <row r="940" spans="2:15" x14ac:dyDescent="0.3">
      <c r="B940" t="s">
        <v>321</v>
      </c>
      <c r="C940" s="17">
        <v>0.36076738840780798</v>
      </c>
      <c r="D940" s="17">
        <v>0.40076770081396201</v>
      </c>
      <c r="E940" s="17">
        <v>0.32344160379110698</v>
      </c>
      <c r="F940" s="17"/>
      <c r="G940" s="17">
        <v>0.34751769814809103</v>
      </c>
      <c r="H940" s="17">
        <v>0.35792919532097001</v>
      </c>
      <c r="I940" s="17">
        <v>0.40488971533697798</v>
      </c>
      <c r="J940" s="17">
        <v>0.34382975834212298</v>
      </c>
      <c r="K940" s="17"/>
      <c r="L940" s="17">
        <v>0.47762082562914698</v>
      </c>
      <c r="M940" s="17">
        <v>0.354699956147081</v>
      </c>
      <c r="N940" s="17">
        <v>0.35887320546206902</v>
      </c>
      <c r="O940" s="17">
        <v>0.25249306893089302</v>
      </c>
    </row>
    <row r="941" spans="2:15" x14ac:dyDescent="0.3">
      <c r="B941" t="s">
        <v>322</v>
      </c>
      <c r="C941" s="17">
        <v>0.19566983873971699</v>
      </c>
      <c r="D941" s="17">
        <v>0.194510233877635</v>
      </c>
      <c r="E941" s="17">
        <v>0.19825402426809099</v>
      </c>
      <c r="F941" s="17"/>
      <c r="G941" s="17">
        <v>0.229787982329379</v>
      </c>
      <c r="H941" s="17">
        <v>0.20641509745913</v>
      </c>
      <c r="I941" s="17">
        <v>0.17877916298565499</v>
      </c>
      <c r="J941" s="17">
        <v>0.15603425862179901</v>
      </c>
      <c r="K941" s="17"/>
      <c r="L941" s="17">
        <v>0.23768683871955101</v>
      </c>
      <c r="M941" s="17">
        <v>0.30432911504909199</v>
      </c>
      <c r="N941" s="17">
        <v>0.141489777029077</v>
      </c>
      <c r="O941" s="17">
        <v>9.5456865946928898E-2</v>
      </c>
    </row>
    <row r="942" spans="2:15" x14ac:dyDescent="0.3">
      <c r="B942" t="s">
        <v>323</v>
      </c>
      <c r="C942" s="17">
        <v>7.2012944436321599E-2</v>
      </c>
      <c r="D942" s="17">
        <v>8.89692620181598E-2</v>
      </c>
      <c r="E942" s="17">
        <v>5.5600699585954198E-2</v>
      </c>
      <c r="F942" s="17"/>
      <c r="G942" s="17">
        <v>0.113212165881803</v>
      </c>
      <c r="H942" s="17">
        <v>8.63799008253468E-2</v>
      </c>
      <c r="I942" s="17">
        <v>2.9213546461272E-2</v>
      </c>
      <c r="J942" s="17">
        <v>3.3782074180525402E-2</v>
      </c>
      <c r="K942" s="17"/>
      <c r="L942" s="17">
        <v>4.6334449853693803E-2</v>
      </c>
      <c r="M942" s="17">
        <v>8.9152451994676404E-2</v>
      </c>
      <c r="N942" s="17">
        <v>0.112221893911014</v>
      </c>
      <c r="O942" s="17">
        <v>3.5693788654044802E-2</v>
      </c>
    </row>
    <row r="943" spans="2:15" x14ac:dyDescent="0.3">
      <c r="B943" t="s">
        <v>324</v>
      </c>
      <c r="C943" s="17">
        <v>4.3974312984268599E-2</v>
      </c>
      <c r="D943" s="17">
        <v>3.2765923648129601E-2</v>
      </c>
      <c r="E943" s="17">
        <v>5.5490401317905801E-2</v>
      </c>
      <c r="F943" s="17"/>
      <c r="G943" s="17">
        <v>2.15877324548308E-2</v>
      </c>
      <c r="H943" s="17">
        <v>4.9945839813265801E-2</v>
      </c>
      <c r="I943" s="17">
        <v>4.0428774729978502E-2</v>
      </c>
      <c r="J943" s="17">
        <v>6.9918524316231898E-2</v>
      </c>
      <c r="K943" s="17"/>
      <c r="L943" s="17">
        <v>1.3595915698737001E-2</v>
      </c>
      <c r="M943" s="17">
        <v>5.09188307979258E-2</v>
      </c>
      <c r="N943" s="17">
        <v>4.30642276166327E-2</v>
      </c>
      <c r="O943" s="17">
        <v>6.7868018436713903E-2</v>
      </c>
    </row>
    <row r="944" spans="2:15" x14ac:dyDescent="0.3">
      <c r="C944" s="17"/>
      <c r="D944" s="17"/>
      <c r="E944" s="17"/>
      <c r="F944" s="17"/>
      <c r="G944" s="17"/>
      <c r="H944" s="17"/>
      <c r="I944" s="17"/>
      <c r="J944" s="17"/>
      <c r="K944" s="17"/>
      <c r="L944" s="17"/>
      <c r="M944" s="17"/>
      <c r="N944" s="17"/>
      <c r="O944" s="17"/>
    </row>
    <row r="945" spans="2:15" x14ac:dyDescent="0.3">
      <c r="B945" s="6" t="s">
        <v>331</v>
      </c>
      <c r="C945" s="17"/>
      <c r="D945" s="17"/>
      <c r="E945" s="17"/>
      <c r="F945" s="17"/>
      <c r="G945" s="17"/>
      <c r="H945" s="17"/>
      <c r="I945" s="17"/>
      <c r="J945" s="17"/>
      <c r="K945" s="17"/>
      <c r="L945" s="17"/>
      <c r="M945" s="17"/>
      <c r="N945" s="17"/>
      <c r="O945" s="17"/>
    </row>
    <row r="946" spans="2:15" x14ac:dyDescent="0.3">
      <c r="B946" s="23" t="s">
        <v>318</v>
      </c>
      <c r="C946" s="17"/>
      <c r="D946" s="17"/>
      <c r="E946" s="17"/>
      <c r="F946" s="17"/>
      <c r="G946" s="17"/>
      <c r="H946" s="17"/>
      <c r="I946" s="17"/>
      <c r="J946" s="17"/>
      <c r="K946" s="17"/>
      <c r="L946" s="17"/>
      <c r="M946" s="17"/>
      <c r="N946" s="17"/>
      <c r="O946" s="17"/>
    </row>
    <row r="947" spans="2:15" x14ac:dyDescent="0.3">
      <c r="B947" t="s">
        <v>326</v>
      </c>
      <c r="C947" s="17">
        <v>0.121108563231385</v>
      </c>
      <c r="D947" s="17">
        <v>0.134416461166525</v>
      </c>
      <c r="E947" s="17">
        <v>0.107347391750463</v>
      </c>
      <c r="F947" s="17"/>
      <c r="G947" s="17">
        <v>8.9013565023678895E-2</v>
      </c>
      <c r="H947" s="17">
        <v>0.108500704434775</v>
      </c>
      <c r="I947" s="17">
        <v>0.124031085479512</v>
      </c>
      <c r="J947" s="17">
        <v>0.17895545465294799</v>
      </c>
      <c r="K947" s="17"/>
      <c r="L947" s="17">
        <v>2.9714748244570599E-2</v>
      </c>
      <c r="M947" s="17">
        <v>9.9254601705216106E-2</v>
      </c>
      <c r="N947" s="17">
        <v>0.13153905836718599</v>
      </c>
      <c r="O947" s="17">
        <v>0.250108698936858</v>
      </c>
    </row>
    <row r="948" spans="2:15" x14ac:dyDescent="0.3">
      <c r="B948" t="s">
        <v>327</v>
      </c>
      <c r="C948" s="17">
        <v>0.29591904358653198</v>
      </c>
      <c r="D948" s="17">
        <v>0.31467853115127797</v>
      </c>
      <c r="E948" s="17">
        <v>0.27698592380978898</v>
      </c>
      <c r="F948" s="17"/>
      <c r="G948" s="17">
        <v>0.32377288402062399</v>
      </c>
      <c r="H948" s="17">
        <v>0.35303295016369801</v>
      </c>
      <c r="I948" s="17">
        <v>0.30554946696059798</v>
      </c>
      <c r="J948" s="17">
        <v>0.18809937185037401</v>
      </c>
      <c r="K948" s="17"/>
      <c r="L948" s="17">
        <v>0.31590425178828002</v>
      </c>
      <c r="M948" s="17">
        <v>0.34550690873159901</v>
      </c>
      <c r="N948" s="17">
        <v>0.283678378609583</v>
      </c>
      <c r="O948" s="17">
        <v>0.221683431942896</v>
      </c>
    </row>
    <row r="949" spans="2:15" x14ac:dyDescent="0.3">
      <c r="B949" t="s">
        <v>328</v>
      </c>
      <c r="C949" s="17">
        <v>0.32652080783527998</v>
      </c>
      <c r="D949" s="17">
        <v>0.34217219865010701</v>
      </c>
      <c r="E949" s="17">
        <v>0.30730380793506301</v>
      </c>
      <c r="F949" s="17"/>
      <c r="G949" s="17">
        <v>0.36368117951350498</v>
      </c>
      <c r="H949" s="17">
        <v>0.299070720785095</v>
      </c>
      <c r="I949" s="17">
        <v>0.33804142415715399</v>
      </c>
      <c r="J949" s="17">
        <v>0.287678865901907</v>
      </c>
      <c r="K949" s="17"/>
      <c r="L949" s="17">
        <v>0.299400358620728</v>
      </c>
      <c r="M949" s="17">
        <v>0.28167786294830799</v>
      </c>
      <c r="N949" s="17">
        <v>0.355640355120874</v>
      </c>
      <c r="O949" s="17">
        <v>0.38132940005396698</v>
      </c>
    </row>
    <row r="950" spans="2:15" x14ac:dyDescent="0.3">
      <c r="B950" t="s">
        <v>329</v>
      </c>
      <c r="C950" s="17">
        <v>0.162946555078301</v>
      </c>
      <c r="D950" s="17">
        <v>0.15698656335634201</v>
      </c>
      <c r="E950" s="17">
        <v>0.16991676158319799</v>
      </c>
      <c r="F950" s="17"/>
      <c r="G950" s="17">
        <v>0.17178417829282999</v>
      </c>
      <c r="H950" s="17">
        <v>0.126453522263064</v>
      </c>
      <c r="I950" s="17">
        <v>0.18113391237145199</v>
      </c>
      <c r="J950" s="17">
        <v>0.17643176587759299</v>
      </c>
      <c r="K950" s="17"/>
      <c r="L950" s="17">
        <v>0.20173905226458899</v>
      </c>
      <c r="M950" s="17">
        <v>0.17662513165103699</v>
      </c>
      <c r="N950" s="17">
        <v>0.192902158441595</v>
      </c>
      <c r="O950" s="17">
        <v>5.7449594154472802E-2</v>
      </c>
    </row>
    <row r="951" spans="2:15" x14ac:dyDescent="0.3">
      <c r="B951" t="s">
        <v>330</v>
      </c>
      <c r="C951" s="17">
        <v>9.3505030268502404E-2</v>
      </c>
      <c r="D951" s="17">
        <v>5.1746245675748197E-2</v>
      </c>
      <c r="E951" s="17">
        <v>0.13844611492148701</v>
      </c>
      <c r="F951" s="17"/>
      <c r="G951" s="17">
        <v>5.1748193149362402E-2</v>
      </c>
      <c r="H951" s="17">
        <v>0.112942102353367</v>
      </c>
      <c r="I951" s="17">
        <v>5.1244111031283499E-2</v>
      </c>
      <c r="J951" s="17">
        <v>0.16883454171717699</v>
      </c>
      <c r="K951" s="17"/>
      <c r="L951" s="17">
        <v>0.153241589081832</v>
      </c>
      <c r="M951" s="17">
        <v>9.6935494963840296E-2</v>
      </c>
      <c r="N951" s="17">
        <v>3.62400494607623E-2</v>
      </c>
      <c r="O951" s="17">
        <v>8.9428874911806094E-2</v>
      </c>
    </row>
    <row r="952" spans="2:15" x14ac:dyDescent="0.3">
      <c r="C952" s="17"/>
      <c r="D952" s="17"/>
      <c r="E952" s="17"/>
      <c r="F952" s="17"/>
      <c r="G952" s="17"/>
      <c r="H952" s="17"/>
      <c r="I952" s="17"/>
      <c r="J952" s="17"/>
      <c r="K952" s="17"/>
      <c r="L952" s="17"/>
      <c r="M952" s="17"/>
      <c r="N952" s="17"/>
      <c r="O952" s="17"/>
    </row>
    <row r="953" spans="2:15" x14ac:dyDescent="0.3">
      <c r="B953" s="6" t="s">
        <v>337</v>
      </c>
      <c r="C953" s="17"/>
      <c r="D953" s="17"/>
      <c r="E953" s="17"/>
      <c r="F953" s="17"/>
      <c r="G953" s="17"/>
      <c r="H953" s="17"/>
      <c r="I953" s="17"/>
      <c r="J953" s="17"/>
      <c r="K953" s="17"/>
      <c r="L953" s="17"/>
      <c r="M953" s="17"/>
      <c r="N953" s="17"/>
      <c r="O953" s="17"/>
    </row>
    <row r="954" spans="2:15" x14ac:dyDescent="0.3">
      <c r="B954" s="23" t="s">
        <v>46</v>
      </c>
      <c r="C954" s="17"/>
      <c r="D954" s="17"/>
      <c r="E954" s="17"/>
      <c r="F954" s="17"/>
      <c r="G954" s="17"/>
      <c r="H954" s="17"/>
      <c r="I954" s="17"/>
      <c r="J954" s="17"/>
      <c r="K954" s="17"/>
      <c r="L954" s="17"/>
      <c r="M954" s="17"/>
      <c r="N954" s="17"/>
      <c r="O954" s="17"/>
    </row>
    <row r="955" spans="2:15" x14ac:dyDescent="0.3">
      <c r="B955" t="s">
        <v>332</v>
      </c>
      <c r="C955" s="17">
        <v>0.30921711143798802</v>
      </c>
      <c r="D955" s="17">
        <v>0.371355710278166</v>
      </c>
      <c r="E955" s="17">
        <v>0.24940257032268501</v>
      </c>
      <c r="F955" s="17"/>
      <c r="G955" s="17">
        <v>0.40601048644860599</v>
      </c>
      <c r="H955" s="17">
        <v>0.29988623772686002</v>
      </c>
      <c r="I955" s="17">
        <v>0.27830719637412099</v>
      </c>
      <c r="J955" s="17">
        <v>0.21655490807278799</v>
      </c>
      <c r="K955" s="17"/>
      <c r="L955" s="17">
        <v>0.366032652208236</v>
      </c>
      <c r="M955" s="17">
        <v>0.30436214662419198</v>
      </c>
      <c r="N955" s="17">
        <v>0.30143413176823702</v>
      </c>
      <c r="O955" s="17">
        <v>0.26605589715511302</v>
      </c>
    </row>
    <row r="956" spans="2:15" x14ac:dyDescent="0.3">
      <c r="B956" t="s">
        <v>333</v>
      </c>
      <c r="C956" s="17">
        <v>0.21839977776217201</v>
      </c>
      <c r="D956" s="17">
        <v>0.22905542615850399</v>
      </c>
      <c r="E956" s="17">
        <v>0.20640612735623301</v>
      </c>
      <c r="F956" s="17"/>
      <c r="G956" s="17">
        <v>0.27187705175850801</v>
      </c>
      <c r="H956" s="17">
        <v>0.18477955925732301</v>
      </c>
      <c r="I956" s="17">
        <v>0.189103249357329</v>
      </c>
      <c r="J956" s="17">
        <v>0.215421724673201</v>
      </c>
      <c r="K956" s="17"/>
      <c r="L956" s="17">
        <v>0.20365156941031801</v>
      </c>
      <c r="M956" s="17">
        <v>0.24394917305750899</v>
      </c>
      <c r="N956" s="17">
        <v>0.23707199750757901</v>
      </c>
      <c r="O956" s="17">
        <v>0.18543479251151801</v>
      </c>
    </row>
    <row r="957" spans="2:15" x14ac:dyDescent="0.3">
      <c r="B957" t="s">
        <v>334</v>
      </c>
      <c r="C957" s="17">
        <v>0.22966036552765301</v>
      </c>
      <c r="D957" s="17">
        <v>0.22436522976951601</v>
      </c>
      <c r="E957" s="17">
        <v>0.23662307451169601</v>
      </c>
      <c r="F957" s="17"/>
      <c r="G957" s="17">
        <v>0.188542435887874</v>
      </c>
      <c r="H957" s="17">
        <v>0.198852576336293</v>
      </c>
      <c r="I957" s="17">
        <v>0.32785425936434898</v>
      </c>
      <c r="J957" s="17">
        <v>0.2303538820538</v>
      </c>
      <c r="K957" s="17"/>
      <c r="L957" s="17">
        <v>0.234813930895787</v>
      </c>
      <c r="M957" s="17">
        <v>0.20368934726757401</v>
      </c>
      <c r="N957" s="17">
        <v>0.24134082478921601</v>
      </c>
      <c r="O957" s="17">
        <v>0.239791488936243</v>
      </c>
    </row>
    <row r="958" spans="2:15" x14ac:dyDescent="0.3">
      <c r="B958" t="s">
        <v>335</v>
      </c>
      <c r="C958" s="17">
        <v>0.131121871572244</v>
      </c>
      <c r="D958" s="17">
        <v>0.100772607054938</v>
      </c>
      <c r="E958" s="17">
        <v>0.162392123117022</v>
      </c>
      <c r="F958" s="17"/>
      <c r="G958" s="17">
        <v>0.106547865728575</v>
      </c>
      <c r="H958" s="17">
        <v>0.142173007270985</v>
      </c>
      <c r="I958" s="17">
        <v>8.5511676006355397E-2</v>
      </c>
      <c r="J958" s="17">
        <v>0.19322684969397599</v>
      </c>
      <c r="K958" s="17"/>
      <c r="L958" s="17">
        <v>0.12354496231805601</v>
      </c>
      <c r="M958" s="17">
        <v>0.13055710377555499</v>
      </c>
      <c r="N958" s="17">
        <v>0.105196553391118</v>
      </c>
      <c r="O958" s="17">
        <v>0.16739209542514899</v>
      </c>
    </row>
    <row r="959" spans="2:15" x14ac:dyDescent="0.3">
      <c r="B959" t="s">
        <v>336</v>
      </c>
      <c r="C959" s="17">
        <v>8.8774428597779495E-2</v>
      </c>
      <c r="D959" s="17">
        <v>6.1060876652019397E-2</v>
      </c>
      <c r="E959" s="17">
        <v>0.11275775947609901</v>
      </c>
      <c r="F959" s="17"/>
      <c r="G959" s="17">
        <v>2.7022160176437202E-2</v>
      </c>
      <c r="H959" s="17">
        <v>0.144006154038748</v>
      </c>
      <c r="I959" s="17">
        <v>0.109566089838916</v>
      </c>
      <c r="J959" s="17">
        <v>8.8192578399795399E-2</v>
      </c>
      <c r="K959" s="17"/>
      <c r="L959" s="17">
        <v>6.3265975260419993E-2</v>
      </c>
      <c r="M959" s="17">
        <v>0.102822511119189</v>
      </c>
      <c r="N959" s="17">
        <v>8.0288677283750706E-2</v>
      </c>
      <c r="O959" s="17">
        <v>0.10836344799472999</v>
      </c>
    </row>
    <row r="960" spans="2:15" x14ac:dyDescent="0.3">
      <c r="B960" t="s">
        <v>142</v>
      </c>
      <c r="C960" s="17">
        <v>2.2826445102164399E-2</v>
      </c>
      <c r="D960" s="17">
        <v>1.33901500868563E-2</v>
      </c>
      <c r="E960" s="17">
        <v>3.2418345216264098E-2</v>
      </c>
      <c r="F960" s="17"/>
      <c r="G960" s="17">
        <v>0</v>
      </c>
      <c r="H960" s="17">
        <v>3.0302465369791101E-2</v>
      </c>
      <c r="I960" s="17">
        <v>9.6575290589285493E-3</v>
      </c>
      <c r="J960" s="17">
        <v>5.6250057106439301E-2</v>
      </c>
      <c r="K960" s="17"/>
      <c r="L960" s="17">
        <v>8.69090990718226E-3</v>
      </c>
      <c r="M960" s="17">
        <v>1.46197181559823E-2</v>
      </c>
      <c r="N960" s="17">
        <v>3.4667815260099301E-2</v>
      </c>
      <c r="O960" s="17">
        <v>3.29622779772464E-2</v>
      </c>
    </row>
    <row r="961" spans="2:15" x14ac:dyDescent="0.3">
      <c r="C961" s="17"/>
      <c r="D961" s="17"/>
      <c r="E961" s="17"/>
      <c r="F961" s="17"/>
      <c r="G961" s="17"/>
      <c r="H961" s="17"/>
      <c r="I961" s="17"/>
      <c r="J961" s="17"/>
      <c r="K961" s="17"/>
      <c r="L961" s="17"/>
      <c r="M961" s="17"/>
      <c r="N961" s="17"/>
      <c r="O961" s="17"/>
    </row>
    <row r="962" spans="2:15" x14ac:dyDescent="0.3">
      <c r="B962" s="6" t="s">
        <v>337</v>
      </c>
      <c r="C962" s="17"/>
      <c r="D962" s="17"/>
      <c r="E962" s="17"/>
      <c r="F962" s="17"/>
      <c r="G962" s="17"/>
      <c r="H962" s="17"/>
      <c r="I962" s="17"/>
      <c r="J962" s="17"/>
      <c r="K962" s="17"/>
      <c r="L962" s="17"/>
      <c r="M962" s="17"/>
      <c r="N962" s="17"/>
      <c r="O962" s="17"/>
    </row>
    <row r="963" spans="2:15" x14ac:dyDescent="0.3">
      <c r="B963" s="23" t="s">
        <v>241</v>
      </c>
      <c r="C963" s="17"/>
      <c r="D963" s="17"/>
      <c r="E963" s="17"/>
      <c r="F963" s="17"/>
      <c r="G963" s="17"/>
      <c r="H963" s="17"/>
      <c r="I963" s="17"/>
      <c r="J963" s="17"/>
      <c r="K963" s="17"/>
      <c r="L963" s="17"/>
      <c r="M963" s="17"/>
      <c r="N963" s="17"/>
      <c r="O963" s="17"/>
    </row>
    <row r="964" spans="2:15" x14ac:dyDescent="0.3">
      <c r="B964" t="s">
        <v>338</v>
      </c>
      <c r="C964" s="17">
        <v>0.27393749052366501</v>
      </c>
      <c r="D964" s="17">
        <v>0.33357297597093899</v>
      </c>
      <c r="E964" s="17">
        <v>0.21617817956395199</v>
      </c>
      <c r="F964" s="17"/>
      <c r="G964" s="17">
        <v>0.29771833289807198</v>
      </c>
      <c r="H964" s="17">
        <v>0.29017600434129698</v>
      </c>
      <c r="I964" s="17">
        <v>0.26407250719553199</v>
      </c>
      <c r="J964" s="17">
        <v>0.227967508719054</v>
      </c>
      <c r="K964" s="17"/>
      <c r="L964" s="17">
        <v>0.29398404510857401</v>
      </c>
      <c r="M964" s="17">
        <v>0.27682930345537898</v>
      </c>
      <c r="N964" s="17">
        <v>0.30879014844381503</v>
      </c>
      <c r="O964" s="17">
        <v>0.21325811192341701</v>
      </c>
    </row>
    <row r="965" spans="2:15" x14ac:dyDescent="0.3">
      <c r="B965" t="s">
        <v>333</v>
      </c>
      <c r="C965" s="17">
        <v>0.31651043590660699</v>
      </c>
      <c r="D965" s="17">
        <v>0.30738371901668499</v>
      </c>
      <c r="E965" s="17">
        <v>0.32797055654853202</v>
      </c>
      <c r="F965" s="17"/>
      <c r="G965" s="17">
        <v>0.39781974851552998</v>
      </c>
      <c r="H965" s="17">
        <v>0.27437826989150799</v>
      </c>
      <c r="I965" s="17">
        <v>0.29625964737799299</v>
      </c>
      <c r="J965" s="17">
        <v>0.28006606226293002</v>
      </c>
      <c r="K965" s="17"/>
      <c r="L965" s="17">
        <v>0.33054753061747899</v>
      </c>
      <c r="M965" s="17">
        <v>0.335525901298659</v>
      </c>
      <c r="N965" s="17">
        <v>0.31298924176143</v>
      </c>
      <c r="O965" s="17">
        <v>0.28580818369266803</v>
      </c>
    </row>
    <row r="966" spans="2:15" x14ac:dyDescent="0.3">
      <c r="B966" t="s">
        <v>334</v>
      </c>
      <c r="C966" s="17">
        <v>0.25290423755727398</v>
      </c>
      <c r="D966" s="17">
        <v>0.22554322482282901</v>
      </c>
      <c r="E966" s="17">
        <v>0.27486126893013701</v>
      </c>
      <c r="F966" s="17"/>
      <c r="G966" s="17">
        <v>0.20133533789813701</v>
      </c>
      <c r="H966" s="17">
        <v>0.204686021950298</v>
      </c>
      <c r="I966" s="17">
        <v>0.33278843979983003</v>
      </c>
      <c r="J966" s="17">
        <v>0.30348928325625601</v>
      </c>
      <c r="K966" s="17"/>
      <c r="L966" s="17">
        <v>0.26034915577254503</v>
      </c>
      <c r="M966" s="17">
        <v>0.225985134090156</v>
      </c>
      <c r="N966" s="17">
        <v>0.23784053398393401</v>
      </c>
      <c r="O966" s="17">
        <v>0.29063514314651401</v>
      </c>
    </row>
    <row r="967" spans="2:15" x14ac:dyDescent="0.3">
      <c r="B967" t="s">
        <v>335</v>
      </c>
      <c r="C967" s="17">
        <v>8.7518532514178696E-2</v>
      </c>
      <c r="D967" s="17">
        <v>7.2303316809169696E-2</v>
      </c>
      <c r="E967" s="17">
        <v>0.10340590242735199</v>
      </c>
      <c r="F967" s="17"/>
      <c r="G967" s="17">
        <v>8.1739226431721504E-2</v>
      </c>
      <c r="H967" s="17">
        <v>0.102240567469323</v>
      </c>
      <c r="I967" s="17">
        <v>3.4577470020587898E-2</v>
      </c>
      <c r="J967" s="17">
        <v>0.127298372787638</v>
      </c>
      <c r="K967" s="17"/>
      <c r="L967" s="17">
        <v>7.9834613619196595E-2</v>
      </c>
      <c r="M967" s="17">
        <v>0.110821004166333</v>
      </c>
      <c r="N967" s="17">
        <v>6.6939963433364405E-2</v>
      </c>
      <c r="O967" s="17">
        <v>9.2289270342879995E-2</v>
      </c>
    </row>
    <row r="968" spans="2:15" x14ac:dyDescent="0.3">
      <c r="B968" t="s">
        <v>339</v>
      </c>
      <c r="C968" s="17">
        <v>2.7827590218266099E-2</v>
      </c>
      <c r="D968" s="17">
        <v>3.6522867378989299E-2</v>
      </c>
      <c r="E968" s="17">
        <v>1.9317303145631799E-2</v>
      </c>
      <c r="F968" s="17"/>
      <c r="G968" s="17">
        <v>1.6548902714726501E-2</v>
      </c>
      <c r="H968" s="17">
        <v>4.8896470562500398E-2</v>
      </c>
      <c r="I968" s="17">
        <v>2.7564802754117199E-2</v>
      </c>
      <c r="J968" s="17">
        <v>1.8976011224924001E-2</v>
      </c>
      <c r="K968" s="17"/>
      <c r="L968" s="17">
        <v>0</v>
      </c>
      <c r="M968" s="17">
        <v>3.02284235892506E-2</v>
      </c>
      <c r="N968" s="17">
        <v>2.5436323762011898E-2</v>
      </c>
      <c r="O968" s="17">
        <v>5.56468732217811E-2</v>
      </c>
    </row>
    <row r="969" spans="2:15" x14ac:dyDescent="0.3">
      <c r="B969" t="s">
        <v>142</v>
      </c>
      <c r="C969" s="17">
        <v>4.1301713280009499E-2</v>
      </c>
      <c r="D969" s="17">
        <v>2.4673896001387301E-2</v>
      </c>
      <c r="E969" s="17">
        <v>5.82667893843953E-2</v>
      </c>
      <c r="F969" s="17"/>
      <c r="G969" s="17">
        <v>4.8384515418131999E-3</v>
      </c>
      <c r="H969" s="17">
        <v>7.9622665785074195E-2</v>
      </c>
      <c r="I969" s="17">
        <v>4.4737132851940198E-2</v>
      </c>
      <c r="J969" s="17">
        <v>4.2202761749197203E-2</v>
      </c>
      <c r="K969" s="17"/>
      <c r="L969" s="17">
        <v>3.52846548822053E-2</v>
      </c>
      <c r="M969" s="17">
        <v>2.06102334002225E-2</v>
      </c>
      <c r="N969" s="17">
        <v>4.8003788615444999E-2</v>
      </c>
      <c r="O969" s="17">
        <v>6.2362417672740401E-2</v>
      </c>
    </row>
    <row r="970" spans="2:15" x14ac:dyDescent="0.3">
      <c r="C970" s="17"/>
      <c r="D970" s="17"/>
      <c r="E970" s="17"/>
      <c r="F970" s="17"/>
      <c r="G970" s="17"/>
      <c r="H970" s="17"/>
      <c r="I970" s="17"/>
      <c r="J970" s="17"/>
      <c r="K970" s="17"/>
      <c r="L970" s="17"/>
      <c r="M970" s="17"/>
      <c r="N970" s="17"/>
      <c r="O970" s="17"/>
    </row>
    <row r="971" spans="2:15" x14ac:dyDescent="0.3">
      <c r="B971" s="6" t="s">
        <v>337</v>
      </c>
      <c r="C971" s="17"/>
      <c r="D971" s="17"/>
      <c r="E971" s="17"/>
      <c r="F971" s="17"/>
      <c r="G971" s="17"/>
      <c r="H971" s="17"/>
      <c r="I971" s="17"/>
      <c r="J971" s="17"/>
      <c r="K971" s="17"/>
      <c r="L971" s="17"/>
      <c r="M971" s="17"/>
      <c r="N971" s="17"/>
      <c r="O971" s="17"/>
    </row>
    <row r="972" spans="2:15" x14ac:dyDescent="0.3">
      <c r="B972" s="23" t="s">
        <v>46</v>
      </c>
      <c r="C972" s="17"/>
      <c r="D972" s="17"/>
      <c r="E972" s="17"/>
      <c r="F972" s="17"/>
      <c r="G972" s="17"/>
      <c r="H972" s="17"/>
      <c r="I972" s="17"/>
      <c r="J972" s="17"/>
      <c r="K972" s="17"/>
      <c r="L972" s="17"/>
      <c r="M972" s="17"/>
      <c r="N972" s="17"/>
      <c r="O972" s="17"/>
    </row>
    <row r="973" spans="2:15" x14ac:dyDescent="0.3">
      <c r="B973" t="s">
        <v>340</v>
      </c>
      <c r="C973" s="17">
        <v>0.30584172729768799</v>
      </c>
      <c r="D973" s="17">
        <v>0.37173999018904402</v>
      </c>
      <c r="E973" s="17">
        <v>0.24224720287745999</v>
      </c>
      <c r="F973" s="17"/>
      <c r="G973" s="17">
        <v>0.37161299244527002</v>
      </c>
      <c r="H973" s="17">
        <v>0.32214398566871999</v>
      </c>
      <c r="I973" s="17">
        <v>0.27706809324642301</v>
      </c>
      <c r="J973" s="17">
        <v>0.22248761148087601</v>
      </c>
      <c r="K973" s="17"/>
      <c r="L973" s="17">
        <v>0.3144848528752</v>
      </c>
      <c r="M973" s="17">
        <v>0.31890887251200301</v>
      </c>
      <c r="N973" s="17">
        <v>0.33851080276013501</v>
      </c>
      <c r="O973" s="17">
        <v>0.24775002284470299</v>
      </c>
    </row>
    <row r="974" spans="2:15" x14ac:dyDescent="0.3">
      <c r="B974" t="s">
        <v>333</v>
      </c>
      <c r="C974" s="17">
        <v>0.26813329434337202</v>
      </c>
      <c r="D974" s="17">
        <v>0.28205288351826702</v>
      </c>
      <c r="E974" s="17">
        <v>0.25618350559603298</v>
      </c>
      <c r="F974" s="17"/>
      <c r="G974" s="17">
        <v>0.336789709416351</v>
      </c>
      <c r="H974" s="17">
        <v>0.18988312817400699</v>
      </c>
      <c r="I974" s="17">
        <v>0.27428307626283999</v>
      </c>
      <c r="J974" s="17">
        <v>0.26409835416066602</v>
      </c>
      <c r="K974" s="17"/>
      <c r="L974" s="17">
        <v>0.29823953054083002</v>
      </c>
      <c r="M974" s="17">
        <v>0.27259328218315099</v>
      </c>
      <c r="N974" s="17">
        <v>0.267776947184106</v>
      </c>
      <c r="O974" s="17">
        <v>0.23361523519535601</v>
      </c>
    </row>
    <row r="975" spans="2:15" x14ac:dyDescent="0.3">
      <c r="B975" t="s">
        <v>334</v>
      </c>
      <c r="C975" s="17">
        <v>0.23797132626141601</v>
      </c>
      <c r="D975" s="17">
        <v>0.18428651719235001</v>
      </c>
      <c r="E975" s="17">
        <v>0.29038754391528299</v>
      </c>
      <c r="F975" s="17"/>
      <c r="G975" s="17">
        <v>0.17913802603277901</v>
      </c>
      <c r="H975" s="17">
        <v>0.249021599492946</v>
      </c>
      <c r="I975" s="17">
        <v>0.29004046863709498</v>
      </c>
      <c r="J975" s="17">
        <v>0.25637409249336202</v>
      </c>
      <c r="K975" s="17"/>
      <c r="L975" s="17">
        <v>0.23894843505720401</v>
      </c>
      <c r="M975" s="17">
        <v>0.21356655242797501</v>
      </c>
      <c r="N975" s="17">
        <v>0.25773665560010101</v>
      </c>
      <c r="O975" s="17">
        <v>0.241835397684694</v>
      </c>
    </row>
    <row r="976" spans="2:15" x14ac:dyDescent="0.3">
      <c r="B976" t="s">
        <v>335</v>
      </c>
      <c r="C976" s="17">
        <v>7.96338674747116E-2</v>
      </c>
      <c r="D976" s="17">
        <v>8.4505743793985205E-2</v>
      </c>
      <c r="E976" s="17">
        <v>7.1002239090591807E-2</v>
      </c>
      <c r="F976" s="17"/>
      <c r="G976" s="17">
        <v>5.34799526264872E-2</v>
      </c>
      <c r="H976" s="17">
        <v>9.7939594178760095E-2</v>
      </c>
      <c r="I976" s="17">
        <v>5.2024747837956402E-2</v>
      </c>
      <c r="J976" s="17">
        <v>0.118725649971196</v>
      </c>
      <c r="K976" s="17"/>
      <c r="L976" s="17">
        <v>6.9790434226513695E-2</v>
      </c>
      <c r="M976" s="17">
        <v>7.3819064119613698E-2</v>
      </c>
      <c r="N976" s="17">
        <v>5.8175157297200901E-2</v>
      </c>
      <c r="O976" s="17">
        <v>0.11897955550933299</v>
      </c>
    </row>
    <row r="977" spans="2:15" x14ac:dyDescent="0.3">
      <c r="B977" t="s">
        <v>341</v>
      </c>
      <c r="C977" s="17">
        <v>6.7087599737487999E-2</v>
      </c>
      <c r="D977" s="17">
        <v>4.3548419553827801E-2</v>
      </c>
      <c r="E977" s="17">
        <v>9.1088880679376899E-2</v>
      </c>
      <c r="F977" s="17"/>
      <c r="G977" s="17">
        <v>5.3298204127673103E-2</v>
      </c>
      <c r="H977" s="17">
        <v>8.8594950266523004E-2</v>
      </c>
      <c r="I977" s="17">
        <v>7.4931487746799599E-2</v>
      </c>
      <c r="J977" s="17">
        <v>5.39992475577886E-2</v>
      </c>
      <c r="K977" s="17"/>
      <c r="L977" s="17">
        <v>4.1481228691401799E-2</v>
      </c>
      <c r="M977" s="17">
        <v>7.6409055306620205E-2</v>
      </c>
      <c r="N977" s="17">
        <v>4.2436896457505299E-2</v>
      </c>
      <c r="O977" s="17">
        <v>0.10937127289130701</v>
      </c>
    </row>
    <row r="978" spans="2:15" x14ac:dyDescent="0.3">
      <c r="B978" t="s">
        <v>142</v>
      </c>
      <c r="C978" s="17">
        <v>4.13321848853241E-2</v>
      </c>
      <c r="D978" s="17">
        <v>3.38664457525263E-2</v>
      </c>
      <c r="E978" s="17">
        <v>4.9090627841256299E-2</v>
      </c>
      <c r="F978" s="17"/>
      <c r="G978" s="17">
        <v>5.6811153514406999E-3</v>
      </c>
      <c r="H978" s="17">
        <v>5.2416742219044202E-2</v>
      </c>
      <c r="I978" s="17">
        <v>3.1652126268886999E-2</v>
      </c>
      <c r="J978" s="17">
        <v>8.4315044336112102E-2</v>
      </c>
      <c r="K978" s="17"/>
      <c r="L978" s="17">
        <v>3.7055518608850702E-2</v>
      </c>
      <c r="M978" s="17">
        <v>4.47031734506367E-2</v>
      </c>
      <c r="N978" s="17">
        <v>3.5363540700952399E-2</v>
      </c>
      <c r="O978" s="17">
        <v>4.8448515874606399E-2</v>
      </c>
    </row>
    <row r="979" spans="2:15" x14ac:dyDescent="0.3">
      <c r="C979" s="17"/>
      <c r="D979" s="17"/>
      <c r="E979" s="17"/>
      <c r="F979" s="17"/>
      <c r="G979" s="17"/>
      <c r="H979" s="17"/>
      <c r="I979" s="17"/>
      <c r="J979" s="17"/>
      <c r="K979" s="17"/>
      <c r="L979" s="17"/>
      <c r="M979" s="17"/>
      <c r="N979" s="17"/>
      <c r="O979" s="17"/>
    </row>
    <row r="980" spans="2:15" x14ac:dyDescent="0.3">
      <c r="B980" s="6" t="s">
        <v>352</v>
      </c>
      <c r="C980" s="17"/>
      <c r="D980" s="17"/>
      <c r="E980" s="17"/>
      <c r="F980" s="17"/>
      <c r="G980" s="17"/>
      <c r="H980" s="17"/>
      <c r="I980" s="17"/>
      <c r="J980" s="17"/>
      <c r="K980" s="17"/>
      <c r="L980" s="17"/>
      <c r="M980" s="17"/>
      <c r="N980" s="17"/>
      <c r="O980" s="17"/>
    </row>
    <row r="981" spans="2:15" x14ac:dyDescent="0.3">
      <c r="B981" s="23" t="s">
        <v>241</v>
      </c>
      <c r="C981" s="17"/>
      <c r="D981" s="17"/>
      <c r="E981" s="17"/>
      <c r="F981" s="17"/>
      <c r="G981" s="17"/>
      <c r="H981" s="17"/>
      <c r="I981" s="17"/>
      <c r="J981" s="17"/>
      <c r="K981" s="17"/>
      <c r="L981" s="17"/>
      <c r="M981" s="17"/>
      <c r="N981" s="17"/>
      <c r="O981" s="17"/>
    </row>
    <row r="982" spans="2:15" x14ac:dyDescent="0.3">
      <c r="B982" t="s">
        <v>348</v>
      </c>
      <c r="C982" s="17">
        <v>6.9156853385084899E-2</v>
      </c>
      <c r="D982" s="17">
        <v>6.7418295749080398E-2</v>
      </c>
      <c r="E982" s="17">
        <v>7.1409301850372198E-2</v>
      </c>
      <c r="F982" s="17"/>
      <c r="G982" s="17">
        <v>5.9541764360581201E-2</v>
      </c>
      <c r="H982" s="17">
        <v>8.9880348837580906E-2</v>
      </c>
      <c r="I982" s="17">
        <v>5.2643630179926001E-2</v>
      </c>
      <c r="J982" s="17">
        <v>7.3891553946949698E-2</v>
      </c>
      <c r="K982" s="17"/>
      <c r="L982" s="17">
        <v>2.7645416532635001E-2</v>
      </c>
      <c r="M982" s="17">
        <v>6.7904967337479097E-2</v>
      </c>
      <c r="N982" s="17">
        <v>6.9860447162991599E-2</v>
      </c>
      <c r="O982" s="17">
        <v>0.111239073179923</v>
      </c>
    </row>
    <row r="983" spans="2:15" x14ac:dyDescent="0.3">
      <c r="B983" t="s">
        <v>333</v>
      </c>
      <c r="C983" s="17">
        <v>8.6869590301546395E-2</v>
      </c>
      <c r="D983" s="17">
        <v>6.9975889882566894E-2</v>
      </c>
      <c r="E983" s="17">
        <v>0.100101429744303</v>
      </c>
      <c r="F983" s="17"/>
      <c r="G983" s="17">
        <v>7.1367096894046897E-2</v>
      </c>
      <c r="H983" s="17">
        <v>9.6409809673752997E-2</v>
      </c>
      <c r="I983" s="17">
        <v>6.2395394842702803E-2</v>
      </c>
      <c r="J983" s="17">
        <v>0.119256916283878</v>
      </c>
      <c r="K983" s="17"/>
      <c r="L983" s="17">
        <v>6.1616561576979999E-2</v>
      </c>
      <c r="M983" s="17">
        <v>6.4412974395404304E-2</v>
      </c>
      <c r="N983" s="17">
        <v>0.124645294641289</v>
      </c>
      <c r="O983" s="17">
        <v>9.5110766752380893E-2</v>
      </c>
    </row>
    <row r="984" spans="2:15" x14ac:dyDescent="0.3">
      <c r="B984" t="s">
        <v>334</v>
      </c>
      <c r="C984" s="17">
        <v>0.21747911233655001</v>
      </c>
      <c r="D984" s="17">
        <v>0.24043260871924099</v>
      </c>
      <c r="E984" s="17">
        <v>0.19602317189985</v>
      </c>
      <c r="F984" s="17"/>
      <c r="G984" s="17">
        <v>0.168280629480515</v>
      </c>
      <c r="H984" s="17">
        <v>0.23521639682491799</v>
      </c>
      <c r="I984" s="17">
        <v>0.26675189988777998</v>
      </c>
      <c r="J984" s="17">
        <v>0.21808983353320099</v>
      </c>
      <c r="K984" s="17"/>
      <c r="L984" s="17">
        <v>0.26892964315220003</v>
      </c>
      <c r="M984" s="17">
        <v>0.19245129473165301</v>
      </c>
      <c r="N984" s="17">
        <v>0.18611436072434101</v>
      </c>
      <c r="O984" s="17">
        <v>0.22665670804237001</v>
      </c>
    </row>
    <row r="985" spans="2:15" x14ac:dyDescent="0.3">
      <c r="B985" t="s">
        <v>335</v>
      </c>
      <c r="C985" s="17">
        <v>0.24825383496520501</v>
      </c>
      <c r="D985" s="17">
        <v>0.22639424542596301</v>
      </c>
      <c r="E985" s="17">
        <v>0.26906596896003798</v>
      </c>
      <c r="F985" s="17"/>
      <c r="G985" s="17">
        <v>0.266922307119835</v>
      </c>
      <c r="H985" s="17">
        <v>0.241087124476807</v>
      </c>
      <c r="I985" s="17">
        <v>0.22294389242648699</v>
      </c>
      <c r="J985" s="17">
        <v>0.25717266159660401</v>
      </c>
      <c r="K985" s="17"/>
      <c r="L985" s="17">
        <v>0.24108146755784901</v>
      </c>
      <c r="M985" s="17">
        <v>0.29552262545111102</v>
      </c>
      <c r="N985" s="17">
        <v>0.23202540279987699</v>
      </c>
      <c r="O985" s="17">
        <v>0.22267514776130301</v>
      </c>
    </row>
    <row r="986" spans="2:15" x14ac:dyDescent="0.3">
      <c r="B986" t="s">
        <v>349</v>
      </c>
      <c r="C986" s="17">
        <v>0.35861206906107002</v>
      </c>
      <c r="D986" s="17">
        <v>0.38050434778314701</v>
      </c>
      <c r="E986" s="17">
        <v>0.3392557097137</v>
      </c>
      <c r="F986" s="17"/>
      <c r="G986" s="17">
        <v>0.41819053098793901</v>
      </c>
      <c r="H986" s="17">
        <v>0.30453065592637601</v>
      </c>
      <c r="I986" s="17">
        <v>0.38739782289917701</v>
      </c>
      <c r="J986" s="17">
        <v>0.31090384552843903</v>
      </c>
      <c r="K986" s="17"/>
      <c r="L986" s="17">
        <v>0.38401862501842898</v>
      </c>
      <c r="M986" s="17">
        <v>0.36674223126986</v>
      </c>
      <c r="N986" s="17">
        <v>0.35380671306039302</v>
      </c>
      <c r="O986" s="17">
        <v>0.32975431045947101</v>
      </c>
    </row>
    <row r="987" spans="2:15" x14ac:dyDescent="0.3">
      <c r="B987" t="s">
        <v>350</v>
      </c>
      <c r="C987" s="17">
        <v>1.9628539950543901E-2</v>
      </c>
      <c r="D987" s="17">
        <v>1.52746124400009E-2</v>
      </c>
      <c r="E987" s="17">
        <v>2.41444178317375E-2</v>
      </c>
      <c r="F987" s="17"/>
      <c r="G987" s="17">
        <v>1.5697671157082701E-2</v>
      </c>
      <c r="H987" s="17">
        <v>3.2875664260564999E-2</v>
      </c>
      <c r="I987" s="17">
        <v>7.8673597639276407E-3</v>
      </c>
      <c r="J987" s="17">
        <v>2.0685189110928402E-2</v>
      </c>
      <c r="K987" s="17"/>
      <c r="L987" s="17">
        <v>1.6708286161906099E-2</v>
      </c>
      <c r="M987" s="17">
        <v>1.29659068144925E-2</v>
      </c>
      <c r="N987" s="17">
        <v>3.3547781611108399E-2</v>
      </c>
      <c r="O987" s="17">
        <v>1.4563993804552099E-2</v>
      </c>
    </row>
    <row r="988" spans="2:15" x14ac:dyDescent="0.3">
      <c r="C988" s="17"/>
      <c r="D988" s="17"/>
      <c r="E988" s="17"/>
      <c r="F988" s="17"/>
      <c r="G988" s="17"/>
      <c r="H988" s="17"/>
      <c r="I988" s="17"/>
      <c r="J988" s="17"/>
      <c r="K988" s="17"/>
      <c r="L988" s="17"/>
      <c r="M988" s="17"/>
      <c r="N988" s="17"/>
      <c r="O988" s="17"/>
    </row>
    <row r="989" spans="2:15" x14ac:dyDescent="0.3">
      <c r="B989" s="6" t="s">
        <v>353</v>
      </c>
      <c r="C989" s="17"/>
      <c r="D989" s="17"/>
      <c r="E989" s="17"/>
      <c r="F989" s="17"/>
      <c r="G989" s="17"/>
      <c r="H989" s="17"/>
      <c r="I989" s="17"/>
      <c r="J989" s="17"/>
      <c r="K989" s="17"/>
      <c r="L989" s="17"/>
      <c r="M989" s="17"/>
      <c r="N989" s="17"/>
      <c r="O989" s="17"/>
    </row>
    <row r="990" spans="2:15" x14ac:dyDescent="0.3">
      <c r="B990" s="23" t="s">
        <v>46</v>
      </c>
      <c r="C990" s="17"/>
      <c r="D990" s="17"/>
      <c r="E990" s="17"/>
      <c r="F990" s="17"/>
      <c r="G990" s="17"/>
      <c r="H990" s="17"/>
      <c r="I990" s="17"/>
      <c r="J990" s="17"/>
      <c r="K990" s="17"/>
      <c r="L990" s="17"/>
      <c r="M990" s="17"/>
      <c r="N990" s="17"/>
      <c r="O990" s="17"/>
    </row>
    <row r="991" spans="2:15" x14ac:dyDescent="0.3">
      <c r="B991" t="s">
        <v>348</v>
      </c>
      <c r="C991" s="17">
        <v>8.08036276366976E-2</v>
      </c>
      <c r="D991" s="17">
        <v>7.1623471329540001E-2</v>
      </c>
      <c r="E991" s="17">
        <v>9.0562176248776396E-2</v>
      </c>
      <c r="F991" s="17"/>
      <c r="G991" s="17">
        <v>3.9248690294880602E-2</v>
      </c>
      <c r="H991" s="17">
        <v>8.7149640821859303E-2</v>
      </c>
      <c r="I991" s="17">
        <v>0.10890255312373399</v>
      </c>
      <c r="J991" s="17">
        <v>0.10268517337222</v>
      </c>
      <c r="K991" s="17"/>
      <c r="L991" s="17">
        <v>6.2355897931720403E-2</v>
      </c>
      <c r="M991" s="17">
        <v>0.112552036188525</v>
      </c>
      <c r="N991" s="17">
        <v>3.1916547010261601E-2</v>
      </c>
      <c r="O991" s="17">
        <v>0.118058770335772</v>
      </c>
    </row>
    <row r="992" spans="2:15" x14ac:dyDescent="0.3">
      <c r="B992" t="s">
        <v>333</v>
      </c>
      <c r="C992" s="17">
        <v>6.0099035841549998E-2</v>
      </c>
      <c r="D992" s="17">
        <v>4.9327556749176597E-2</v>
      </c>
      <c r="E992" s="17">
        <v>6.6950606657475695E-2</v>
      </c>
      <c r="F992" s="17"/>
      <c r="G992" s="17">
        <v>5.4575520466360099E-2</v>
      </c>
      <c r="H992" s="17">
        <v>7.7670750353516699E-2</v>
      </c>
      <c r="I992" s="17">
        <v>3.4015717851654602E-2</v>
      </c>
      <c r="J992" s="17">
        <v>7.16250628986244E-2</v>
      </c>
      <c r="K992" s="17"/>
      <c r="L992" s="17">
        <v>2.9811248872666299E-2</v>
      </c>
      <c r="M992" s="17">
        <v>4.12736987721758E-2</v>
      </c>
      <c r="N992" s="17">
        <v>8.3862189241954696E-2</v>
      </c>
      <c r="O992" s="17">
        <v>8.4894905595231093E-2</v>
      </c>
    </row>
    <row r="993" spans="2:15" x14ac:dyDescent="0.3">
      <c r="B993" t="s">
        <v>334</v>
      </c>
      <c r="C993" s="17">
        <v>0.171938651553458</v>
      </c>
      <c r="D993" s="17">
        <v>0.131808810823973</v>
      </c>
      <c r="E993" s="17">
        <v>0.210334126654628</v>
      </c>
      <c r="F993" s="17"/>
      <c r="G993" s="17">
        <v>0.11231061486458201</v>
      </c>
      <c r="H993" s="17">
        <v>0.13719460269601</v>
      </c>
      <c r="I993" s="17">
        <v>0.22369191494471999</v>
      </c>
      <c r="J993" s="17">
        <v>0.24311466892363701</v>
      </c>
      <c r="K993" s="17"/>
      <c r="L993" s="17">
        <v>0.19260469984376899</v>
      </c>
      <c r="M993" s="17">
        <v>0.16784142904338001</v>
      </c>
      <c r="N993" s="17">
        <v>0.17712547364328601</v>
      </c>
      <c r="O993" s="17">
        <v>0.15006116415394799</v>
      </c>
    </row>
    <row r="994" spans="2:15" x14ac:dyDescent="0.3">
      <c r="B994" t="s">
        <v>335</v>
      </c>
      <c r="C994" s="17">
        <v>0.24213767964258801</v>
      </c>
      <c r="D994" s="17">
        <v>0.236377152894958</v>
      </c>
      <c r="E994" s="17">
        <v>0.24965617568524101</v>
      </c>
      <c r="F994" s="17"/>
      <c r="G994" s="17">
        <v>0.262956654383871</v>
      </c>
      <c r="H994" s="17">
        <v>0.240684932565882</v>
      </c>
      <c r="I994" s="17">
        <v>0.25474539461931001</v>
      </c>
      <c r="J994" s="17">
        <v>0.20710450012557099</v>
      </c>
      <c r="K994" s="17"/>
      <c r="L994" s="17">
        <v>0.26022165357371602</v>
      </c>
      <c r="M994" s="17">
        <v>0.25294551571092799</v>
      </c>
      <c r="N994" s="17">
        <v>0.22049172036609099</v>
      </c>
      <c r="O994" s="17">
        <v>0.235876883399604</v>
      </c>
    </row>
    <row r="995" spans="2:15" x14ac:dyDescent="0.3">
      <c r="B995" t="s">
        <v>349</v>
      </c>
      <c r="C995" s="17">
        <v>0.399554725332667</v>
      </c>
      <c r="D995" s="17">
        <v>0.46021793382089099</v>
      </c>
      <c r="E995" s="17">
        <v>0.34187221088105502</v>
      </c>
      <c r="F995" s="17"/>
      <c r="G995" s="17">
        <v>0.50329922700152196</v>
      </c>
      <c r="H995" s="17">
        <v>0.383014941026667</v>
      </c>
      <c r="I995" s="17">
        <v>0.35993428762311902</v>
      </c>
      <c r="J995" s="17">
        <v>0.31469268598774702</v>
      </c>
      <c r="K995" s="17"/>
      <c r="L995" s="17">
        <v>0.41421997313965903</v>
      </c>
      <c r="M995" s="17">
        <v>0.40317151715724397</v>
      </c>
      <c r="N995" s="17">
        <v>0.43159307668758801</v>
      </c>
      <c r="O995" s="17">
        <v>0.34629047235261701</v>
      </c>
    </row>
    <row r="996" spans="2:15" x14ac:dyDescent="0.3">
      <c r="B996" t="s">
        <v>350</v>
      </c>
      <c r="C996" s="17">
        <v>4.5466279993038698E-2</v>
      </c>
      <c r="D996" s="17">
        <v>5.0645074381460799E-2</v>
      </c>
      <c r="E996" s="17">
        <v>4.0624703872824498E-2</v>
      </c>
      <c r="F996" s="17"/>
      <c r="G996" s="17">
        <v>2.7609292988784499E-2</v>
      </c>
      <c r="H996" s="17">
        <v>7.4285132536064905E-2</v>
      </c>
      <c r="I996" s="17">
        <v>1.8710131837461799E-2</v>
      </c>
      <c r="J996" s="17">
        <v>6.0777908692200303E-2</v>
      </c>
      <c r="K996" s="17"/>
      <c r="L996" s="17">
        <v>4.0786526638468601E-2</v>
      </c>
      <c r="M996" s="17">
        <v>2.2215803127746701E-2</v>
      </c>
      <c r="N996" s="17">
        <v>5.5010993050818302E-2</v>
      </c>
      <c r="O996" s="17">
        <v>6.4817804162828299E-2</v>
      </c>
    </row>
    <row r="997" spans="2:15" x14ac:dyDescent="0.3">
      <c r="C997" s="17"/>
      <c r="D997" s="17"/>
      <c r="E997" s="17"/>
      <c r="F997" s="17"/>
      <c r="G997" s="17"/>
      <c r="H997" s="17"/>
      <c r="I997" s="17"/>
      <c r="J997" s="17"/>
      <c r="K997" s="17"/>
      <c r="L997" s="17"/>
      <c r="M997" s="17"/>
      <c r="N997" s="17"/>
      <c r="O997" s="17"/>
    </row>
    <row r="998" spans="2:15" x14ac:dyDescent="0.3">
      <c r="B998" s="6" t="s">
        <v>354</v>
      </c>
      <c r="C998" s="17"/>
      <c r="D998" s="17"/>
      <c r="E998" s="17"/>
      <c r="F998" s="17"/>
      <c r="G998" s="17"/>
      <c r="H998" s="17"/>
      <c r="I998" s="17"/>
      <c r="J998" s="17"/>
      <c r="K998" s="17"/>
      <c r="L998" s="17"/>
      <c r="M998" s="17"/>
      <c r="N998" s="17"/>
      <c r="O998" s="17"/>
    </row>
    <row r="999" spans="2:15" x14ac:dyDescent="0.3">
      <c r="B999" s="23" t="s">
        <v>241</v>
      </c>
      <c r="C999" s="17"/>
      <c r="D999" s="17"/>
      <c r="E999" s="17"/>
      <c r="F999" s="17"/>
      <c r="G999" s="17"/>
      <c r="H999" s="17"/>
      <c r="I999" s="17"/>
      <c r="J999" s="17"/>
      <c r="K999" s="17"/>
      <c r="L999" s="17"/>
      <c r="M999" s="17"/>
      <c r="N999" s="17"/>
      <c r="O999" s="17"/>
    </row>
    <row r="1000" spans="2:15" x14ac:dyDescent="0.3">
      <c r="B1000" t="s">
        <v>348</v>
      </c>
      <c r="C1000" s="17">
        <v>8.7488792786382594E-2</v>
      </c>
      <c r="D1000" s="17">
        <v>0.102332391457907</v>
      </c>
      <c r="E1000" s="17">
        <v>7.3187538616412695E-2</v>
      </c>
      <c r="F1000" s="17"/>
      <c r="G1000" s="17">
        <v>7.1644469122735296E-2</v>
      </c>
      <c r="H1000" s="17">
        <v>0.12589340571229801</v>
      </c>
      <c r="I1000" s="17">
        <v>7.3423234906650897E-2</v>
      </c>
      <c r="J1000" s="17">
        <v>7.8199462969097105E-2</v>
      </c>
      <c r="K1000" s="17"/>
      <c r="L1000" s="17">
        <v>3.3494034120156599E-2</v>
      </c>
      <c r="M1000" s="17">
        <v>0.107942284446919</v>
      </c>
      <c r="N1000" s="17">
        <v>8.6686134935400797E-2</v>
      </c>
      <c r="O1000" s="17">
        <v>0.12049252922105801</v>
      </c>
    </row>
    <row r="1001" spans="2:15" x14ac:dyDescent="0.3">
      <c r="B1001" t="s">
        <v>333</v>
      </c>
      <c r="C1001" s="17">
        <v>8.3588023871134398E-2</v>
      </c>
      <c r="D1001" s="17">
        <v>5.1900457739674E-2</v>
      </c>
      <c r="E1001" s="17">
        <v>0.116103536061972</v>
      </c>
      <c r="F1001" s="17"/>
      <c r="G1001" s="17">
        <v>8.8596418942318594E-2</v>
      </c>
      <c r="H1001" s="17">
        <v>0.107905528293849</v>
      </c>
      <c r="I1001" s="17">
        <v>4.0318744845086199E-2</v>
      </c>
      <c r="J1001" s="17">
        <v>8.9853307908026897E-2</v>
      </c>
      <c r="K1001" s="17"/>
      <c r="L1001" s="17">
        <v>8.5375703604587794E-2</v>
      </c>
      <c r="M1001" s="17">
        <v>6.0089347757365401E-2</v>
      </c>
      <c r="N1001" s="17">
        <v>9.4920915669271202E-2</v>
      </c>
      <c r="O1001" s="17">
        <v>9.47313213472116E-2</v>
      </c>
    </row>
    <row r="1002" spans="2:15" x14ac:dyDescent="0.3">
      <c r="B1002" t="s">
        <v>334</v>
      </c>
      <c r="C1002" s="17">
        <v>0.25391672781179597</v>
      </c>
      <c r="D1002" s="17">
        <v>0.24016622307163399</v>
      </c>
      <c r="E1002" s="17">
        <v>0.26524513571097003</v>
      </c>
      <c r="F1002" s="17"/>
      <c r="G1002" s="17">
        <v>0.21332651645230999</v>
      </c>
      <c r="H1002" s="17">
        <v>0.17402309758551601</v>
      </c>
      <c r="I1002" s="17">
        <v>0.32311769820686198</v>
      </c>
      <c r="J1002" s="17">
        <v>0.33529221392889902</v>
      </c>
      <c r="K1002" s="17"/>
      <c r="L1002" s="17">
        <v>0.24154734318660601</v>
      </c>
      <c r="M1002" s="17">
        <v>0.23869127014674399</v>
      </c>
      <c r="N1002" s="17">
        <v>0.27077209776087802</v>
      </c>
      <c r="O1002" s="17">
        <v>0.26444429110842199</v>
      </c>
    </row>
    <row r="1003" spans="2:15" x14ac:dyDescent="0.3">
      <c r="B1003" t="s">
        <v>335</v>
      </c>
      <c r="C1003" s="17">
        <v>0.26151583960769398</v>
      </c>
      <c r="D1003" s="17">
        <v>0.25709973233714301</v>
      </c>
      <c r="E1003" s="17">
        <v>0.26491765874474499</v>
      </c>
      <c r="F1003" s="17"/>
      <c r="G1003" s="17">
        <v>0.32099552216590799</v>
      </c>
      <c r="H1003" s="17">
        <v>0.24777651952449001</v>
      </c>
      <c r="I1003" s="17">
        <v>0.27744850588368097</v>
      </c>
      <c r="J1003" s="17">
        <v>0.18767950323078</v>
      </c>
      <c r="K1003" s="17"/>
      <c r="L1003" s="17">
        <v>0.28702672215416702</v>
      </c>
      <c r="M1003" s="17">
        <v>0.286006844710473</v>
      </c>
      <c r="N1003" s="17">
        <v>0.25882816824919402</v>
      </c>
      <c r="O1003" s="17">
        <v>0.212725333654181</v>
      </c>
    </row>
    <row r="1004" spans="2:15" x14ac:dyDescent="0.3">
      <c r="B1004" t="s">
        <v>349</v>
      </c>
      <c r="C1004" s="17">
        <v>0.25509804812887299</v>
      </c>
      <c r="D1004" s="17">
        <v>0.30074550583146298</v>
      </c>
      <c r="E1004" s="17">
        <v>0.211015963188499</v>
      </c>
      <c r="F1004" s="17"/>
      <c r="G1004" s="17">
        <v>0.25367655757709001</v>
      </c>
      <c r="H1004" s="17">
        <v>0.25838863215746699</v>
      </c>
      <c r="I1004" s="17">
        <v>0.234770072385309</v>
      </c>
      <c r="J1004" s="17">
        <v>0.26586819030473702</v>
      </c>
      <c r="K1004" s="17"/>
      <c r="L1004" s="17">
        <v>0.29008860563585898</v>
      </c>
      <c r="M1004" s="17">
        <v>0.24624094433890301</v>
      </c>
      <c r="N1004" s="17">
        <v>0.23582896060842501</v>
      </c>
      <c r="O1004" s="17">
        <v>0.250273453494328</v>
      </c>
    </row>
    <row r="1005" spans="2:15" x14ac:dyDescent="0.3">
      <c r="B1005" t="s">
        <v>350</v>
      </c>
      <c r="C1005" s="17">
        <v>5.8392567794120498E-2</v>
      </c>
      <c r="D1005" s="17">
        <v>4.7755689562178898E-2</v>
      </c>
      <c r="E1005" s="17">
        <v>6.9530167677402305E-2</v>
      </c>
      <c r="F1005" s="17"/>
      <c r="G1005" s="17">
        <v>5.1760515739637698E-2</v>
      </c>
      <c r="H1005" s="17">
        <v>8.6012816726379795E-2</v>
      </c>
      <c r="I1005" s="17">
        <v>5.0921743772410599E-2</v>
      </c>
      <c r="J1005" s="17">
        <v>4.3107321658459499E-2</v>
      </c>
      <c r="K1005" s="17"/>
      <c r="L1005" s="17">
        <v>6.24675912986234E-2</v>
      </c>
      <c r="M1005" s="17">
        <v>6.1029308599595697E-2</v>
      </c>
      <c r="N1005" s="17">
        <v>5.2963722776831201E-2</v>
      </c>
      <c r="O1005" s="17">
        <v>5.7333071174799598E-2</v>
      </c>
    </row>
    <row r="1006" spans="2:15" x14ac:dyDescent="0.3">
      <c r="C1006" s="17"/>
      <c r="D1006" s="17"/>
      <c r="E1006" s="17"/>
      <c r="F1006" s="17"/>
      <c r="G1006" s="17"/>
      <c r="H1006" s="17"/>
      <c r="I1006" s="17"/>
      <c r="J1006" s="17"/>
      <c r="K1006" s="17"/>
      <c r="L1006" s="17"/>
      <c r="M1006" s="17"/>
      <c r="N1006" s="17"/>
      <c r="O1006" s="17"/>
    </row>
    <row r="1007" spans="2:15" x14ac:dyDescent="0.3">
      <c r="B1007" s="6" t="s">
        <v>355</v>
      </c>
      <c r="C1007" s="17"/>
      <c r="D1007" s="17"/>
      <c r="E1007" s="17"/>
      <c r="F1007" s="17"/>
      <c r="G1007" s="17"/>
      <c r="H1007" s="17"/>
      <c r="I1007" s="17"/>
      <c r="J1007" s="17"/>
      <c r="K1007" s="17"/>
      <c r="L1007" s="17"/>
      <c r="M1007" s="17"/>
      <c r="N1007" s="17"/>
      <c r="O1007" s="17"/>
    </row>
    <row r="1008" spans="2:15" x14ac:dyDescent="0.3">
      <c r="B1008" s="23" t="s">
        <v>241</v>
      </c>
      <c r="C1008" s="17"/>
      <c r="D1008" s="17"/>
      <c r="E1008" s="17"/>
      <c r="F1008" s="17"/>
      <c r="G1008" s="17"/>
      <c r="H1008" s="17"/>
      <c r="I1008" s="17"/>
      <c r="J1008" s="17"/>
      <c r="K1008" s="17"/>
      <c r="L1008" s="17"/>
      <c r="M1008" s="17"/>
      <c r="N1008" s="17"/>
      <c r="O1008" s="17"/>
    </row>
    <row r="1009" spans="2:15" x14ac:dyDescent="0.3">
      <c r="B1009" t="s">
        <v>348</v>
      </c>
      <c r="C1009" s="17">
        <v>0.12752414553300001</v>
      </c>
      <c r="D1009" s="17">
        <v>0.13331552118971701</v>
      </c>
      <c r="E1009" s="17">
        <v>0.122707838412129</v>
      </c>
      <c r="F1009" s="17"/>
      <c r="G1009" s="17">
        <v>9.1523410316182205E-2</v>
      </c>
      <c r="H1009" s="17">
        <v>0.14531957233975601</v>
      </c>
      <c r="I1009" s="17">
        <v>0.160048870884162</v>
      </c>
      <c r="J1009" s="17">
        <v>0.126335179783477</v>
      </c>
      <c r="K1009" s="17"/>
      <c r="L1009" s="17">
        <v>0.136247745638756</v>
      </c>
      <c r="M1009" s="17">
        <v>0.162350623101951</v>
      </c>
      <c r="N1009" s="17">
        <v>9.8190186417947301E-2</v>
      </c>
      <c r="O1009" s="17">
        <v>0.11379328129204699</v>
      </c>
    </row>
    <row r="1010" spans="2:15" x14ac:dyDescent="0.3">
      <c r="B1010" t="s">
        <v>333</v>
      </c>
      <c r="C1010" s="17">
        <v>0.110584830284714</v>
      </c>
      <c r="D1010" s="17">
        <v>0.122467290109251</v>
      </c>
      <c r="E1010" s="17">
        <v>9.9598233158295996E-2</v>
      </c>
      <c r="F1010" s="17"/>
      <c r="G1010" s="17">
        <v>8.8583915448528894E-2</v>
      </c>
      <c r="H1010" s="17">
        <v>0.109052109416218</v>
      </c>
      <c r="I1010" s="17">
        <v>0.11818366584673499</v>
      </c>
      <c r="J1010" s="17">
        <v>0.13505047945585</v>
      </c>
      <c r="K1010" s="17"/>
      <c r="L1010" s="17">
        <v>0.1238282198826</v>
      </c>
      <c r="M1010" s="17">
        <v>0.12516250281753899</v>
      </c>
      <c r="N1010" s="17">
        <v>8.8535095914081097E-2</v>
      </c>
      <c r="O1010" s="17">
        <v>0.105932242530952</v>
      </c>
    </row>
    <row r="1011" spans="2:15" x14ac:dyDescent="0.3">
      <c r="B1011" t="s">
        <v>334</v>
      </c>
      <c r="C1011" s="17">
        <v>0.24788662415073701</v>
      </c>
      <c r="D1011" s="17">
        <v>0.25275952565251802</v>
      </c>
      <c r="E1011" s="17">
        <v>0.244862275114857</v>
      </c>
      <c r="F1011" s="17"/>
      <c r="G1011" s="17">
        <v>0.18630116274607</v>
      </c>
      <c r="H1011" s="17">
        <v>0.210355469649782</v>
      </c>
      <c r="I1011" s="17">
        <v>0.296481497188541</v>
      </c>
      <c r="J1011" s="17">
        <v>0.32899423815350198</v>
      </c>
      <c r="K1011" s="17"/>
      <c r="L1011" s="17">
        <v>0.18809895206438501</v>
      </c>
      <c r="M1011" s="17">
        <v>0.25337115911840702</v>
      </c>
      <c r="N1011" s="17">
        <v>0.24407148408944099</v>
      </c>
      <c r="O1011" s="17">
        <v>0.305367960386563</v>
      </c>
    </row>
    <row r="1012" spans="2:15" x14ac:dyDescent="0.3">
      <c r="B1012" t="s">
        <v>335</v>
      </c>
      <c r="C1012" s="17">
        <v>0.175248825985582</v>
      </c>
      <c r="D1012" s="17">
        <v>0.155370399154905</v>
      </c>
      <c r="E1012" s="17">
        <v>0.193310988745371</v>
      </c>
      <c r="F1012" s="17"/>
      <c r="G1012" s="17">
        <v>0.25043348294728002</v>
      </c>
      <c r="H1012" s="17">
        <v>0.126985841811002</v>
      </c>
      <c r="I1012" s="17">
        <v>0.189477278772993</v>
      </c>
      <c r="J1012" s="17">
        <v>0.12050374614114299</v>
      </c>
      <c r="K1012" s="17"/>
      <c r="L1012" s="17">
        <v>0.17297461555770599</v>
      </c>
      <c r="M1012" s="17">
        <v>0.16744699984984199</v>
      </c>
      <c r="N1012" s="17">
        <v>0.21444519699608899</v>
      </c>
      <c r="O1012" s="17">
        <v>0.14329765559254201</v>
      </c>
    </row>
    <row r="1013" spans="2:15" x14ac:dyDescent="0.3">
      <c r="B1013" t="s">
        <v>349</v>
      </c>
      <c r="C1013" s="17">
        <v>0.181472938329925</v>
      </c>
      <c r="D1013" s="17">
        <v>0.19770160922465299</v>
      </c>
      <c r="E1013" s="17">
        <v>0.166690415946774</v>
      </c>
      <c r="F1013" s="17"/>
      <c r="G1013" s="17">
        <v>0.237430866561331</v>
      </c>
      <c r="H1013" s="17">
        <v>0.17916236573740299</v>
      </c>
      <c r="I1013" s="17">
        <v>0.140155216218907</v>
      </c>
      <c r="J1013" s="17">
        <v>0.141589136290733</v>
      </c>
      <c r="K1013" s="17"/>
      <c r="L1013" s="17">
        <v>0.18137025457004999</v>
      </c>
      <c r="M1013" s="17">
        <v>0.20713075156664501</v>
      </c>
      <c r="N1013" s="17">
        <v>0.19843348429214</v>
      </c>
      <c r="O1013" s="17">
        <v>0.13603144364515199</v>
      </c>
    </row>
    <row r="1014" spans="2:15" x14ac:dyDescent="0.3">
      <c r="B1014" t="s">
        <v>350</v>
      </c>
      <c r="C1014" s="17">
        <v>0.15728263571604201</v>
      </c>
      <c r="D1014" s="17">
        <v>0.138385654668955</v>
      </c>
      <c r="E1014" s="17">
        <v>0.17283024862257201</v>
      </c>
      <c r="F1014" s="17"/>
      <c r="G1014" s="17">
        <v>0.14572716198060801</v>
      </c>
      <c r="H1014" s="17">
        <v>0.22912464104583999</v>
      </c>
      <c r="I1014" s="17">
        <v>9.5653471088662595E-2</v>
      </c>
      <c r="J1014" s="17">
        <v>0.14752722017529399</v>
      </c>
      <c r="K1014" s="17"/>
      <c r="L1014" s="17">
        <v>0.197480212286502</v>
      </c>
      <c r="M1014" s="17">
        <v>8.4537963545615505E-2</v>
      </c>
      <c r="N1014" s="17">
        <v>0.15632455229030001</v>
      </c>
      <c r="O1014" s="17">
        <v>0.19557741655274299</v>
      </c>
    </row>
    <row r="1015" spans="2:15" x14ac:dyDescent="0.3">
      <c r="C1015" s="17"/>
      <c r="D1015" s="17"/>
      <c r="E1015" s="17"/>
      <c r="F1015" s="17"/>
      <c r="G1015" s="17"/>
      <c r="H1015" s="17"/>
      <c r="I1015" s="17"/>
      <c r="J1015" s="17"/>
      <c r="K1015" s="17"/>
      <c r="L1015" s="17"/>
      <c r="M1015" s="17"/>
      <c r="N1015" s="17"/>
      <c r="O1015" s="17"/>
    </row>
    <row r="1016" spans="2:15" x14ac:dyDescent="0.3">
      <c r="B1016" s="6" t="s">
        <v>356</v>
      </c>
      <c r="C1016" s="17"/>
      <c r="D1016" s="17"/>
      <c r="E1016" s="17"/>
      <c r="F1016" s="17"/>
      <c r="G1016" s="17"/>
      <c r="H1016" s="17"/>
      <c r="I1016" s="17"/>
      <c r="J1016" s="17"/>
      <c r="K1016" s="17"/>
      <c r="L1016" s="17"/>
      <c r="M1016" s="17"/>
      <c r="N1016" s="17"/>
      <c r="O1016" s="17"/>
    </row>
    <row r="1017" spans="2:15" x14ac:dyDescent="0.3">
      <c r="B1017" s="23" t="s">
        <v>241</v>
      </c>
      <c r="C1017" s="17"/>
      <c r="D1017" s="17"/>
      <c r="E1017" s="17"/>
      <c r="F1017" s="17"/>
      <c r="G1017" s="17"/>
      <c r="H1017" s="17"/>
      <c r="I1017" s="17"/>
      <c r="J1017" s="17"/>
      <c r="K1017" s="17"/>
      <c r="L1017" s="17"/>
      <c r="M1017" s="17"/>
      <c r="N1017" s="17"/>
      <c r="O1017" s="17"/>
    </row>
    <row r="1018" spans="2:15" x14ac:dyDescent="0.3">
      <c r="B1018" t="s">
        <v>348</v>
      </c>
      <c r="C1018" s="17">
        <v>5.8362807851400501E-2</v>
      </c>
      <c r="D1018" s="17">
        <v>7.1252256023495997E-2</v>
      </c>
      <c r="E1018" s="17">
        <v>4.58692541875464E-2</v>
      </c>
      <c r="F1018" s="17"/>
      <c r="G1018" s="17">
        <v>2.1408931485808899E-2</v>
      </c>
      <c r="H1018" s="17">
        <v>7.3451532423696897E-2</v>
      </c>
      <c r="I1018" s="17">
        <v>6.5814040748949199E-2</v>
      </c>
      <c r="J1018" s="17">
        <v>8.31137158405338E-2</v>
      </c>
      <c r="K1018" s="17"/>
      <c r="L1018" s="17">
        <v>2.6967349372809601E-2</v>
      </c>
      <c r="M1018" s="17">
        <v>8.1287522050085506E-2</v>
      </c>
      <c r="N1018" s="17">
        <v>4.4767590995071799E-2</v>
      </c>
      <c r="O1018" s="17">
        <v>7.9992661420491801E-2</v>
      </c>
    </row>
    <row r="1019" spans="2:15" x14ac:dyDescent="0.3">
      <c r="B1019" t="s">
        <v>333</v>
      </c>
      <c r="C1019" s="17">
        <v>9.0181509117410297E-2</v>
      </c>
      <c r="D1019" s="17">
        <v>7.1599520034216699E-2</v>
      </c>
      <c r="E1019" s="17">
        <v>0.109467574168538</v>
      </c>
      <c r="F1019" s="17"/>
      <c r="G1019" s="17">
        <v>9.8428871161452006E-2</v>
      </c>
      <c r="H1019" s="17">
        <v>9.7512526788712001E-2</v>
      </c>
      <c r="I1019" s="17">
        <v>5.7262685391210703E-2</v>
      </c>
      <c r="J1019" s="17">
        <v>0.10193953629869799</v>
      </c>
      <c r="K1019" s="17"/>
      <c r="L1019" s="17">
        <v>0.11558143208893699</v>
      </c>
      <c r="M1019" s="17">
        <v>6.4712101629632604E-2</v>
      </c>
      <c r="N1019" s="17">
        <v>0.118777682228427</v>
      </c>
      <c r="O1019" s="17">
        <v>6.1015015520826603E-2</v>
      </c>
    </row>
    <row r="1020" spans="2:15" x14ac:dyDescent="0.3">
      <c r="B1020" t="s">
        <v>334</v>
      </c>
      <c r="C1020" s="17">
        <v>0.30007531696226297</v>
      </c>
      <c r="D1020" s="17">
        <v>0.28161460706099301</v>
      </c>
      <c r="E1020" s="17">
        <v>0.316413785909681</v>
      </c>
      <c r="F1020" s="17"/>
      <c r="G1020" s="17">
        <v>0.27675646945635002</v>
      </c>
      <c r="H1020" s="17">
        <v>0.32283018061298502</v>
      </c>
      <c r="I1020" s="17">
        <v>0.36750994382813201</v>
      </c>
      <c r="J1020" s="17">
        <v>0.24561478811805099</v>
      </c>
      <c r="K1020" s="17"/>
      <c r="L1020" s="17">
        <v>0.30950989378295801</v>
      </c>
      <c r="M1020" s="17">
        <v>0.286707935812545</v>
      </c>
      <c r="N1020" s="17">
        <v>0.25008965168340203</v>
      </c>
      <c r="O1020" s="17">
        <v>0.35907416589656399</v>
      </c>
    </row>
    <row r="1021" spans="2:15" x14ac:dyDescent="0.3">
      <c r="B1021" t="s">
        <v>335</v>
      </c>
      <c r="C1021" s="17">
        <v>0.31322566439315203</v>
      </c>
      <c r="D1021" s="17">
        <v>0.32577717999663902</v>
      </c>
      <c r="E1021" s="17">
        <v>0.30293468567265802</v>
      </c>
      <c r="F1021" s="17"/>
      <c r="G1021" s="17">
        <v>0.32210336078791402</v>
      </c>
      <c r="H1021" s="17">
        <v>0.266125037652855</v>
      </c>
      <c r="I1021" s="17">
        <v>0.29641903952676402</v>
      </c>
      <c r="J1021" s="17">
        <v>0.37258882343979299</v>
      </c>
      <c r="K1021" s="17"/>
      <c r="L1021" s="17">
        <v>0.30080036695970402</v>
      </c>
      <c r="M1021" s="17">
        <v>0.37714913434136399</v>
      </c>
      <c r="N1021" s="17">
        <v>0.28673528123293401</v>
      </c>
      <c r="O1021" s="17">
        <v>0.28605027593000998</v>
      </c>
    </row>
    <row r="1022" spans="2:15" x14ac:dyDescent="0.3">
      <c r="B1022" t="s">
        <v>349</v>
      </c>
      <c r="C1022" s="17">
        <v>0.21619538141234201</v>
      </c>
      <c r="D1022" s="17">
        <v>0.240721329232433</v>
      </c>
      <c r="E1022" s="17">
        <v>0.19023957636842201</v>
      </c>
      <c r="F1022" s="17"/>
      <c r="G1022" s="17">
        <v>0.26581653089387097</v>
      </c>
      <c r="H1022" s="17">
        <v>0.19362754268587801</v>
      </c>
      <c r="I1022" s="17">
        <v>0.20249068557709701</v>
      </c>
      <c r="J1022" s="17">
        <v>0.18334143266494499</v>
      </c>
      <c r="K1022" s="17"/>
      <c r="L1022" s="17">
        <v>0.22410112078293701</v>
      </c>
      <c r="M1022" s="17">
        <v>0.19014330616637301</v>
      </c>
      <c r="N1022" s="17">
        <v>0.25849320994989999</v>
      </c>
      <c r="O1022" s="17">
        <v>0.190302158813654</v>
      </c>
    </row>
    <row r="1023" spans="2:15" x14ac:dyDescent="0.3">
      <c r="B1023" t="s">
        <v>350</v>
      </c>
      <c r="C1023" s="17">
        <v>2.1959320263432201E-2</v>
      </c>
      <c r="D1023" s="17">
        <v>9.0351076522226497E-3</v>
      </c>
      <c r="E1023" s="17">
        <v>3.5075123693154402E-2</v>
      </c>
      <c r="F1023" s="17"/>
      <c r="G1023" s="17">
        <v>1.5485836214603799E-2</v>
      </c>
      <c r="H1023" s="17">
        <v>4.6453179835873402E-2</v>
      </c>
      <c r="I1023" s="17">
        <v>1.05036049278475E-2</v>
      </c>
      <c r="J1023" s="17">
        <v>1.34017036379787E-2</v>
      </c>
      <c r="K1023" s="17"/>
      <c r="L1023" s="17">
        <v>2.3039837012654302E-2</v>
      </c>
      <c r="M1023" s="17">
        <v>0</v>
      </c>
      <c r="N1023" s="17">
        <v>4.1136583910265E-2</v>
      </c>
      <c r="O1023" s="17">
        <v>2.3565722418454199E-2</v>
      </c>
    </row>
    <row r="1024" spans="2:15" x14ac:dyDescent="0.3">
      <c r="C1024" s="17"/>
      <c r="D1024" s="17"/>
      <c r="E1024" s="17"/>
      <c r="F1024" s="17"/>
      <c r="G1024" s="17"/>
      <c r="H1024" s="17"/>
      <c r="I1024" s="17"/>
      <c r="J1024" s="17"/>
      <c r="K1024" s="17"/>
      <c r="L1024" s="17"/>
      <c r="M1024" s="17"/>
      <c r="N1024" s="17"/>
      <c r="O1024" s="17"/>
    </row>
    <row r="1025" spans="2:15" x14ac:dyDescent="0.3">
      <c r="B1025" s="6" t="s">
        <v>357</v>
      </c>
      <c r="C1025" s="17"/>
      <c r="D1025" s="17"/>
      <c r="E1025" s="17"/>
      <c r="F1025" s="17"/>
      <c r="G1025" s="17"/>
      <c r="H1025" s="17"/>
      <c r="I1025" s="17"/>
      <c r="J1025" s="17"/>
      <c r="K1025" s="17"/>
      <c r="L1025" s="17"/>
      <c r="M1025" s="17"/>
      <c r="N1025" s="17"/>
      <c r="O1025" s="17"/>
    </row>
    <row r="1026" spans="2:15" x14ac:dyDescent="0.3">
      <c r="B1026" s="23" t="s">
        <v>241</v>
      </c>
      <c r="C1026" s="17"/>
      <c r="D1026" s="17"/>
      <c r="E1026" s="17"/>
      <c r="F1026" s="17"/>
      <c r="G1026" s="17"/>
      <c r="H1026" s="17"/>
      <c r="I1026" s="17"/>
      <c r="J1026" s="17"/>
      <c r="K1026" s="17"/>
      <c r="L1026" s="17"/>
      <c r="M1026" s="17"/>
      <c r="N1026" s="17"/>
      <c r="O1026" s="17"/>
    </row>
    <row r="1027" spans="2:15" x14ac:dyDescent="0.3">
      <c r="B1027" t="s">
        <v>348</v>
      </c>
      <c r="C1027" s="17">
        <v>5.1546317248501103E-2</v>
      </c>
      <c r="D1027" s="17">
        <v>3.5060592837861997E-2</v>
      </c>
      <c r="E1027" s="17">
        <v>6.40728682058163E-2</v>
      </c>
      <c r="F1027" s="17"/>
      <c r="G1027" s="17">
        <v>3.57551323681548E-2</v>
      </c>
      <c r="H1027" s="17">
        <v>6.0846771443013599E-2</v>
      </c>
      <c r="I1027" s="17">
        <v>6.0181472529060101E-2</v>
      </c>
      <c r="J1027" s="17">
        <v>5.4077292395401703E-2</v>
      </c>
      <c r="K1027" s="17"/>
      <c r="L1027" s="17">
        <v>1.9705325707717498E-2</v>
      </c>
      <c r="M1027" s="17">
        <v>6.4888665397634895E-2</v>
      </c>
      <c r="N1027" s="17">
        <v>4.9380350960663802E-2</v>
      </c>
      <c r="O1027" s="17">
        <v>7.1531496113838799E-2</v>
      </c>
    </row>
    <row r="1028" spans="2:15" x14ac:dyDescent="0.3">
      <c r="B1028" t="s">
        <v>333</v>
      </c>
      <c r="C1028" s="17">
        <v>8.3420692681879002E-2</v>
      </c>
      <c r="D1028" s="17">
        <v>4.11383114299907E-2</v>
      </c>
      <c r="E1028" s="17">
        <v>0.12640261331059599</v>
      </c>
      <c r="F1028" s="17"/>
      <c r="G1028" s="17">
        <v>6.4498558302655801E-2</v>
      </c>
      <c r="H1028" s="17">
        <v>9.4177985405101E-2</v>
      </c>
      <c r="I1028" s="17">
        <v>5.1291845586904701E-2</v>
      </c>
      <c r="J1028" s="17">
        <v>0.12605544450117701</v>
      </c>
      <c r="K1028" s="17"/>
      <c r="L1028" s="17">
        <v>8.4859086902584702E-2</v>
      </c>
      <c r="M1028" s="17">
        <v>6.9763450978195807E-2</v>
      </c>
      <c r="N1028" s="17">
        <v>6.7849044326962205E-2</v>
      </c>
      <c r="O1028" s="17">
        <v>0.11329015774211799</v>
      </c>
    </row>
    <row r="1029" spans="2:15" x14ac:dyDescent="0.3">
      <c r="B1029" t="s">
        <v>334</v>
      </c>
      <c r="C1029" s="17">
        <v>0.25399162060398001</v>
      </c>
      <c r="D1029" s="17">
        <v>0.22047029003968199</v>
      </c>
      <c r="E1029" s="17">
        <v>0.28944461166496799</v>
      </c>
      <c r="F1029" s="17"/>
      <c r="G1029" s="17">
        <v>0.180834368443371</v>
      </c>
      <c r="H1029" s="17">
        <v>0.26523330237806803</v>
      </c>
      <c r="I1029" s="17">
        <v>0.28265009705878102</v>
      </c>
      <c r="J1029" s="17">
        <v>0.31236272524433401</v>
      </c>
      <c r="K1029" s="17"/>
      <c r="L1029" s="17">
        <v>0.24500957506183099</v>
      </c>
      <c r="M1029" s="17">
        <v>0.285704433445511</v>
      </c>
      <c r="N1029" s="17">
        <v>0.217328183294421</v>
      </c>
      <c r="O1029" s="17">
        <v>0.26876045379222901</v>
      </c>
    </row>
    <row r="1030" spans="2:15" x14ac:dyDescent="0.3">
      <c r="B1030" t="s">
        <v>335</v>
      </c>
      <c r="C1030" s="17">
        <v>0.30470892796981203</v>
      </c>
      <c r="D1030" s="17">
        <v>0.34575528423458102</v>
      </c>
      <c r="E1030" s="17">
        <v>0.262851675933927</v>
      </c>
      <c r="F1030" s="17"/>
      <c r="G1030" s="17">
        <v>0.39229156638180102</v>
      </c>
      <c r="H1030" s="17">
        <v>0.30493105157100697</v>
      </c>
      <c r="I1030" s="17">
        <v>0.28467792998977498</v>
      </c>
      <c r="J1030" s="17">
        <v>0.21106610011565999</v>
      </c>
      <c r="K1030" s="17"/>
      <c r="L1030" s="17">
        <v>0.31146729667619399</v>
      </c>
      <c r="M1030" s="17">
        <v>0.30732019535581001</v>
      </c>
      <c r="N1030" s="17">
        <v>0.33535457109876698</v>
      </c>
      <c r="O1030" s="17">
        <v>0.26214426854046602</v>
      </c>
    </row>
    <row r="1031" spans="2:15" x14ac:dyDescent="0.3">
      <c r="B1031" t="s">
        <v>349</v>
      </c>
      <c r="C1031" s="17">
        <v>0.28304761693582198</v>
      </c>
      <c r="D1031" s="17">
        <v>0.33544594884755902</v>
      </c>
      <c r="E1031" s="17">
        <v>0.23261506109146601</v>
      </c>
      <c r="F1031" s="17"/>
      <c r="G1031" s="17">
        <v>0.30600848560733301</v>
      </c>
      <c r="H1031" s="17">
        <v>0.25121569727600801</v>
      </c>
      <c r="I1031" s="17">
        <v>0.29280245890892898</v>
      </c>
      <c r="J1031" s="17">
        <v>0.27452611154222401</v>
      </c>
      <c r="K1031" s="17"/>
      <c r="L1031" s="17">
        <v>0.33223695889306099</v>
      </c>
      <c r="M1031" s="17">
        <v>0.25357958128970798</v>
      </c>
      <c r="N1031" s="17">
        <v>0.29901271308510102</v>
      </c>
      <c r="O1031" s="17">
        <v>0.24799219423049099</v>
      </c>
    </row>
    <row r="1032" spans="2:15" x14ac:dyDescent="0.3">
      <c r="B1032" t="s">
        <v>350</v>
      </c>
      <c r="C1032" s="17">
        <v>2.32848245600056E-2</v>
      </c>
      <c r="D1032" s="17">
        <v>2.2129572610325401E-2</v>
      </c>
      <c r="E1032" s="17">
        <v>2.46131697932266E-2</v>
      </c>
      <c r="F1032" s="17"/>
      <c r="G1032" s="17">
        <v>2.06118888966851E-2</v>
      </c>
      <c r="H1032" s="17">
        <v>2.3595191926803101E-2</v>
      </c>
      <c r="I1032" s="17">
        <v>2.83961959265501E-2</v>
      </c>
      <c r="J1032" s="17">
        <v>2.1912326201204101E-2</v>
      </c>
      <c r="K1032" s="17"/>
      <c r="L1032" s="17">
        <v>6.7217567586114798E-3</v>
      </c>
      <c r="M1032" s="17">
        <v>1.8743673533139701E-2</v>
      </c>
      <c r="N1032" s="17">
        <v>3.10751372340861E-2</v>
      </c>
      <c r="O1032" s="17">
        <v>3.6281429580857498E-2</v>
      </c>
    </row>
    <row r="1033" spans="2:15" x14ac:dyDescent="0.3">
      <c r="C1033" s="17"/>
      <c r="D1033" s="17"/>
      <c r="E1033" s="17"/>
      <c r="F1033" s="17"/>
      <c r="G1033" s="17"/>
      <c r="H1033" s="17"/>
      <c r="I1033" s="17"/>
      <c r="J1033" s="17"/>
      <c r="K1033" s="17"/>
      <c r="L1033" s="17"/>
      <c r="M1033" s="17"/>
      <c r="N1033" s="17"/>
      <c r="O1033" s="17"/>
    </row>
    <row r="1034" spans="2:15" x14ac:dyDescent="0.3">
      <c r="B1034" s="6" t="s">
        <v>359</v>
      </c>
      <c r="C1034" s="17"/>
      <c r="D1034" s="17"/>
      <c r="E1034" s="17"/>
      <c r="F1034" s="17"/>
      <c r="G1034" s="17"/>
      <c r="H1034" s="17"/>
      <c r="I1034" s="17"/>
      <c r="J1034" s="17"/>
      <c r="K1034" s="17"/>
      <c r="L1034" s="17"/>
      <c r="M1034" s="17"/>
      <c r="N1034" s="17"/>
      <c r="O1034" s="17"/>
    </row>
    <row r="1035" spans="2:15" x14ac:dyDescent="0.3">
      <c r="B1035" s="23" t="s">
        <v>46</v>
      </c>
      <c r="C1035" s="17"/>
      <c r="D1035" s="17"/>
      <c r="E1035" s="17"/>
      <c r="F1035" s="17"/>
      <c r="G1035" s="17"/>
      <c r="H1035" s="17"/>
      <c r="I1035" s="17"/>
      <c r="J1035" s="17"/>
      <c r="K1035" s="17"/>
      <c r="L1035" s="17"/>
      <c r="M1035" s="17"/>
      <c r="N1035" s="17"/>
      <c r="O1035" s="17"/>
    </row>
    <row r="1036" spans="2:15" x14ac:dyDescent="0.3">
      <c r="B1036" t="s">
        <v>348</v>
      </c>
      <c r="C1036" s="17">
        <v>0.17732152853201599</v>
      </c>
      <c r="D1036" s="17">
        <v>0.18523715215380401</v>
      </c>
      <c r="E1036" s="17">
        <v>0.166361493285753</v>
      </c>
      <c r="F1036" s="17"/>
      <c r="G1036" s="17">
        <v>0.11250155479494001</v>
      </c>
      <c r="H1036" s="17">
        <v>0.21322802885360001</v>
      </c>
      <c r="I1036" s="17">
        <v>0.22455614848074401</v>
      </c>
      <c r="J1036" s="17">
        <v>0.17923648812353199</v>
      </c>
      <c r="K1036" s="17"/>
      <c r="L1036" s="17">
        <v>0.14955146913133299</v>
      </c>
      <c r="M1036" s="17">
        <v>0.16626260347723901</v>
      </c>
      <c r="N1036" s="17">
        <v>0.17236471636125</v>
      </c>
      <c r="O1036" s="17">
        <v>0.222358190191775</v>
      </c>
    </row>
    <row r="1037" spans="2:15" x14ac:dyDescent="0.3">
      <c r="B1037" t="s">
        <v>333</v>
      </c>
      <c r="C1037" s="17">
        <v>0.15161899439656601</v>
      </c>
      <c r="D1037" s="17">
        <v>0.165522011704131</v>
      </c>
      <c r="E1037" s="17">
        <v>0.138836686765024</v>
      </c>
      <c r="F1037" s="17"/>
      <c r="G1037" s="17">
        <v>0.144859912157938</v>
      </c>
      <c r="H1037" s="17">
        <v>0.15666693549661401</v>
      </c>
      <c r="I1037" s="17">
        <v>0.14427271142297099</v>
      </c>
      <c r="J1037" s="17">
        <v>0.16259379372666899</v>
      </c>
      <c r="K1037" s="17"/>
      <c r="L1037" s="17">
        <v>9.9207310159773604E-2</v>
      </c>
      <c r="M1037" s="17">
        <v>0.20648106806974401</v>
      </c>
      <c r="N1037" s="17">
        <v>0.17682810314122499</v>
      </c>
      <c r="O1037" s="17">
        <v>0.117702519450953</v>
      </c>
    </row>
    <row r="1038" spans="2:15" x14ac:dyDescent="0.3">
      <c r="B1038" t="s">
        <v>334</v>
      </c>
      <c r="C1038" s="17">
        <v>0.235086379581566</v>
      </c>
      <c r="D1038" s="17">
        <v>0.22902940564869101</v>
      </c>
      <c r="E1038" s="17">
        <v>0.24284960071199499</v>
      </c>
      <c r="F1038" s="17"/>
      <c r="G1038" s="17">
        <v>0.26028382545318701</v>
      </c>
      <c r="H1038" s="17">
        <v>0.23618727590638799</v>
      </c>
      <c r="I1038" s="17">
        <v>0.207909706593599</v>
      </c>
      <c r="J1038" s="17">
        <v>0.219775281252959</v>
      </c>
      <c r="K1038" s="17"/>
      <c r="L1038" s="17">
        <v>0.278232125611446</v>
      </c>
      <c r="M1038" s="17">
        <v>0.208050842216185</v>
      </c>
      <c r="N1038" s="17">
        <v>0.19228469858717201</v>
      </c>
      <c r="O1038" s="17">
        <v>0.267392805431099</v>
      </c>
    </row>
    <row r="1039" spans="2:15" x14ac:dyDescent="0.3">
      <c r="B1039" t="s">
        <v>335</v>
      </c>
      <c r="C1039" s="17">
        <v>0.234226374000952</v>
      </c>
      <c r="D1039" s="17">
        <v>0.22003118069816799</v>
      </c>
      <c r="E1039" s="17">
        <v>0.24717062042426399</v>
      </c>
      <c r="F1039" s="17"/>
      <c r="G1039" s="17">
        <v>0.25695422501998699</v>
      </c>
      <c r="H1039" s="17">
        <v>0.21556698729691401</v>
      </c>
      <c r="I1039" s="17">
        <v>0.22924221160337599</v>
      </c>
      <c r="J1039" s="17">
        <v>0.232228756358204</v>
      </c>
      <c r="K1039" s="17"/>
      <c r="L1039" s="17">
        <v>0.22874382922561401</v>
      </c>
      <c r="M1039" s="17">
        <v>0.20487633822881299</v>
      </c>
      <c r="N1039" s="17">
        <v>0.25712155304419299</v>
      </c>
      <c r="O1039" s="17">
        <v>0.246479331476746</v>
      </c>
    </row>
    <row r="1040" spans="2:15" x14ac:dyDescent="0.3">
      <c r="B1040" t="s">
        <v>349</v>
      </c>
      <c r="C1040" s="17">
        <v>0.172774462986623</v>
      </c>
      <c r="D1040" s="17">
        <v>0.17215415438210499</v>
      </c>
      <c r="E1040" s="17">
        <v>0.174653120991278</v>
      </c>
      <c r="F1040" s="17"/>
      <c r="G1040" s="17">
        <v>0.188602201272458</v>
      </c>
      <c r="H1040" s="17">
        <v>0.13835249711331199</v>
      </c>
      <c r="I1040" s="17">
        <v>0.18513895727496099</v>
      </c>
      <c r="J1040" s="17">
        <v>0.18132788498262201</v>
      </c>
      <c r="K1040" s="17"/>
      <c r="L1040" s="17">
        <v>0.21785806083662601</v>
      </c>
      <c r="M1040" s="17">
        <v>0.20997573744283801</v>
      </c>
      <c r="N1040" s="17">
        <v>0.16167391742748599</v>
      </c>
      <c r="O1040" s="17">
        <v>9.9696903334909298E-2</v>
      </c>
    </row>
    <row r="1041" spans="2:15" x14ac:dyDescent="0.3">
      <c r="B1041" t="s">
        <v>350</v>
      </c>
      <c r="C1041" s="17">
        <v>2.8972260502276699E-2</v>
      </c>
      <c r="D1041" s="17">
        <v>2.8026095413100902E-2</v>
      </c>
      <c r="E1041" s="17">
        <v>3.0128477821687E-2</v>
      </c>
      <c r="F1041" s="17"/>
      <c r="G1041" s="17">
        <v>3.6798281301490501E-2</v>
      </c>
      <c r="H1041" s="17">
        <v>3.9998275333172101E-2</v>
      </c>
      <c r="I1041" s="17">
        <v>8.8802646243490296E-3</v>
      </c>
      <c r="J1041" s="17">
        <v>2.4837795556014099E-2</v>
      </c>
      <c r="K1041" s="17"/>
      <c r="L1041" s="17">
        <v>2.64072050352064E-2</v>
      </c>
      <c r="M1041" s="17">
        <v>4.3534105651816301E-3</v>
      </c>
      <c r="N1041" s="17">
        <v>3.9727011438674201E-2</v>
      </c>
      <c r="O1041" s="17">
        <v>4.6370250114518501E-2</v>
      </c>
    </row>
    <row r="1042" spans="2:15" x14ac:dyDescent="0.3">
      <c r="C1042" s="17"/>
      <c r="D1042" s="17"/>
      <c r="E1042" s="17"/>
      <c r="F1042" s="17"/>
      <c r="G1042" s="17"/>
      <c r="H1042" s="17"/>
      <c r="I1042" s="17"/>
      <c r="J1042" s="17"/>
      <c r="K1042" s="17"/>
      <c r="L1042" s="17"/>
      <c r="M1042" s="17"/>
      <c r="N1042" s="17"/>
      <c r="O1042" s="17"/>
    </row>
    <row r="1043" spans="2:15" x14ac:dyDescent="0.3">
      <c r="B1043" s="6" t="s">
        <v>360</v>
      </c>
      <c r="C1043" s="17"/>
      <c r="D1043" s="17"/>
      <c r="E1043" s="17"/>
      <c r="F1043" s="17"/>
      <c r="G1043" s="17"/>
      <c r="H1043" s="17"/>
      <c r="I1043" s="17"/>
      <c r="J1043" s="17"/>
      <c r="K1043" s="17"/>
      <c r="L1043" s="17"/>
      <c r="M1043" s="17"/>
      <c r="N1043" s="17"/>
      <c r="O1043" s="17"/>
    </row>
    <row r="1044" spans="2:15" x14ac:dyDescent="0.3">
      <c r="B1044" s="23" t="s">
        <v>46</v>
      </c>
      <c r="C1044" s="17"/>
      <c r="D1044" s="17"/>
      <c r="E1044" s="17"/>
      <c r="F1044" s="17"/>
      <c r="G1044" s="17"/>
      <c r="H1044" s="17"/>
      <c r="I1044" s="17"/>
      <c r="J1044" s="17"/>
      <c r="K1044" s="17"/>
      <c r="L1044" s="17"/>
      <c r="M1044" s="17"/>
      <c r="N1044" s="17"/>
      <c r="O1044" s="17"/>
    </row>
    <row r="1045" spans="2:15" x14ac:dyDescent="0.3">
      <c r="B1045" t="s">
        <v>348</v>
      </c>
      <c r="C1045" s="17">
        <v>0.13142798774377801</v>
      </c>
      <c r="D1045" s="17">
        <v>0.11530149639899499</v>
      </c>
      <c r="E1045" s="17">
        <v>0.14414827114968701</v>
      </c>
      <c r="F1045" s="17"/>
      <c r="G1045" s="17">
        <v>7.59425124510026E-2</v>
      </c>
      <c r="H1045" s="17">
        <v>0.14868927459026099</v>
      </c>
      <c r="I1045" s="17">
        <v>0.18733520784374899</v>
      </c>
      <c r="J1045" s="17">
        <v>0.13407656210417801</v>
      </c>
      <c r="K1045" s="17"/>
      <c r="L1045" s="17">
        <v>7.11275400152971E-2</v>
      </c>
      <c r="M1045" s="17">
        <v>0.16286373784055699</v>
      </c>
      <c r="N1045" s="17">
        <v>0.14441915910323899</v>
      </c>
      <c r="O1045" s="17">
        <v>0.143837420183279</v>
      </c>
    </row>
    <row r="1046" spans="2:15" x14ac:dyDescent="0.3">
      <c r="B1046" t="s">
        <v>333</v>
      </c>
      <c r="C1046" s="17">
        <v>9.6792707943359493E-2</v>
      </c>
      <c r="D1046" s="17">
        <v>8.5776711656329496E-2</v>
      </c>
      <c r="E1046" s="17">
        <v>0.108501524387808</v>
      </c>
      <c r="F1046" s="17"/>
      <c r="G1046" s="17">
        <v>9.3663493663506098E-2</v>
      </c>
      <c r="H1046" s="17">
        <v>9.9248533220654397E-2</v>
      </c>
      <c r="I1046" s="17">
        <v>5.4404307337395097E-2</v>
      </c>
      <c r="J1046" s="17">
        <v>0.137529071081331</v>
      </c>
      <c r="K1046" s="17"/>
      <c r="L1046" s="17">
        <v>8.2887176305861204E-2</v>
      </c>
      <c r="M1046" s="17">
        <v>8.0113330063060498E-2</v>
      </c>
      <c r="N1046" s="17">
        <v>9.0555648597527599E-2</v>
      </c>
      <c r="O1046" s="17">
        <v>0.13539802098583101</v>
      </c>
    </row>
    <row r="1047" spans="2:15" x14ac:dyDescent="0.3">
      <c r="B1047" t="s">
        <v>334</v>
      </c>
      <c r="C1047" s="17">
        <v>0.218654457699127</v>
      </c>
      <c r="D1047" s="17">
        <v>0.19866142915098201</v>
      </c>
      <c r="E1047" s="17">
        <v>0.24021813172294701</v>
      </c>
      <c r="F1047" s="17"/>
      <c r="G1047" s="17">
        <v>0.18072516261373101</v>
      </c>
      <c r="H1047" s="17">
        <v>0.18023346114469799</v>
      </c>
      <c r="I1047" s="17">
        <v>0.224832760454519</v>
      </c>
      <c r="J1047" s="17">
        <v>0.30772328145445799</v>
      </c>
      <c r="K1047" s="17"/>
      <c r="L1047" s="17">
        <v>0.27678601336450898</v>
      </c>
      <c r="M1047" s="17">
        <v>0.205400898106429</v>
      </c>
      <c r="N1047" s="17">
        <v>0.17207953452076699</v>
      </c>
      <c r="O1047" s="17">
        <v>0.225236685947903</v>
      </c>
    </row>
    <row r="1048" spans="2:15" x14ac:dyDescent="0.3">
      <c r="B1048" t="s">
        <v>335</v>
      </c>
      <c r="C1048" s="17">
        <v>0.23200795745064001</v>
      </c>
      <c r="D1048" s="17">
        <v>0.24665446339444499</v>
      </c>
      <c r="E1048" s="17">
        <v>0.216127157239279</v>
      </c>
      <c r="F1048" s="17"/>
      <c r="G1048" s="17">
        <v>0.339475435632905</v>
      </c>
      <c r="H1048" s="17">
        <v>0.23417897019134201</v>
      </c>
      <c r="I1048" s="17">
        <v>0.178007595169278</v>
      </c>
      <c r="J1048" s="17">
        <v>0.14079005045503901</v>
      </c>
      <c r="K1048" s="17"/>
      <c r="L1048" s="17">
        <v>0.27314140190527803</v>
      </c>
      <c r="M1048" s="17">
        <v>0.20954981740871401</v>
      </c>
      <c r="N1048" s="17">
        <v>0.22659775786679301</v>
      </c>
      <c r="O1048" s="17">
        <v>0.22089507683269799</v>
      </c>
    </row>
    <row r="1049" spans="2:15" x14ac:dyDescent="0.3">
      <c r="B1049" t="s">
        <v>349</v>
      </c>
      <c r="C1049" s="17">
        <v>0.27117028117525099</v>
      </c>
      <c r="D1049" s="17">
        <v>0.31158934374291303</v>
      </c>
      <c r="E1049" s="17">
        <v>0.23277330401631899</v>
      </c>
      <c r="F1049" s="17"/>
      <c r="G1049" s="17">
        <v>0.28150862604854499</v>
      </c>
      <c r="H1049" s="17">
        <v>0.26238461264776403</v>
      </c>
      <c r="I1049" s="17">
        <v>0.355420129195059</v>
      </c>
      <c r="J1049" s="17">
        <v>0.19295132386536601</v>
      </c>
      <c r="K1049" s="17"/>
      <c r="L1049" s="17">
        <v>0.242017870340757</v>
      </c>
      <c r="M1049" s="17">
        <v>0.31658681642536102</v>
      </c>
      <c r="N1049" s="17">
        <v>0.314555683390635</v>
      </c>
      <c r="O1049" s="17">
        <v>0.20446465774977701</v>
      </c>
    </row>
    <row r="1050" spans="2:15" x14ac:dyDescent="0.3">
      <c r="B1050" t="s">
        <v>350</v>
      </c>
      <c r="C1050" s="17">
        <v>4.9946607987843901E-2</v>
      </c>
      <c r="D1050" s="17">
        <v>4.2016555656335802E-2</v>
      </c>
      <c r="E1050" s="17">
        <v>5.8231611483961103E-2</v>
      </c>
      <c r="F1050" s="17"/>
      <c r="G1050" s="17">
        <v>2.8684769590310199E-2</v>
      </c>
      <c r="H1050" s="17">
        <v>7.5265148205280297E-2</v>
      </c>
      <c r="I1050" s="17">
        <v>0</v>
      </c>
      <c r="J1050" s="17">
        <v>8.6929711039628793E-2</v>
      </c>
      <c r="K1050" s="17"/>
      <c r="L1050" s="17">
        <v>5.40399980682984E-2</v>
      </c>
      <c r="M1050" s="17">
        <v>2.54854001558792E-2</v>
      </c>
      <c r="N1050" s="17">
        <v>5.1792216521037798E-2</v>
      </c>
      <c r="O1050" s="17">
        <v>7.0168138300512495E-2</v>
      </c>
    </row>
    <row r="1051" spans="2:15" x14ac:dyDescent="0.3">
      <c r="C1051" s="17"/>
      <c r="D1051" s="17"/>
      <c r="E1051" s="17"/>
      <c r="F1051" s="17"/>
      <c r="G1051" s="17"/>
      <c r="H1051" s="17"/>
      <c r="I1051" s="17"/>
      <c r="J1051" s="17"/>
      <c r="K1051" s="17"/>
      <c r="L1051" s="17"/>
      <c r="M1051" s="17"/>
      <c r="N1051" s="17"/>
      <c r="O1051" s="17"/>
    </row>
    <row r="1052" spans="2:15" x14ac:dyDescent="0.3">
      <c r="B1052" s="6" t="s">
        <v>361</v>
      </c>
      <c r="C1052" s="17"/>
      <c r="D1052" s="17"/>
      <c r="E1052" s="17"/>
      <c r="F1052" s="17"/>
      <c r="G1052" s="17"/>
      <c r="H1052" s="17"/>
      <c r="I1052" s="17"/>
      <c r="J1052" s="17"/>
      <c r="K1052" s="17"/>
      <c r="L1052" s="17"/>
      <c r="M1052" s="17"/>
      <c r="N1052" s="17"/>
      <c r="O1052" s="17"/>
    </row>
    <row r="1053" spans="2:15" x14ac:dyDescent="0.3">
      <c r="B1053" s="23" t="s">
        <v>46</v>
      </c>
      <c r="C1053" s="17"/>
      <c r="D1053" s="17"/>
      <c r="E1053" s="17"/>
      <c r="F1053" s="17"/>
      <c r="G1053" s="17"/>
      <c r="H1053" s="17"/>
      <c r="I1053" s="17"/>
      <c r="J1053" s="17"/>
      <c r="K1053" s="17"/>
      <c r="L1053" s="17"/>
      <c r="M1053" s="17"/>
      <c r="N1053" s="17"/>
      <c r="O1053" s="17"/>
    </row>
    <row r="1054" spans="2:15" x14ac:dyDescent="0.3">
      <c r="B1054" t="s">
        <v>348</v>
      </c>
      <c r="C1054" s="17">
        <v>0.17991807712529401</v>
      </c>
      <c r="D1054" s="17">
        <v>0.17570879831658401</v>
      </c>
      <c r="E1054" s="17">
        <v>0.181088069210293</v>
      </c>
      <c r="F1054" s="17"/>
      <c r="G1054" s="17">
        <v>0.113201493045957</v>
      </c>
      <c r="H1054" s="17">
        <v>0.23518865099435099</v>
      </c>
      <c r="I1054" s="17">
        <v>0.16347575938487399</v>
      </c>
      <c r="J1054" s="17">
        <v>0.220455555383546</v>
      </c>
      <c r="K1054" s="17"/>
      <c r="L1054" s="17">
        <v>0.118043915443949</v>
      </c>
      <c r="M1054" s="17">
        <v>0.21510409196934199</v>
      </c>
      <c r="N1054" s="17">
        <v>0.16039610719151201</v>
      </c>
      <c r="O1054" s="17">
        <v>0.225089417539031</v>
      </c>
    </row>
    <row r="1055" spans="2:15" x14ac:dyDescent="0.3">
      <c r="B1055" t="s">
        <v>333</v>
      </c>
      <c r="C1055" s="17">
        <v>0.14588416183261599</v>
      </c>
      <c r="D1055" s="17">
        <v>0.13224793432528401</v>
      </c>
      <c r="E1055" s="17">
        <v>0.16056797093684799</v>
      </c>
      <c r="F1055" s="17"/>
      <c r="G1055" s="17">
        <v>0.14606997403882599</v>
      </c>
      <c r="H1055" s="17">
        <v>0.13979184025138799</v>
      </c>
      <c r="I1055" s="17">
        <v>0.13884710828295299</v>
      </c>
      <c r="J1055" s="17">
        <v>0.160135822294588</v>
      </c>
      <c r="K1055" s="17"/>
      <c r="L1055" s="17">
        <v>9.5141560686030205E-2</v>
      </c>
      <c r="M1055" s="17">
        <v>0.145444392630423</v>
      </c>
      <c r="N1055" s="17">
        <v>0.172041023285324</v>
      </c>
      <c r="O1055" s="17">
        <v>0.16876324812294699</v>
      </c>
    </row>
    <row r="1056" spans="2:15" x14ac:dyDescent="0.3">
      <c r="B1056" t="s">
        <v>334</v>
      </c>
      <c r="C1056" s="17">
        <v>0.24179949903078701</v>
      </c>
      <c r="D1056" s="17">
        <v>0.262251020601318</v>
      </c>
      <c r="E1056" s="17">
        <v>0.223133308899229</v>
      </c>
      <c r="F1056" s="17"/>
      <c r="G1056" s="17">
        <v>0.22556114527472701</v>
      </c>
      <c r="H1056" s="17">
        <v>0.174306142208417</v>
      </c>
      <c r="I1056" s="17">
        <v>0.31072226780846601</v>
      </c>
      <c r="J1056" s="17">
        <v>0.27062448688677598</v>
      </c>
      <c r="K1056" s="17"/>
      <c r="L1056" s="17">
        <v>0.32730140222703902</v>
      </c>
      <c r="M1056" s="17">
        <v>0.236547011897598</v>
      </c>
      <c r="N1056" s="17">
        <v>0.208091776557185</v>
      </c>
      <c r="O1056" s="17">
        <v>0.198464698006033</v>
      </c>
    </row>
    <row r="1057" spans="2:15" x14ac:dyDescent="0.3">
      <c r="B1057" t="s">
        <v>335</v>
      </c>
      <c r="C1057" s="17">
        <v>0.210780128477315</v>
      </c>
      <c r="D1057" s="17">
        <v>0.217645566234766</v>
      </c>
      <c r="E1057" s="17">
        <v>0.20251684935889999</v>
      </c>
      <c r="F1057" s="17"/>
      <c r="G1057" s="17">
        <v>0.28367088294918202</v>
      </c>
      <c r="H1057" s="17">
        <v>0.18222644077529901</v>
      </c>
      <c r="I1057" s="17">
        <v>0.177794683450063</v>
      </c>
      <c r="J1057" s="17">
        <v>0.18009024803352999</v>
      </c>
      <c r="K1057" s="17"/>
      <c r="L1057" s="17">
        <v>0.236163229694688</v>
      </c>
      <c r="M1057" s="17">
        <v>0.200878128425694</v>
      </c>
      <c r="N1057" s="17">
        <v>0.231337289245932</v>
      </c>
      <c r="O1057" s="17">
        <v>0.173778921331291</v>
      </c>
    </row>
    <row r="1058" spans="2:15" x14ac:dyDescent="0.3">
      <c r="B1058" t="s">
        <v>349</v>
      </c>
      <c r="C1058" s="17">
        <v>0.122425252383891</v>
      </c>
      <c r="D1058" s="17">
        <v>0.1215954838341</v>
      </c>
      <c r="E1058" s="17">
        <v>0.124146223382159</v>
      </c>
      <c r="F1058" s="17"/>
      <c r="G1058" s="17">
        <v>0.114091637021474</v>
      </c>
      <c r="H1058" s="17">
        <v>0.14267727169258301</v>
      </c>
      <c r="I1058" s="17">
        <v>0.149345330559079</v>
      </c>
      <c r="J1058" s="17">
        <v>8.6690933190172306E-2</v>
      </c>
      <c r="K1058" s="17"/>
      <c r="L1058" s="17">
        <v>0.14513607651323099</v>
      </c>
      <c r="M1058" s="17">
        <v>0.13506891496454401</v>
      </c>
      <c r="N1058" s="17">
        <v>0.101758023892905</v>
      </c>
      <c r="O1058" s="17">
        <v>0.108502409979995</v>
      </c>
    </row>
    <row r="1059" spans="2:15" x14ac:dyDescent="0.3">
      <c r="B1059" t="s">
        <v>350</v>
      </c>
      <c r="C1059" s="17">
        <v>9.9192881150097001E-2</v>
      </c>
      <c r="D1059" s="17">
        <v>9.0551196687947894E-2</v>
      </c>
      <c r="E1059" s="17">
        <v>0.10854757821257099</v>
      </c>
      <c r="F1059" s="17"/>
      <c r="G1059" s="17">
        <v>0.117404867669834</v>
      </c>
      <c r="H1059" s="17">
        <v>0.12580965407796199</v>
      </c>
      <c r="I1059" s="17">
        <v>5.98148505145654E-2</v>
      </c>
      <c r="J1059" s="17">
        <v>8.2002954211386703E-2</v>
      </c>
      <c r="K1059" s="17"/>
      <c r="L1059" s="17">
        <v>7.8213815435062894E-2</v>
      </c>
      <c r="M1059" s="17">
        <v>6.69574601123991E-2</v>
      </c>
      <c r="N1059" s="17">
        <v>0.12637577982714299</v>
      </c>
      <c r="O1059" s="17">
        <v>0.12540130502070401</v>
      </c>
    </row>
    <row r="1060" spans="2:15" x14ac:dyDescent="0.3">
      <c r="C1060" s="17"/>
      <c r="D1060" s="17"/>
      <c r="E1060" s="17"/>
      <c r="F1060" s="17"/>
      <c r="G1060" s="17"/>
      <c r="H1060" s="17"/>
      <c r="I1060" s="17"/>
      <c r="J1060" s="17"/>
      <c r="K1060" s="17"/>
      <c r="L1060" s="17"/>
      <c r="M1060" s="17"/>
      <c r="N1060" s="17"/>
      <c r="O1060" s="17"/>
    </row>
    <row r="1061" spans="2:15" x14ac:dyDescent="0.3">
      <c r="B1061" s="6" t="s">
        <v>362</v>
      </c>
      <c r="C1061" s="17"/>
      <c r="D1061" s="17"/>
      <c r="E1061" s="17"/>
      <c r="F1061" s="17"/>
      <c r="G1061" s="17"/>
      <c r="H1061" s="17"/>
      <c r="I1061" s="17"/>
      <c r="J1061" s="17"/>
      <c r="K1061" s="17"/>
      <c r="L1061" s="17"/>
      <c r="M1061" s="17"/>
      <c r="N1061" s="17"/>
      <c r="O1061" s="17"/>
    </row>
    <row r="1062" spans="2:15" x14ac:dyDescent="0.3">
      <c r="B1062" s="23" t="s">
        <v>46</v>
      </c>
      <c r="C1062" s="17"/>
      <c r="D1062" s="17"/>
      <c r="E1062" s="17"/>
      <c r="F1062" s="17"/>
      <c r="G1062" s="17"/>
      <c r="H1062" s="17"/>
      <c r="I1062" s="17"/>
      <c r="J1062" s="17"/>
      <c r="K1062" s="17"/>
      <c r="L1062" s="17"/>
      <c r="M1062" s="17"/>
      <c r="N1062" s="17"/>
      <c r="O1062" s="17"/>
    </row>
    <row r="1063" spans="2:15" x14ac:dyDescent="0.3">
      <c r="B1063" t="s">
        <v>348</v>
      </c>
      <c r="C1063" s="17">
        <v>0.138328407848537</v>
      </c>
      <c r="D1063" s="17">
        <v>0.15868829162144399</v>
      </c>
      <c r="E1063" s="17">
        <v>0.11899972881179099</v>
      </c>
      <c r="F1063" s="17"/>
      <c r="G1063" s="17">
        <v>9.0084218056652204E-2</v>
      </c>
      <c r="H1063" s="17">
        <v>0.167851722245832</v>
      </c>
      <c r="I1063" s="17">
        <v>0.163184659018839</v>
      </c>
      <c r="J1063" s="17">
        <v>0.146026703732103</v>
      </c>
      <c r="K1063" s="17"/>
      <c r="L1063" s="17">
        <v>9.8116433031745706E-2</v>
      </c>
      <c r="M1063" s="17">
        <v>0.18812131265038901</v>
      </c>
      <c r="N1063" s="17">
        <v>0.120611424175426</v>
      </c>
      <c r="O1063" s="17">
        <v>0.144168687084964</v>
      </c>
    </row>
    <row r="1064" spans="2:15" x14ac:dyDescent="0.3">
      <c r="B1064" t="s">
        <v>333</v>
      </c>
      <c r="C1064" s="17">
        <v>8.6429011024388103E-2</v>
      </c>
      <c r="D1064" s="17">
        <v>8.5402871062261895E-2</v>
      </c>
      <c r="E1064" s="17">
        <v>8.8083815429044601E-2</v>
      </c>
      <c r="F1064" s="17"/>
      <c r="G1064" s="17">
        <v>8.8887127523732096E-2</v>
      </c>
      <c r="H1064" s="17">
        <v>8.4042644102947303E-2</v>
      </c>
      <c r="I1064" s="17">
        <v>0.109115730272591</v>
      </c>
      <c r="J1064" s="17">
        <v>6.5920004568881599E-2</v>
      </c>
      <c r="K1064" s="17"/>
      <c r="L1064" s="17">
        <v>5.8068391327725698E-2</v>
      </c>
      <c r="M1064" s="17">
        <v>9.9331792868691801E-2</v>
      </c>
      <c r="N1064" s="17">
        <v>7.0383126397026902E-2</v>
      </c>
      <c r="O1064" s="17">
        <v>0.11829240708333499</v>
      </c>
    </row>
    <row r="1065" spans="2:15" x14ac:dyDescent="0.3">
      <c r="B1065" t="s">
        <v>334</v>
      </c>
      <c r="C1065" s="17">
        <v>0.21570306413963899</v>
      </c>
      <c r="D1065" s="17">
        <v>0.21957168300091201</v>
      </c>
      <c r="E1065" s="17">
        <v>0.21341073518374701</v>
      </c>
      <c r="F1065" s="17"/>
      <c r="G1065" s="17">
        <v>0.18298011045388499</v>
      </c>
      <c r="H1065" s="17">
        <v>0.174493707699649</v>
      </c>
      <c r="I1065" s="17">
        <v>0.27735096953604299</v>
      </c>
      <c r="J1065" s="17">
        <v>0.25051604594705001</v>
      </c>
      <c r="K1065" s="17"/>
      <c r="L1065" s="17">
        <v>0.229882609847186</v>
      </c>
      <c r="M1065" s="17">
        <v>0.167177255078721</v>
      </c>
      <c r="N1065" s="17">
        <v>0.26003716202502303</v>
      </c>
      <c r="O1065" s="17">
        <v>0.20569691910664301</v>
      </c>
    </row>
    <row r="1066" spans="2:15" x14ac:dyDescent="0.3">
      <c r="B1066" t="s">
        <v>335</v>
      </c>
      <c r="C1066" s="17">
        <v>0.20275836500392999</v>
      </c>
      <c r="D1066" s="17">
        <v>0.17549264725528099</v>
      </c>
      <c r="E1066" s="17">
        <v>0.22852894691270501</v>
      </c>
      <c r="F1066" s="17"/>
      <c r="G1066" s="17">
        <v>0.26840059180137898</v>
      </c>
      <c r="H1066" s="17">
        <v>0.17180189810490201</v>
      </c>
      <c r="I1066" s="17">
        <v>0.171072728924411</v>
      </c>
      <c r="J1066" s="17">
        <v>0.18298001677437201</v>
      </c>
      <c r="K1066" s="17"/>
      <c r="L1066" s="17">
        <v>0.21222617278193601</v>
      </c>
      <c r="M1066" s="17">
        <v>0.23460358738898399</v>
      </c>
      <c r="N1066" s="17">
        <v>0.180355666975654</v>
      </c>
      <c r="O1066" s="17">
        <v>0.18330240752415</v>
      </c>
    </row>
    <row r="1067" spans="2:15" x14ac:dyDescent="0.3">
      <c r="B1067" t="s">
        <v>349</v>
      </c>
      <c r="C1067" s="17">
        <v>0.194160591381351</v>
      </c>
      <c r="D1067" s="17">
        <v>0.20899560157167901</v>
      </c>
      <c r="E1067" s="17">
        <v>0.18075736374781101</v>
      </c>
      <c r="F1067" s="17"/>
      <c r="G1067" s="17">
        <v>0.233585687530311</v>
      </c>
      <c r="H1067" s="17">
        <v>0.17609677590716499</v>
      </c>
      <c r="I1067" s="17">
        <v>0.16495110077375999</v>
      </c>
      <c r="J1067" s="17">
        <v>0.18361305787913401</v>
      </c>
      <c r="K1067" s="17"/>
      <c r="L1067" s="17">
        <v>0.213034810989739</v>
      </c>
      <c r="M1067" s="17">
        <v>0.20050704647342599</v>
      </c>
      <c r="N1067" s="17">
        <v>0.20835213233879801</v>
      </c>
      <c r="O1067" s="17">
        <v>0.15308495525789101</v>
      </c>
    </row>
    <row r="1068" spans="2:15" x14ac:dyDescent="0.3">
      <c r="B1068" t="s">
        <v>350</v>
      </c>
      <c r="C1068" s="17">
        <v>0.16262056060215499</v>
      </c>
      <c r="D1068" s="17">
        <v>0.151848905488422</v>
      </c>
      <c r="E1068" s="17">
        <v>0.170219409914902</v>
      </c>
      <c r="F1068" s="17"/>
      <c r="G1068" s="17">
        <v>0.136062264634041</v>
      </c>
      <c r="H1068" s="17">
        <v>0.22571325193950501</v>
      </c>
      <c r="I1068" s="17">
        <v>0.114324811474356</v>
      </c>
      <c r="J1068" s="17">
        <v>0.17094417109846</v>
      </c>
      <c r="K1068" s="17"/>
      <c r="L1068" s="17">
        <v>0.18867158202166801</v>
      </c>
      <c r="M1068" s="17">
        <v>0.110259005539789</v>
      </c>
      <c r="N1068" s="17">
        <v>0.160260488088073</v>
      </c>
      <c r="O1068" s="17">
        <v>0.19545462394301799</v>
      </c>
    </row>
    <row r="1069" spans="2:15" x14ac:dyDescent="0.3">
      <c r="C1069" s="17"/>
      <c r="D1069" s="17"/>
      <c r="E1069" s="17"/>
      <c r="F1069" s="17"/>
      <c r="G1069" s="17"/>
      <c r="H1069" s="17"/>
      <c r="I1069" s="17"/>
      <c r="J1069" s="17"/>
      <c r="K1069" s="17"/>
      <c r="L1069" s="17"/>
      <c r="M1069" s="17"/>
      <c r="N1069" s="17"/>
      <c r="O1069" s="17"/>
    </row>
    <row r="1070" spans="2:15" x14ac:dyDescent="0.3">
      <c r="B1070" s="6" t="s">
        <v>363</v>
      </c>
      <c r="C1070" s="17"/>
      <c r="D1070" s="17"/>
      <c r="E1070" s="17"/>
      <c r="F1070" s="17"/>
      <c r="G1070" s="17"/>
      <c r="H1070" s="17"/>
      <c r="I1070" s="17"/>
      <c r="J1070" s="17"/>
      <c r="K1070" s="17"/>
      <c r="L1070" s="17"/>
      <c r="M1070" s="17"/>
      <c r="N1070" s="17"/>
      <c r="O1070" s="17"/>
    </row>
    <row r="1071" spans="2:15" x14ac:dyDescent="0.3">
      <c r="B1071" s="23" t="s">
        <v>46</v>
      </c>
      <c r="C1071" s="17"/>
      <c r="D1071" s="17"/>
      <c r="E1071" s="17"/>
      <c r="F1071" s="17"/>
      <c r="G1071" s="17"/>
      <c r="H1071" s="17"/>
      <c r="I1071" s="17"/>
      <c r="J1071" s="17"/>
      <c r="K1071" s="17"/>
      <c r="L1071" s="17"/>
      <c r="M1071" s="17"/>
      <c r="N1071" s="17"/>
      <c r="O1071" s="17"/>
    </row>
    <row r="1072" spans="2:15" x14ac:dyDescent="0.3">
      <c r="B1072" t="s">
        <v>348</v>
      </c>
      <c r="C1072" s="17">
        <v>0.150580599329355</v>
      </c>
      <c r="D1072" s="17">
        <v>0.17859634340404201</v>
      </c>
      <c r="E1072" s="17">
        <v>0.11934844691822501</v>
      </c>
      <c r="F1072" s="17"/>
      <c r="G1072" s="17">
        <v>0.106987647068747</v>
      </c>
      <c r="H1072" s="17">
        <v>0.163428086235297</v>
      </c>
      <c r="I1072" s="17">
        <v>0.22035765870559901</v>
      </c>
      <c r="J1072" s="17">
        <v>0.13025442329742101</v>
      </c>
      <c r="K1072" s="17"/>
      <c r="L1072" s="17">
        <v>5.8748129196262898E-2</v>
      </c>
      <c r="M1072" s="17">
        <v>0.19684014755454099</v>
      </c>
      <c r="N1072" s="17">
        <v>0.16411267969555399</v>
      </c>
      <c r="O1072" s="17">
        <v>0.177989256278032</v>
      </c>
    </row>
    <row r="1073" spans="2:15" x14ac:dyDescent="0.3">
      <c r="B1073" t="s">
        <v>333</v>
      </c>
      <c r="C1073" s="17">
        <v>0.164936678391816</v>
      </c>
      <c r="D1073" s="17">
        <v>0.160976220478006</v>
      </c>
      <c r="E1073" s="17">
        <v>0.17009456886468399</v>
      </c>
      <c r="F1073" s="17"/>
      <c r="G1073" s="17">
        <v>0.17320632445810399</v>
      </c>
      <c r="H1073" s="17">
        <v>0.11556784151982601</v>
      </c>
      <c r="I1073" s="17">
        <v>0.213552899216923</v>
      </c>
      <c r="J1073" s="17">
        <v>0.167146312176159</v>
      </c>
      <c r="K1073" s="17"/>
      <c r="L1073" s="17">
        <v>0.18189943498747399</v>
      </c>
      <c r="M1073" s="17">
        <v>0.176355239421781</v>
      </c>
      <c r="N1073" s="17">
        <v>0.14727878782993201</v>
      </c>
      <c r="O1073" s="17">
        <v>0.15481969970596199</v>
      </c>
    </row>
    <row r="1074" spans="2:15" x14ac:dyDescent="0.3">
      <c r="B1074" t="s">
        <v>334</v>
      </c>
      <c r="C1074" s="17">
        <v>0.28912001030473</v>
      </c>
      <c r="D1074" s="17">
        <v>0.273856386508809</v>
      </c>
      <c r="E1074" s="17">
        <v>0.30647316309266898</v>
      </c>
      <c r="F1074" s="17"/>
      <c r="G1074" s="17">
        <v>0.26350163040543501</v>
      </c>
      <c r="H1074" s="17">
        <v>0.27472225144265899</v>
      </c>
      <c r="I1074" s="17">
        <v>0.30227906747208899</v>
      </c>
      <c r="J1074" s="17">
        <v>0.32115712576876898</v>
      </c>
      <c r="K1074" s="17"/>
      <c r="L1074" s="17">
        <v>0.267971102155726</v>
      </c>
      <c r="M1074" s="17">
        <v>0.27468677497021998</v>
      </c>
      <c r="N1074" s="17">
        <v>0.28823248564387199</v>
      </c>
      <c r="O1074" s="17">
        <v>0.32675706575678698</v>
      </c>
    </row>
    <row r="1075" spans="2:15" x14ac:dyDescent="0.3">
      <c r="B1075" t="s">
        <v>335</v>
      </c>
      <c r="C1075" s="17">
        <v>0.22882078245338699</v>
      </c>
      <c r="D1075" s="17">
        <v>0.23677043217018501</v>
      </c>
      <c r="E1075" s="17">
        <v>0.21960599232485301</v>
      </c>
      <c r="F1075" s="17"/>
      <c r="G1075" s="17">
        <v>0.30332359039053097</v>
      </c>
      <c r="H1075" s="17">
        <v>0.256158633512727</v>
      </c>
      <c r="I1075" s="17">
        <v>9.12266934429211E-2</v>
      </c>
      <c r="J1075" s="17">
        <v>0.228206017410547</v>
      </c>
      <c r="K1075" s="17"/>
      <c r="L1075" s="17">
        <v>0.280242905797495</v>
      </c>
      <c r="M1075" s="17">
        <v>0.20977156677967501</v>
      </c>
      <c r="N1075" s="17">
        <v>0.222786134595896</v>
      </c>
      <c r="O1075" s="17">
        <v>0.20442853236146399</v>
      </c>
    </row>
    <row r="1076" spans="2:15" x14ac:dyDescent="0.3">
      <c r="B1076" t="s">
        <v>349</v>
      </c>
      <c r="C1076" s="17">
        <v>0.12995136846029101</v>
      </c>
      <c r="D1076" s="17">
        <v>0.118172034331179</v>
      </c>
      <c r="E1076" s="17">
        <v>0.14266429046880499</v>
      </c>
      <c r="F1076" s="17"/>
      <c r="G1076" s="17">
        <v>0.13097200492504099</v>
      </c>
      <c r="H1076" s="17">
        <v>0.127068895318485</v>
      </c>
      <c r="I1076" s="17">
        <v>0.152240048321406</v>
      </c>
      <c r="J1076" s="17">
        <v>0.112584815606288</v>
      </c>
      <c r="K1076" s="17"/>
      <c r="L1076" s="17">
        <v>0.15994492382305001</v>
      </c>
      <c r="M1076" s="17">
        <v>0.13826789230072201</v>
      </c>
      <c r="N1076" s="17">
        <v>0.12564585020996299</v>
      </c>
      <c r="O1076" s="17">
        <v>9.5675561010075502E-2</v>
      </c>
    </row>
    <row r="1077" spans="2:15" x14ac:dyDescent="0.3">
      <c r="B1077" t="s">
        <v>350</v>
      </c>
      <c r="C1077" s="17">
        <v>3.6590561060421002E-2</v>
      </c>
      <c r="D1077" s="17">
        <v>3.1628583107779197E-2</v>
      </c>
      <c r="E1077" s="17">
        <v>4.1813538330763803E-2</v>
      </c>
      <c r="F1077" s="17"/>
      <c r="G1077" s="17">
        <v>2.20088027521421E-2</v>
      </c>
      <c r="H1077" s="17">
        <v>6.3054291971005094E-2</v>
      </c>
      <c r="I1077" s="17">
        <v>2.03436328410623E-2</v>
      </c>
      <c r="J1077" s="17">
        <v>4.06513057408159E-2</v>
      </c>
      <c r="K1077" s="17"/>
      <c r="L1077" s="17">
        <v>5.1193504039992802E-2</v>
      </c>
      <c r="M1077" s="17">
        <v>4.0783789730608304E-3</v>
      </c>
      <c r="N1077" s="17">
        <v>5.1944062024782002E-2</v>
      </c>
      <c r="O1077" s="17">
        <v>4.0329884887679003E-2</v>
      </c>
    </row>
    <row r="1078" spans="2:15" x14ac:dyDescent="0.3">
      <c r="C1078" s="17"/>
      <c r="D1078" s="17"/>
      <c r="E1078" s="17"/>
      <c r="F1078" s="17"/>
      <c r="G1078" s="17"/>
      <c r="H1078" s="17"/>
      <c r="I1078" s="17"/>
      <c r="J1078" s="17"/>
      <c r="K1078" s="17"/>
      <c r="L1078" s="17"/>
      <c r="M1078" s="17"/>
      <c r="N1078" s="17"/>
      <c r="O1078" s="17"/>
    </row>
    <row r="1079" spans="2:15" x14ac:dyDescent="0.3">
      <c r="B1079" s="6" t="s">
        <v>364</v>
      </c>
      <c r="C1079" s="17"/>
      <c r="D1079" s="17"/>
      <c r="E1079" s="17"/>
      <c r="F1079" s="17"/>
      <c r="G1079" s="17"/>
      <c r="H1079" s="17"/>
      <c r="I1079" s="17"/>
      <c r="J1079" s="17"/>
      <c r="K1079" s="17"/>
      <c r="L1079" s="17"/>
      <c r="M1079" s="17"/>
      <c r="N1079" s="17"/>
      <c r="O1079" s="17"/>
    </row>
    <row r="1080" spans="2:15" x14ac:dyDescent="0.3">
      <c r="B1080" s="23" t="s">
        <v>46</v>
      </c>
      <c r="C1080" s="17"/>
      <c r="D1080" s="17"/>
      <c r="E1080" s="17"/>
      <c r="F1080" s="17"/>
      <c r="G1080" s="17"/>
      <c r="H1080" s="17"/>
      <c r="I1080" s="17"/>
      <c r="J1080" s="17"/>
      <c r="K1080" s="17"/>
      <c r="L1080" s="17"/>
      <c r="M1080" s="17"/>
      <c r="N1080" s="17"/>
      <c r="O1080" s="17"/>
    </row>
    <row r="1081" spans="2:15" x14ac:dyDescent="0.3">
      <c r="B1081" t="s">
        <v>348</v>
      </c>
      <c r="C1081" s="17">
        <v>4.6719806459097402E-2</v>
      </c>
      <c r="D1081" s="17">
        <v>2.2996210463373901E-2</v>
      </c>
      <c r="E1081" s="17">
        <v>7.0756867630344403E-2</v>
      </c>
      <c r="F1081" s="17"/>
      <c r="G1081" s="17">
        <v>1.7328751116420401E-2</v>
      </c>
      <c r="H1081" s="17">
        <v>7.5245395308772001E-2</v>
      </c>
      <c r="I1081" s="17">
        <v>2.9220352105046098E-2</v>
      </c>
      <c r="J1081" s="17">
        <v>6.8938832519377893E-2</v>
      </c>
      <c r="K1081" s="17"/>
      <c r="L1081" s="17">
        <v>2.9830691696567001E-2</v>
      </c>
      <c r="M1081" s="17">
        <v>5.5244627832873101E-2</v>
      </c>
      <c r="N1081" s="17">
        <v>5.4567179294629398E-2</v>
      </c>
      <c r="O1081" s="17">
        <v>4.5936959474982199E-2</v>
      </c>
    </row>
    <row r="1082" spans="2:15" x14ac:dyDescent="0.3">
      <c r="B1082" t="s">
        <v>333</v>
      </c>
      <c r="C1082" s="17">
        <v>6.3088632789122703E-2</v>
      </c>
      <c r="D1082" s="17">
        <v>4.7435290089828101E-2</v>
      </c>
      <c r="E1082" s="17">
        <v>7.9183907924931296E-2</v>
      </c>
      <c r="F1082" s="17"/>
      <c r="G1082" s="17">
        <v>5.6688862253201598E-2</v>
      </c>
      <c r="H1082" s="17">
        <v>4.94383562804721E-2</v>
      </c>
      <c r="I1082" s="17">
        <v>5.7834211916220901E-2</v>
      </c>
      <c r="J1082" s="17">
        <v>9.2206151292361205E-2</v>
      </c>
      <c r="K1082" s="17"/>
      <c r="L1082" s="17">
        <v>6.8130942539178799E-2</v>
      </c>
      <c r="M1082" s="17">
        <v>7.6743408035499103E-2</v>
      </c>
      <c r="N1082" s="17">
        <v>4.3209092917943601E-2</v>
      </c>
      <c r="O1082" s="17">
        <v>6.4893263316287295E-2</v>
      </c>
    </row>
    <row r="1083" spans="2:15" x14ac:dyDescent="0.3">
      <c r="B1083" t="s">
        <v>334</v>
      </c>
      <c r="C1083" s="17">
        <v>0.26352969855067199</v>
      </c>
      <c r="D1083" s="17">
        <v>0.22566676764718999</v>
      </c>
      <c r="E1083" s="17">
        <v>0.29892434939267898</v>
      </c>
      <c r="F1083" s="17"/>
      <c r="G1083" s="17">
        <v>0.21025382843231899</v>
      </c>
      <c r="H1083" s="17">
        <v>0.30917936106786997</v>
      </c>
      <c r="I1083" s="17">
        <v>0.28530515355523001</v>
      </c>
      <c r="J1083" s="17">
        <v>0.263278882059307</v>
      </c>
      <c r="K1083" s="17"/>
      <c r="L1083" s="17">
        <v>0.25198352600290203</v>
      </c>
      <c r="M1083" s="17">
        <v>0.19360350903010101</v>
      </c>
      <c r="N1083" s="17">
        <v>0.26530834591132302</v>
      </c>
      <c r="O1083" s="17">
        <v>0.34837263124501699</v>
      </c>
    </row>
    <row r="1084" spans="2:15" x14ac:dyDescent="0.3">
      <c r="B1084" t="s">
        <v>335</v>
      </c>
      <c r="C1084" s="17">
        <v>0.29306403876493597</v>
      </c>
      <c r="D1084" s="17">
        <v>0.28601084662980703</v>
      </c>
      <c r="E1084" s="17">
        <v>0.29930317718713301</v>
      </c>
      <c r="F1084" s="17"/>
      <c r="G1084" s="17">
        <v>0.37687018676266598</v>
      </c>
      <c r="H1084" s="17">
        <v>0.244400396877785</v>
      </c>
      <c r="I1084" s="17">
        <v>0.241539004479919</v>
      </c>
      <c r="J1084" s="17">
        <v>0.28856268933038098</v>
      </c>
      <c r="K1084" s="17"/>
      <c r="L1084" s="17">
        <v>0.25672756455378398</v>
      </c>
      <c r="M1084" s="17">
        <v>0.32303965211777502</v>
      </c>
      <c r="N1084" s="17">
        <v>0.32468362548566199</v>
      </c>
      <c r="O1084" s="17">
        <v>0.26289946754300297</v>
      </c>
    </row>
    <row r="1085" spans="2:15" x14ac:dyDescent="0.3">
      <c r="B1085" t="s">
        <v>349</v>
      </c>
      <c r="C1085" s="17">
        <v>0.32306088655456699</v>
      </c>
      <c r="D1085" s="17">
        <v>0.40867643062478298</v>
      </c>
      <c r="E1085" s="17">
        <v>0.23989699792257599</v>
      </c>
      <c r="F1085" s="17"/>
      <c r="G1085" s="17">
        <v>0.325264335643351</v>
      </c>
      <c r="H1085" s="17">
        <v>0.29687523278434602</v>
      </c>
      <c r="I1085" s="17">
        <v>0.38610127794358401</v>
      </c>
      <c r="J1085" s="17">
        <v>0.28701344479857299</v>
      </c>
      <c r="K1085" s="17"/>
      <c r="L1085" s="17">
        <v>0.37410949463518101</v>
      </c>
      <c r="M1085" s="17">
        <v>0.351368802983752</v>
      </c>
      <c r="N1085" s="17">
        <v>0.30315681101258801</v>
      </c>
      <c r="O1085" s="17">
        <v>0.263122571425153</v>
      </c>
    </row>
    <row r="1086" spans="2:15" x14ac:dyDescent="0.3">
      <c r="B1086" t="s">
        <v>350</v>
      </c>
      <c r="C1086" s="17">
        <v>1.05369368816059E-2</v>
      </c>
      <c r="D1086" s="17">
        <v>9.2144545450177605E-3</v>
      </c>
      <c r="E1086" s="17">
        <v>1.19346999423358E-2</v>
      </c>
      <c r="F1086" s="17"/>
      <c r="G1086" s="17">
        <v>1.3594035792041799E-2</v>
      </c>
      <c r="H1086" s="17">
        <v>2.4861257680755099E-2</v>
      </c>
      <c r="I1086" s="17">
        <v>0</v>
      </c>
      <c r="J1086" s="17">
        <v>0</v>
      </c>
      <c r="K1086" s="17"/>
      <c r="L1086" s="17">
        <v>1.9217780572387301E-2</v>
      </c>
      <c r="M1086" s="17">
        <v>0</v>
      </c>
      <c r="N1086" s="17">
        <v>9.0749453778527396E-3</v>
      </c>
      <c r="O1086" s="17">
        <v>1.47751069955574E-2</v>
      </c>
    </row>
    <row r="1087" spans="2:15" x14ac:dyDescent="0.3">
      <c r="C1087" s="17"/>
      <c r="D1087" s="17"/>
      <c r="E1087" s="17"/>
      <c r="F1087" s="17"/>
      <c r="G1087" s="17"/>
      <c r="H1087" s="17"/>
      <c r="I1087" s="17"/>
      <c r="J1087" s="17"/>
      <c r="K1087" s="17"/>
      <c r="L1087" s="17"/>
      <c r="M1087" s="17"/>
      <c r="N1087" s="17"/>
      <c r="O1087" s="17"/>
    </row>
    <row r="1088" spans="2:15" x14ac:dyDescent="0.3">
      <c r="B1088" s="6" t="s">
        <v>367</v>
      </c>
      <c r="C1088" s="17"/>
      <c r="D1088" s="17"/>
      <c r="E1088" s="17"/>
      <c r="F1088" s="17"/>
      <c r="G1088" s="17"/>
      <c r="H1088" s="17"/>
      <c r="I1088" s="17"/>
      <c r="J1088" s="17"/>
      <c r="K1088" s="17"/>
      <c r="L1088" s="17"/>
      <c r="M1088" s="17"/>
      <c r="N1088" s="17"/>
      <c r="O1088" s="17"/>
    </row>
    <row r="1089" spans="2:15" x14ac:dyDescent="0.3">
      <c r="B1089" s="23" t="s">
        <v>46</v>
      </c>
      <c r="C1089" s="17"/>
      <c r="D1089" s="17"/>
      <c r="E1089" s="17"/>
      <c r="F1089" s="17"/>
      <c r="G1089" s="17"/>
      <c r="H1089" s="17"/>
      <c r="I1089" s="17"/>
      <c r="J1089" s="17"/>
      <c r="K1089" s="17"/>
      <c r="L1089" s="17"/>
      <c r="M1089" s="17"/>
      <c r="N1089" s="17"/>
      <c r="O1089" s="17"/>
    </row>
    <row r="1090" spans="2:15" x14ac:dyDescent="0.3">
      <c r="B1090" t="s">
        <v>348</v>
      </c>
      <c r="C1090" s="17">
        <v>5.0132258085797E-2</v>
      </c>
      <c r="D1090" s="17">
        <v>4.1651166009659603E-2</v>
      </c>
      <c r="E1090" s="17">
        <v>5.8969027184712502E-2</v>
      </c>
      <c r="F1090" s="17"/>
      <c r="G1090" s="17">
        <v>3.8583982170179602E-2</v>
      </c>
      <c r="H1090" s="17">
        <v>4.2627675439790499E-2</v>
      </c>
      <c r="I1090" s="17">
        <v>5.2885567732975598E-2</v>
      </c>
      <c r="J1090" s="17">
        <v>7.1565230365281202E-2</v>
      </c>
      <c r="K1090" s="17"/>
      <c r="L1090" s="17">
        <v>2.68080098728018E-2</v>
      </c>
      <c r="M1090" s="17">
        <v>5.6634409224270002E-2</v>
      </c>
      <c r="N1090" s="17">
        <v>4.2703692039852997E-2</v>
      </c>
      <c r="O1090" s="17">
        <v>7.4509381169298602E-2</v>
      </c>
    </row>
    <row r="1091" spans="2:15" x14ac:dyDescent="0.3">
      <c r="B1091" t="s">
        <v>333</v>
      </c>
      <c r="C1091" s="17">
        <v>7.9721005316796101E-2</v>
      </c>
      <c r="D1091" s="17">
        <v>7.90971260330562E-2</v>
      </c>
      <c r="E1091" s="17">
        <v>8.0925123682602101E-2</v>
      </c>
      <c r="F1091" s="17"/>
      <c r="G1091" s="17">
        <v>3.7778654081739499E-2</v>
      </c>
      <c r="H1091" s="17">
        <v>0.148496239152032</v>
      </c>
      <c r="I1091" s="17">
        <v>7.5226219937026606E-2</v>
      </c>
      <c r="J1091" s="17">
        <v>6.0988617883320197E-2</v>
      </c>
      <c r="K1091" s="17"/>
      <c r="L1091" s="17">
        <v>5.2458464156561697E-2</v>
      </c>
      <c r="M1091" s="17">
        <v>4.3060313471296498E-2</v>
      </c>
      <c r="N1091" s="17">
        <v>0.10076016154799899</v>
      </c>
      <c r="O1091" s="17">
        <v>0.123629144211871</v>
      </c>
    </row>
    <row r="1092" spans="2:15" x14ac:dyDescent="0.3">
      <c r="B1092" t="s">
        <v>334</v>
      </c>
      <c r="C1092" s="17">
        <v>0.26315022129662002</v>
      </c>
      <c r="D1092" s="17">
        <v>0.26273148394476298</v>
      </c>
      <c r="E1092" s="17">
        <v>0.26114052079314898</v>
      </c>
      <c r="F1092" s="17"/>
      <c r="G1092" s="17">
        <v>0.242136129086782</v>
      </c>
      <c r="H1092" s="17">
        <v>0.219617169685591</v>
      </c>
      <c r="I1092" s="17">
        <v>0.32683049714513501</v>
      </c>
      <c r="J1092" s="17">
        <v>0.28388245891305203</v>
      </c>
      <c r="K1092" s="17"/>
      <c r="L1092" s="17">
        <v>0.243582352656707</v>
      </c>
      <c r="M1092" s="17">
        <v>0.31328232235528802</v>
      </c>
      <c r="N1092" s="17">
        <v>0.24079123243561201</v>
      </c>
      <c r="O1092" s="17">
        <v>0.25301034036678499</v>
      </c>
    </row>
    <row r="1093" spans="2:15" x14ac:dyDescent="0.3">
      <c r="B1093" t="s">
        <v>335</v>
      </c>
      <c r="C1093" s="17">
        <v>0.29416207057488503</v>
      </c>
      <c r="D1093" s="17">
        <v>0.29546442010692398</v>
      </c>
      <c r="E1093" s="17">
        <v>0.29206317672041399</v>
      </c>
      <c r="F1093" s="17"/>
      <c r="G1093" s="17">
        <v>0.35044556366907897</v>
      </c>
      <c r="H1093" s="17">
        <v>0.32198133470600399</v>
      </c>
      <c r="I1093" s="17">
        <v>0.235679855466155</v>
      </c>
      <c r="J1093" s="17">
        <v>0.24503611144255999</v>
      </c>
      <c r="K1093" s="17"/>
      <c r="L1093" s="17">
        <v>0.36042351272675199</v>
      </c>
      <c r="M1093" s="17">
        <v>0.31971295634557101</v>
      </c>
      <c r="N1093" s="17">
        <v>0.29614715103075401</v>
      </c>
      <c r="O1093" s="17">
        <v>0.198263565660693</v>
      </c>
    </row>
    <row r="1094" spans="2:15" x14ac:dyDescent="0.3">
      <c r="B1094" t="s">
        <v>349</v>
      </c>
      <c r="C1094" s="17">
        <v>0.31283444472590199</v>
      </c>
      <c r="D1094" s="17">
        <v>0.32105580390559801</v>
      </c>
      <c r="E1094" s="17">
        <v>0.30690215161912199</v>
      </c>
      <c r="F1094" s="17"/>
      <c r="G1094" s="17">
        <v>0.33105567099222</v>
      </c>
      <c r="H1094" s="17">
        <v>0.267277581016583</v>
      </c>
      <c r="I1094" s="17">
        <v>0.30937785971870801</v>
      </c>
      <c r="J1094" s="17">
        <v>0.33852758139578598</v>
      </c>
      <c r="K1094" s="17"/>
      <c r="L1094" s="17">
        <v>0.31672766058717799</v>
      </c>
      <c r="M1094" s="17">
        <v>0.26730999860357502</v>
      </c>
      <c r="N1094" s="17">
        <v>0.31959776294578202</v>
      </c>
      <c r="O1094" s="17">
        <v>0.35058756859135198</v>
      </c>
    </row>
    <row r="1095" spans="2:15" x14ac:dyDescent="0.3">
      <c r="C1095" s="17"/>
      <c r="D1095" s="17"/>
      <c r="E1095" s="17"/>
      <c r="F1095" s="17"/>
      <c r="G1095" s="17"/>
      <c r="H1095" s="17"/>
      <c r="I1095" s="17"/>
      <c r="J1095" s="17"/>
      <c r="K1095" s="17"/>
      <c r="L1095" s="17"/>
      <c r="M1095" s="17"/>
      <c r="N1095" s="17"/>
      <c r="O1095" s="17"/>
    </row>
    <row r="1096" spans="2:15" x14ac:dyDescent="0.3">
      <c r="B1096" s="6" t="s">
        <v>368</v>
      </c>
      <c r="C1096" s="17"/>
      <c r="D1096" s="17"/>
      <c r="E1096" s="17"/>
      <c r="F1096" s="17"/>
      <c r="G1096" s="17"/>
      <c r="H1096" s="17"/>
      <c r="I1096" s="17"/>
      <c r="J1096" s="17"/>
      <c r="K1096" s="17"/>
      <c r="L1096" s="17"/>
      <c r="M1096" s="17"/>
      <c r="N1096" s="17"/>
      <c r="O1096" s="17"/>
    </row>
    <row r="1097" spans="2:15" x14ac:dyDescent="0.3">
      <c r="B1097" s="23" t="s">
        <v>46</v>
      </c>
      <c r="C1097" s="17"/>
      <c r="D1097" s="17"/>
      <c r="E1097" s="17"/>
      <c r="F1097" s="17"/>
      <c r="G1097" s="17"/>
      <c r="H1097" s="17"/>
      <c r="I1097" s="17"/>
      <c r="J1097" s="17"/>
      <c r="K1097" s="17"/>
      <c r="L1097" s="17"/>
      <c r="M1097" s="17"/>
      <c r="N1097" s="17"/>
      <c r="O1097" s="17"/>
    </row>
    <row r="1098" spans="2:15" x14ac:dyDescent="0.3">
      <c r="B1098" t="s">
        <v>348</v>
      </c>
      <c r="C1098" s="17">
        <v>6.5905453677702494E-2</v>
      </c>
      <c r="D1098" s="17">
        <v>5.91162880372419E-2</v>
      </c>
      <c r="E1098" s="17">
        <v>7.3167165209747503E-2</v>
      </c>
      <c r="F1098" s="17"/>
      <c r="G1098" s="17">
        <v>1.6184296160406699E-2</v>
      </c>
      <c r="H1098" s="17">
        <v>8.0144104803994906E-2</v>
      </c>
      <c r="I1098" s="17">
        <v>5.9682313239597801E-2</v>
      </c>
      <c r="J1098" s="17">
        <v>0.120661634971058</v>
      </c>
      <c r="K1098" s="17"/>
      <c r="L1098" s="17">
        <v>4.6808593644333797E-2</v>
      </c>
      <c r="M1098" s="17">
        <v>7.8117630756078499E-2</v>
      </c>
      <c r="N1098" s="17">
        <v>5.7518022079050997E-2</v>
      </c>
      <c r="O1098" s="17">
        <v>8.0951355934387695E-2</v>
      </c>
    </row>
    <row r="1099" spans="2:15" x14ac:dyDescent="0.3">
      <c r="B1099" t="s">
        <v>333</v>
      </c>
      <c r="C1099" s="17">
        <v>4.78552511956181E-2</v>
      </c>
      <c r="D1099" s="17">
        <v>4.24542899052026E-2</v>
      </c>
      <c r="E1099" s="17">
        <v>5.3598801196019903E-2</v>
      </c>
      <c r="F1099" s="17"/>
      <c r="G1099" s="17">
        <v>3.1409391158317999E-2</v>
      </c>
      <c r="H1099" s="17">
        <v>6.4875404372034304E-2</v>
      </c>
      <c r="I1099" s="17">
        <v>4.5055137304462797E-2</v>
      </c>
      <c r="J1099" s="17">
        <v>5.2878190783967098E-2</v>
      </c>
      <c r="K1099" s="17"/>
      <c r="L1099" s="17">
        <v>2.2894810428911901E-2</v>
      </c>
      <c r="M1099" s="17">
        <v>4.2605288543682E-2</v>
      </c>
      <c r="N1099" s="17">
        <v>5.1305799710459198E-2</v>
      </c>
      <c r="O1099" s="17">
        <v>7.4725284833177599E-2</v>
      </c>
    </row>
    <row r="1100" spans="2:15" x14ac:dyDescent="0.3">
      <c r="B1100" t="s">
        <v>334</v>
      </c>
      <c r="C1100" s="17">
        <v>0.24116378964501101</v>
      </c>
      <c r="D1100" s="17">
        <v>0.23490633732577601</v>
      </c>
      <c r="E1100" s="17">
        <v>0.24482593906228101</v>
      </c>
      <c r="F1100" s="17"/>
      <c r="G1100" s="17">
        <v>0.18363217310368901</v>
      </c>
      <c r="H1100" s="17">
        <v>0.20378365575607499</v>
      </c>
      <c r="I1100" s="17">
        <v>0.27716772387646299</v>
      </c>
      <c r="J1100" s="17">
        <v>0.327524729018565</v>
      </c>
      <c r="K1100" s="17"/>
      <c r="L1100" s="17">
        <v>0.216923964639755</v>
      </c>
      <c r="M1100" s="17">
        <v>0.24471647893880599</v>
      </c>
      <c r="N1100" s="17">
        <v>0.26776342737241898</v>
      </c>
      <c r="O1100" s="17">
        <v>0.23276550802346299</v>
      </c>
    </row>
    <row r="1101" spans="2:15" x14ac:dyDescent="0.3">
      <c r="B1101" t="s">
        <v>335</v>
      </c>
      <c r="C1101" s="17">
        <v>0.28394803062151402</v>
      </c>
      <c r="D1101" s="17">
        <v>0.26653770396580101</v>
      </c>
      <c r="E1101" s="17">
        <v>0.30046608736247299</v>
      </c>
      <c r="F1101" s="17"/>
      <c r="G1101" s="17">
        <v>0.33445662591575798</v>
      </c>
      <c r="H1101" s="17">
        <v>0.30836146736470399</v>
      </c>
      <c r="I1101" s="17">
        <v>0.25465530411966097</v>
      </c>
      <c r="J1101" s="17">
        <v>0.219484895294907</v>
      </c>
      <c r="K1101" s="17"/>
      <c r="L1101" s="17">
        <v>0.35807725982877803</v>
      </c>
      <c r="M1101" s="17">
        <v>0.29384609044383497</v>
      </c>
      <c r="N1101" s="17">
        <v>0.22610876100066399</v>
      </c>
      <c r="O1101" s="17">
        <v>0.26183009733100698</v>
      </c>
    </row>
    <row r="1102" spans="2:15" x14ac:dyDescent="0.3">
      <c r="B1102" t="s">
        <v>349</v>
      </c>
      <c r="C1102" s="17">
        <v>0.36112747486015501</v>
      </c>
      <c r="D1102" s="17">
        <v>0.396985380765979</v>
      </c>
      <c r="E1102" s="17">
        <v>0.32794200716947902</v>
      </c>
      <c r="F1102" s="17"/>
      <c r="G1102" s="17">
        <v>0.43431751366182902</v>
      </c>
      <c r="H1102" s="17">
        <v>0.34283536770319201</v>
      </c>
      <c r="I1102" s="17">
        <v>0.36343952145981501</v>
      </c>
      <c r="J1102" s="17">
        <v>0.27945054993150298</v>
      </c>
      <c r="K1102" s="17"/>
      <c r="L1102" s="17">
        <v>0.35529537145822199</v>
      </c>
      <c r="M1102" s="17">
        <v>0.340714511317599</v>
      </c>
      <c r="N1102" s="17">
        <v>0.397303989837407</v>
      </c>
      <c r="O1102" s="17">
        <v>0.34972775387796501</v>
      </c>
    </row>
    <row r="1103" spans="2:15" x14ac:dyDescent="0.3">
      <c r="C1103" s="17"/>
      <c r="D1103" s="17"/>
      <c r="E1103" s="17"/>
      <c r="F1103" s="17"/>
      <c r="G1103" s="17"/>
      <c r="H1103" s="17"/>
      <c r="I1103" s="17"/>
      <c r="J1103" s="17"/>
      <c r="K1103" s="17"/>
      <c r="L1103" s="17"/>
      <c r="M1103" s="17"/>
      <c r="N1103" s="17"/>
      <c r="O1103" s="17"/>
    </row>
    <row r="1104" spans="2:15" x14ac:dyDescent="0.3">
      <c r="B1104" s="6" t="s">
        <v>369</v>
      </c>
      <c r="C1104" s="17"/>
      <c r="D1104" s="17"/>
      <c r="E1104" s="17"/>
      <c r="F1104" s="17"/>
      <c r="G1104" s="17"/>
      <c r="H1104" s="17"/>
      <c r="I1104" s="17"/>
      <c r="J1104" s="17"/>
      <c r="K1104" s="17"/>
      <c r="L1104" s="17"/>
      <c r="M1104" s="17"/>
      <c r="N1104" s="17"/>
      <c r="O1104" s="17"/>
    </row>
    <row r="1105" spans="2:15" x14ac:dyDescent="0.3">
      <c r="B1105" s="23" t="s">
        <v>46</v>
      </c>
      <c r="C1105" s="17"/>
      <c r="D1105" s="17"/>
      <c r="E1105" s="17"/>
      <c r="F1105" s="17"/>
      <c r="G1105" s="17"/>
      <c r="H1105" s="17"/>
      <c r="I1105" s="17"/>
      <c r="J1105" s="17"/>
      <c r="K1105" s="17"/>
      <c r="L1105" s="17"/>
      <c r="M1105" s="17"/>
      <c r="N1105" s="17"/>
      <c r="O1105" s="17"/>
    </row>
    <row r="1106" spans="2:15" x14ac:dyDescent="0.3">
      <c r="B1106" t="s">
        <v>348</v>
      </c>
      <c r="C1106" s="17">
        <v>0.123801702995743</v>
      </c>
      <c r="D1106" s="17">
        <v>0.112019307205172</v>
      </c>
      <c r="E1106" s="17">
        <v>0.13647286887058499</v>
      </c>
      <c r="F1106" s="17"/>
      <c r="G1106" s="17">
        <v>8.6343573662795797E-2</v>
      </c>
      <c r="H1106" s="17">
        <v>0.14994281909689799</v>
      </c>
      <c r="I1106" s="17">
        <v>8.3746490292955902E-2</v>
      </c>
      <c r="J1106" s="17">
        <v>0.172490513980493</v>
      </c>
      <c r="K1106" s="17"/>
      <c r="L1106" s="17">
        <v>4.6265743301981403E-2</v>
      </c>
      <c r="M1106" s="17">
        <v>0.131567999303845</v>
      </c>
      <c r="N1106" s="17">
        <v>0.146135627709295</v>
      </c>
      <c r="O1106" s="17">
        <v>0.16878792549413599</v>
      </c>
    </row>
    <row r="1107" spans="2:15" x14ac:dyDescent="0.3">
      <c r="B1107" t="s">
        <v>333</v>
      </c>
      <c r="C1107" s="17">
        <v>0.14142198136506001</v>
      </c>
      <c r="D1107" s="17">
        <v>0.16065644360512499</v>
      </c>
      <c r="E1107" s="17">
        <v>0.1232399869745</v>
      </c>
      <c r="F1107" s="17"/>
      <c r="G1107" s="17">
        <v>0.111337300918345</v>
      </c>
      <c r="H1107" s="17">
        <v>0.13674752500314599</v>
      </c>
      <c r="I1107" s="17">
        <v>0.18646837147598599</v>
      </c>
      <c r="J1107" s="17">
        <v>0.14589691952310699</v>
      </c>
      <c r="K1107" s="17"/>
      <c r="L1107" s="17">
        <v>0.11501944922327401</v>
      </c>
      <c r="M1107" s="17">
        <v>0.14152848596831799</v>
      </c>
      <c r="N1107" s="17">
        <v>0.14740988092636501</v>
      </c>
      <c r="O1107" s="17">
        <v>0.161223049181624</v>
      </c>
    </row>
    <row r="1108" spans="2:15" x14ac:dyDescent="0.3">
      <c r="B1108" t="s">
        <v>334</v>
      </c>
      <c r="C1108" s="17">
        <v>0.334267096135967</v>
      </c>
      <c r="D1108" s="17">
        <v>0.28120689078677202</v>
      </c>
      <c r="E1108" s="17">
        <v>0.38535721148028501</v>
      </c>
      <c r="F1108" s="17"/>
      <c r="G1108" s="17">
        <v>0.33345779796719899</v>
      </c>
      <c r="H1108" s="17">
        <v>0.34448909790251803</v>
      </c>
      <c r="I1108" s="17">
        <v>0.344148134668531</v>
      </c>
      <c r="J1108" s="17">
        <v>0.31735293866395697</v>
      </c>
      <c r="K1108" s="17"/>
      <c r="L1108" s="17">
        <v>0.32910954407918402</v>
      </c>
      <c r="M1108" s="17">
        <v>0.350218692307672</v>
      </c>
      <c r="N1108" s="17">
        <v>0.31844559046669801</v>
      </c>
      <c r="O1108" s="17">
        <v>0.33940456224065602</v>
      </c>
    </row>
    <row r="1109" spans="2:15" x14ac:dyDescent="0.3">
      <c r="B1109" t="s">
        <v>335</v>
      </c>
      <c r="C1109" s="17">
        <v>0.24068605278673699</v>
      </c>
      <c r="D1109" s="17">
        <v>0.26595231194167301</v>
      </c>
      <c r="E1109" s="17">
        <v>0.214260823206955</v>
      </c>
      <c r="F1109" s="17"/>
      <c r="G1109" s="17">
        <v>0.308241314065967</v>
      </c>
      <c r="H1109" s="17">
        <v>0.22704936509467499</v>
      </c>
      <c r="I1109" s="17">
        <v>0.21749284572230199</v>
      </c>
      <c r="J1109" s="17">
        <v>0.19131144185736701</v>
      </c>
      <c r="K1109" s="17"/>
      <c r="L1109" s="17">
        <v>0.30571577481130802</v>
      </c>
      <c r="M1109" s="17">
        <v>0.26744166924644802</v>
      </c>
      <c r="N1109" s="17">
        <v>0.24736270634042601</v>
      </c>
      <c r="O1109" s="17">
        <v>0.13964073231173901</v>
      </c>
    </row>
    <row r="1110" spans="2:15" x14ac:dyDescent="0.3">
      <c r="B1110" t="s">
        <v>349</v>
      </c>
      <c r="C1110" s="17">
        <v>0.15982316671649299</v>
      </c>
      <c r="D1110" s="17">
        <v>0.180165046461258</v>
      </c>
      <c r="E1110" s="17">
        <v>0.140669109467675</v>
      </c>
      <c r="F1110" s="17"/>
      <c r="G1110" s="17">
        <v>0.16062001338569301</v>
      </c>
      <c r="H1110" s="17">
        <v>0.14177119290276299</v>
      </c>
      <c r="I1110" s="17">
        <v>0.16814415784022499</v>
      </c>
      <c r="J1110" s="17">
        <v>0.172948185975076</v>
      </c>
      <c r="K1110" s="17"/>
      <c r="L1110" s="17">
        <v>0.20388948858425299</v>
      </c>
      <c r="M1110" s="17">
        <v>0.10924315317371699</v>
      </c>
      <c r="N1110" s="17">
        <v>0.140646194557216</v>
      </c>
      <c r="O1110" s="17">
        <v>0.19094373077184501</v>
      </c>
    </row>
    <row r="1111" spans="2:15" x14ac:dyDescent="0.3">
      <c r="C1111" s="17"/>
      <c r="D1111" s="17"/>
      <c r="E1111" s="17"/>
      <c r="F1111" s="17"/>
      <c r="G1111" s="17"/>
      <c r="H1111" s="17"/>
      <c r="I1111" s="17"/>
      <c r="J1111" s="17"/>
      <c r="K1111" s="17"/>
      <c r="L1111" s="17"/>
      <c r="M1111" s="17"/>
      <c r="N1111" s="17"/>
      <c r="O1111" s="17"/>
    </row>
    <row r="1112" spans="2:15" x14ac:dyDescent="0.3">
      <c r="B1112" s="6" t="s">
        <v>370</v>
      </c>
      <c r="C1112" s="17"/>
      <c r="D1112" s="17"/>
      <c r="E1112" s="17"/>
      <c r="F1112" s="17"/>
      <c r="G1112" s="17"/>
      <c r="H1112" s="17"/>
      <c r="I1112" s="17"/>
      <c r="J1112" s="17"/>
      <c r="K1112" s="17"/>
      <c r="L1112" s="17"/>
      <c r="M1112" s="17"/>
      <c r="N1112" s="17"/>
      <c r="O1112" s="17"/>
    </row>
    <row r="1113" spans="2:15" x14ac:dyDescent="0.3">
      <c r="B1113" s="23" t="s">
        <v>46</v>
      </c>
      <c r="C1113" s="17"/>
      <c r="D1113" s="17"/>
      <c r="E1113" s="17"/>
      <c r="F1113" s="17"/>
      <c r="G1113" s="17"/>
      <c r="H1113" s="17"/>
      <c r="I1113" s="17"/>
      <c r="J1113" s="17"/>
      <c r="K1113" s="17"/>
      <c r="L1113" s="17"/>
      <c r="M1113" s="17"/>
      <c r="N1113" s="17"/>
      <c r="O1113" s="17"/>
    </row>
    <row r="1114" spans="2:15" x14ac:dyDescent="0.3">
      <c r="B1114" t="s">
        <v>348</v>
      </c>
      <c r="C1114" s="17">
        <v>0.168585444789527</v>
      </c>
      <c r="D1114" s="17">
        <v>0.21004939168280001</v>
      </c>
      <c r="E1114" s="17">
        <v>0.12839720822860501</v>
      </c>
      <c r="F1114" s="17"/>
      <c r="G1114" s="17">
        <v>0.10503205906127799</v>
      </c>
      <c r="H1114" s="17">
        <v>0.20383169415097299</v>
      </c>
      <c r="I1114" s="17">
        <v>0.20625700019666099</v>
      </c>
      <c r="J1114" s="17">
        <v>0.17825905978166401</v>
      </c>
      <c r="K1114" s="17"/>
      <c r="L1114" s="17">
        <v>0.10780450727093099</v>
      </c>
      <c r="M1114" s="17">
        <v>0.221473414205476</v>
      </c>
      <c r="N1114" s="17">
        <v>0.15760353953988401</v>
      </c>
      <c r="O1114" s="17">
        <v>0.184368812562927</v>
      </c>
    </row>
    <row r="1115" spans="2:15" x14ac:dyDescent="0.3">
      <c r="B1115" t="s">
        <v>333</v>
      </c>
      <c r="C1115" s="17">
        <v>0.12574765986524</v>
      </c>
      <c r="D1115" s="17">
        <v>0.125668814248873</v>
      </c>
      <c r="E1115" s="17">
        <v>0.12674277370279299</v>
      </c>
      <c r="F1115" s="17"/>
      <c r="G1115" s="17">
        <v>9.5654012113622205E-2</v>
      </c>
      <c r="H1115" s="17">
        <v>0.15833740823234599</v>
      </c>
      <c r="I1115" s="17">
        <v>9.9371529781608597E-2</v>
      </c>
      <c r="J1115" s="17">
        <v>0.145064453621772</v>
      </c>
      <c r="K1115" s="17"/>
      <c r="L1115" s="17">
        <v>0.12627825826511899</v>
      </c>
      <c r="M1115" s="17">
        <v>8.7049258048158301E-2</v>
      </c>
      <c r="N1115" s="17">
        <v>0.10932692821753601</v>
      </c>
      <c r="O1115" s="17">
        <v>0.184636286341476</v>
      </c>
    </row>
    <row r="1116" spans="2:15" x14ac:dyDescent="0.3">
      <c r="B1116" t="s">
        <v>334</v>
      </c>
      <c r="C1116" s="17">
        <v>0.32613029356998902</v>
      </c>
      <c r="D1116" s="17">
        <v>0.29557137998389099</v>
      </c>
      <c r="E1116" s="17">
        <v>0.35903103587329199</v>
      </c>
      <c r="F1116" s="17"/>
      <c r="G1116" s="17">
        <v>0.320083221021286</v>
      </c>
      <c r="H1116" s="17">
        <v>0.30319919065737899</v>
      </c>
      <c r="I1116" s="17">
        <v>0.355268919703427</v>
      </c>
      <c r="J1116" s="17">
        <v>0.33602177974123698</v>
      </c>
      <c r="K1116" s="17"/>
      <c r="L1116" s="17">
        <v>0.33204812037250098</v>
      </c>
      <c r="M1116" s="17">
        <v>0.30777265737121301</v>
      </c>
      <c r="N1116" s="17">
        <v>0.38723565144904498</v>
      </c>
      <c r="O1116" s="17">
        <v>0.27376336194566703</v>
      </c>
    </row>
    <row r="1117" spans="2:15" x14ac:dyDescent="0.3">
      <c r="B1117" t="s">
        <v>335</v>
      </c>
      <c r="C1117" s="17">
        <v>0.21198084485024499</v>
      </c>
      <c r="D1117" s="17">
        <v>0.20666442040517899</v>
      </c>
      <c r="E1117" s="17">
        <v>0.21154870646346999</v>
      </c>
      <c r="F1117" s="17"/>
      <c r="G1117" s="17">
        <v>0.26094972742959099</v>
      </c>
      <c r="H1117" s="17">
        <v>0.15668881038257099</v>
      </c>
      <c r="I1117" s="17">
        <v>0.21447141292549499</v>
      </c>
      <c r="J1117" s="17">
        <v>0.21040777167990901</v>
      </c>
      <c r="K1117" s="17"/>
      <c r="L1117" s="17">
        <v>0.26560736962679599</v>
      </c>
      <c r="M1117" s="17">
        <v>0.231962438330193</v>
      </c>
      <c r="N1117" s="17">
        <v>0.16986460975633699</v>
      </c>
      <c r="O1117" s="17">
        <v>0.18248489086366601</v>
      </c>
    </row>
    <row r="1118" spans="2:15" x14ac:dyDescent="0.3">
      <c r="B1118" t="s">
        <v>349</v>
      </c>
      <c r="C1118" s="17">
        <v>0.16755575692499899</v>
      </c>
      <c r="D1118" s="17">
        <v>0.16204599367925601</v>
      </c>
      <c r="E1118" s="17">
        <v>0.17428027573183999</v>
      </c>
      <c r="F1118" s="17"/>
      <c r="G1118" s="17">
        <v>0.218280980374223</v>
      </c>
      <c r="H1118" s="17">
        <v>0.17794289657672899</v>
      </c>
      <c r="I1118" s="17">
        <v>0.124631137392809</v>
      </c>
      <c r="J1118" s="17">
        <v>0.13024693517541699</v>
      </c>
      <c r="K1118" s="17"/>
      <c r="L1118" s="17">
        <v>0.168261744464652</v>
      </c>
      <c r="M1118" s="17">
        <v>0.15174223204496001</v>
      </c>
      <c r="N1118" s="17">
        <v>0.17596927103719701</v>
      </c>
      <c r="O1118" s="17">
        <v>0.17474664828626399</v>
      </c>
    </row>
    <row r="1119" spans="2:15" x14ac:dyDescent="0.3">
      <c r="C1119" s="17"/>
      <c r="D1119" s="17"/>
      <c r="E1119" s="17"/>
      <c r="F1119" s="17"/>
      <c r="G1119" s="17"/>
      <c r="H1119" s="17"/>
      <c r="I1119" s="17"/>
      <c r="J1119" s="17"/>
      <c r="K1119" s="17"/>
      <c r="L1119" s="17"/>
      <c r="M1119" s="17"/>
      <c r="N1119" s="17"/>
      <c r="O1119" s="17"/>
    </row>
    <row r="1120" spans="2:15" x14ac:dyDescent="0.3">
      <c r="B1120" s="6" t="s">
        <v>371</v>
      </c>
      <c r="C1120" s="17"/>
      <c r="D1120" s="17"/>
      <c r="E1120" s="17"/>
      <c r="F1120" s="17"/>
      <c r="G1120" s="17"/>
      <c r="H1120" s="17"/>
      <c r="I1120" s="17"/>
      <c r="J1120" s="17"/>
      <c r="K1120" s="17"/>
      <c r="L1120" s="17"/>
      <c r="M1120" s="17"/>
      <c r="N1120" s="17"/>
      <c r="O1120" s="17"/>
    </row>
    <row r="1121" spans="2:15" x14ac:dyDescent="0.3">
      <c r="B1121" s="23" t="s">
        <v>46</v>
      </c>
      <c r="C1121" s="17"/>
      <c r="D1121" s="17"/>
      <c r="E1121" s="17"/>
      <c r="F1121" s="17"/>
      <c r="G1121" s="17"/>
      <c r="H1121" s="17"/>
      <c r="I1121" s="17"/>
      <c r="J1121" s="17"/>
      <c r="K1121" s="17"/>
      <c r="L1121" s="17"/>
      <c r="M1121" s="17"/>
      <c r="N1121" s="17"/>
      <c r="O1121" s="17"/>
    </row>
    <row r="1122" spans="2:15" x14ac:dyDescent="0.3">
      <c r="B1122" t="s">
        <v>348</v>
      </c>
      <c r="C1122" s="17">
        <v>4.0021688359829097E-2</v>
      </c>
      <c r="D1122" s="17">
        <v>4.4888674284159498E-2</v>
      </c>
      <c r="E1122" s="17">
        <v>3.5451889654932602E-2</v>
      </c>
      <c r="F1122" s="17"/>
      <c r="G1122" s="17">
        <v>1.9172931588444901E-2</v>
      </c>
      <c r="H1122" s="17">
        <v>5.3380438863916399E-2</v>
      </c>
      <c r="I1122" s="17">
        <v>4.20608023212653E-2</v>
      </c>
      <c r="J1122" s="17">
        <v>5.0452380213610898E-2</v>
      </c>
      <c r="K1122" s="17"/>
      <c r="L1122" s="17">
        <v>1.01581573497193E-2</v>
      </c>
      <c r="M1122" s="17">
        <v>3.2281995593837598E-2</v>
      </c>
      <c r="N1122" s="17">
        <v>4.0267500025397703E-2</v>
      </c>
      <c r="O1122" s="17">
        <v>7.7944956525957607E-2</v>
      </c>
    </row>
    <row r="1123" spans="2:15" x14ac:dyDescent="0.3">
      <c r="B1123" t="s">
        <v>333</v>
      </c>
      <c r="C1123" s="17">
        <v>9.7483827830505604E-2</v>
      </c>
      <c r="D1123" s="17">
        <v>0.103401243211202</v>
      </c>
      <c r="E1123" s="17">
        <v>9.2283537433764204E-2</v>
      </c>
      <c r="F1123" s="17"/>
      <c r="G1123" s="17">
        <v>0.10008289287788499</v>
      </c>
      <c r="H1123" s="17">
        <v>6.6861045735174804E-2</v>
      </c>
      <c r="I1123" s="17">
        <v>0.14335015864859699</v>
      </c>
      <c r="J1123" s="17">
        <v>8.7772630141764799E-2</v>
      </c>
      <c r="K1123" s="17"/>
      <c r="L1123" s="17">
        <v>6.8434623517700605E-2</v>
      </c>
      <c r="M1123" s="17">
        <v>0.111111980661197</v>
      </c>
      <c r="N1123" s="17">
        <v>9.3323527605938705E-2</v>
      </c>
      <c r="O1123" s="17">
        <v>0.11637943540206</v>
      </c>
    </row>
    <row r="1124" spans="2:15" x14ac:dyDescent="0.3">
      <c r="B1124" t="s">
        <v>334</v>
      </c>
      <c r="C1124" s="17">
        <v>0.28791655226135898</v>
      </c>
      <c r="D1124" s="17">
        <v>0.26024927955131699</v>
      </c>
      <c r="E1124" s="17">
        <v>0.31765046998171098</v>
      </c>
      <c r="F1124" s="17"/>
      <c r="G1124" s="17">
        <v>0.20847931793840699</v>
      </c>
      <c r="H1124" s="17">
        <v>0.33152481129653999</v>
      </c>
      <c r="I1124" s="17">
        <v>0.30147890509825798</v>
      </c>
      <c r="J1124" s="17">
        <v>0.331721491346606</v>
      </c>
      <c r="K1124" s="17"/>
      <c r="L1124" s="17">
        <v>0.26010774521089403</v>
      </c>
      <c r="M1124" s="17">
        <v>0.31910383895980399</v>
      </c>
      <c r="N1124" s="17">
        <v>0.29219161457599102</v>
      </c>
      <c r="O1124" s="17">
        <v>0.27754408187113</v>
      </c>
    </row>
    <row r="1125" spans="2:15" x14ac:dyDescent="0.3">
      <c r="B1125" t="s">
        <v>335</v>
      </c>
      <c r="C1125" s="17">
        <v>0.34495584970165599</v>
      </c>
      <c r="D1125" s="17">
        <v>0.35860198814516098</v>
      </c>
      <c r="E1125" s="17">
        <v>0.326551751431294</v>
      </c>
      <c r="F1125" s="17"/>
      <c r="G1125" s="17">
        <v>0.42444513787652499</v>
      </c>
      <c r="H1125" s="17">
        <v>0.30392065974253102</v>
      </c>
      <c r="I1125" s="17">
        <v>0.33503487158830098</v>
      </c>
      <c r="J1125" s="17">
        <v>0.29192786902624901</v>
      </c>
      <c r="K1125" s="17"/>
      <c r="L1125" s="17">
        <v>0.37080462637428502</v>
      </c>
      <c r="M1125" s="17">
        <v>0.34043157369711602</v>
      </c>
      <c r="N1125" s="17">
        <v>0.356786052465832</v>
      </c>
      <c r="O1125" s="17">
        <v>0.31115804422120602</v>
      </c>
    </row>
    <row r="1126" spans="2:15" x14ac:dyDescent="0.3">
      <c r="B1126" t="s">
        <v>349</v>
      </c>
      <c r="C1126" s="17">
        <v>0.22962208184665001</v>
      </c>
      <c r="D1126" s="17">
        <v>0.23285881480816001</v>
      </c>
      <c r="E1126" s="17">
        <v>0.22806235149829801</v>
      </c>
      <c r="F1126" s="17"/>
      <c r="G1126" s="17">
        <v>0.24781971971873801</v>
      </c>
      <c r="H1126" s="17">
        <v>0.24431304436183701</v>
      </c>
      <c r="I1126" s="17">
        <v>0.17807526234357901</v>
      </c>
      <c r="J1126" s="17">
        <v>0.238125629271769</v>
      </c>
      <c r="K1126" s="17"/>
      <c r="L1126" s="17">
        <v>0.29049484754740101</v>
      </c>
      <c r="M1126" s="17">
        <v>0.19707061108804599</v>
      </c>
      <c r="N1126" s="17">
        <v>0.21743130532684099</v>
      </c>
      <c r="O1126" s="17">
        <v>0.216973481979647</v>
      </c>
    </row>
    <row r="1127" spans="2:15" x14ac:dyDescent="0.3">
      <c r="C1127" s="17"/>
      <c r="D1127" s="17"/>
      <c r="E1127" s="17"/>
      <c r="F1127" s="17"/>
      <c r="G1127" s="17"/>
      <c r="H1127" s="17"/>
      <c r="I1127" s="17"/>
      <c r="J1127" s="17"/>
      <c r="K1127" s="17"/>
      <c r="L1127" s="17"/>
      <c r="M1127" s="17"/>
      <c r="N1127" s="17"/>
      <c r="O1127" s="17"/>
    </row>
    <row r="1128" spans="2:15" x14ac:dyDescent="0.3">
      <c r="B1128" s="6" t="s">
        <v>372</v>
      </c>
      <c r="C1128" s="17"/>
      <c r="D1128" s="17"/>
      <c r="E1128" s="17"/>
      <c r="F1128" s="17"/>
      <c r="G1128" s="17"/>
      <c r="H1128" s="17"/>
      <c r="I1128" s="17"/>
      <c r="J1128" s="17"/>
      <c r="K1128" s="17"/>
      <c r="L1128" s="17"/>
      <c r="M1128" s="17"/>
      <c r="N1128" s="17"/>
      <c r="O1128" s="17"/>
    </row>
    <row r="1129" spans="2:15" x14ac:dyDescent="0.3">
      <c r="B1129" s="23" t="s">
        <v>46</v>
      </c>
      <c r="C1129" s="17"/>
      <c r="D1129" s="17"/>
      <c r="E1129" s="17"/>
      <c r="F1129" s="17"/>
      <c r="G1129" s="17"/>
      <c r="H1129" s="17"/>
      <c r="I1129" s="17"/>
      <c r="J1129" s="17"/>
      <c r="K1129" s="17"/>
      <c r="L1129" s="17"/>
      <c r="M1129" s="17"/>
      <c r="N1129" s="17"/>
      <c r="O1129" s="17"/>
    </row>
    <row r="1130" spans="2:15" x14ac:dyDescent="0.3">
      <c r="B1130" t="s">
        <v>348</v>
      </c>
      <c r="C1130" s="17">
        <v>5.0057325777318203E-2</v>
      </c>
      <c r="D1130" s="17">
        <v>3.7086071006216602E-2</v>
      </c>
      <c r="E1130" s="17">
        <v>6.3378602184949603E-2</v>
      </c>
      <c r="F1130" s="17"/>
      <c r="G1130" s="17">
        <v>2.8495864475448E-2</v>
      </c>
      <c r="H1130" s="17">
        <v>5.1555790978036198E-2</v>
      </c>
      <c r="I1130" s="17">
        <v>4.2171045508348097E-2</v>
      </c>
      <c r="J1130" s="17">
        <v>8.4013862086645505E-2</v>
      </c>
      <c r="K1130" s="17"/>
      <c r="L1130" s="17">
        <v>1.2669113803955899E-2</v>
      </c>
      <c r="M1130" s="17">
        <v>7.5702592983183103E-2</v>
      </c>
      <c r="N1130" s="17">
        <v>4.8188311194196601E-2</v>
      </c>
      <c r="O1130" s="17">
        <v>6.1882213070025699E-2</v>
      </c>
    </row>
    <row r="1131" spans="2:15" x14ac:dyDescent="0.3">
      <c r="B1131" t="s">
        <v>333</v>
      </c>
      <c r="C1131" s="17">
        <v>9.3548239337267303E-2</v>
      </c>
      <c r="D1131" s="17">
        <v>9.4575211459468497E-2</v>
      </c>
      <c r="E1131" s="17">
        <v>9.3204147667261705E-2</v>
      </c>
      <c r="F1131" s="17"/>
      <c r="G1131" s="17">
        <v>8.4895728497491899E-2</v>
      </c>
      <c r="H1131" s="17">
        <v>9.8044174444322701E-2</v>
      </c>
      <c r="I1131" s="17">
        <v>0.109562295275992</v>
      </c>
      <c r="J1131" s="17">
        <v>8.5835013946382904E-2</v>
      </c>
      <c r="K1131" s="17"/>
      <c r="L1131" s="17">
        <v>8.0635023647085705E-2</v>
      </c>
      <c r="M1131" s="17">
        <v>8.4324480703061797E-2</v>
      </c>
      <c r="N1131" s="17">
        <v>7.8203789373740396E-2</v>
      </c>
      <c r="O1131" s="17">
        <v>0.13300713738230899</v>
      </c>
    </row>
    <row r="1132" spans="2:15" x14ac:dyDescent="0.3">
      <c r="B1132" t="s">
        <v>334</v>
      </c>
      <c r="C1132" s="17">
        <v>0.35538695204375098</v>
      </c>
      <c r="D1132" s="17">
        <v>0.30821615307577099</v>
      </c>
      <c r="E1132" s="17">
        <v>0.40509387850050399</v>
      </c>
      <c r="F1132" s="17"/>
      <c r="G1132" s="17">
        <v>0.249405253431533</v>
      </c>
      <c r="H1132" s="17">
        <v>0.37572310133182601</v>
      </c>
      <c r="I1132" s="17">
        <v>0.40593310629599899</v>
      </c>
      <c r="J1132" s="17">
        <v>0.42693775590841099</v>
      </c>
      <c r="K1132" s="17"/>
      <c r="L1132" s="17">
        <v>0.34748609063656699</v>
      </c>
      <c r="M1132" s="17">
        <v>0.32337191931231102</v>
      </c>
      <c r="N1132" s="17">
        <v>0.35644515265312998</v>
      </c>
      <c r="O1132" s="17">
        <v>0.39658184345641601</v>
      </c>
    </row>
    <row r="1133" spans="2:15" x14ac:dyDescent="0.3">
      <c r="B1133" t="s">
        <v>335</v>
      </c>
      <c r="C1133" s="17">
        <v>0.29456202298849998</v>
      </c>
      <c r="D1133" s="17">
        <v>0.303170266718016</v>
      </c>
      <c r="E1133" s="17">
        <v>0.28082285309861799</v>
      </c>
      <c r="F1133" s="17"/>
      <c r="G1133" s="17">
        <v>0.38687809943111801</v>
      </c>
      <c r="H1133" s="17">
        <v>0.28723455832892603</v>
      </c>
      <c r="I1133" s="17">
        <v>0.23546183074806801</v>
      </c>
      <c r="J1133" s="17">
        <v>0.23899489404433499</v>
      </c>
      <c r="K1133" s="17"/>
      <c r="L1133" s="17">
        <v>0.384855016240718</v>
      </c>
      <c r="M1133" s="17">
        <v>0.31888064546948403</v>
      </c>
      <c r="N1133" s="17">
        <v>0.25513628390696702</v>
      </c>
      <c r="O1133" s="17">
        <v>0.22081930470870401</v>
      </c>
    </row>
    <row r="1134" spans="2:15" x14ac:dyDescent="0.3">
      <c r="B1134" t="s">
        <v>349</v>
      </c>
      <c r="C1134" s="17">
        <v>0.20644545985316301</v>
      </c>
      <c r="D1134" s="17">
        <v>0.25695229774052802</v>
      </c>
      <c r="E1134" s="17">
        <v>0.15750051854866701</v>
      </c>
      <c r="F1134" s="17"/>
      <c r="G1134" s="17">
        <v>0.25032505416440798</v>
      </c>
      <c r="H1134" s="17">
        <v>0.187442374916889</v>
      </c>
      <c r="I1134" s="17">
        <v>0.206871722171592</v>
      </c>
      <c r="J1134" s="17">
        <v>0.16421847401422601</v>
      </c>
      <c r="K1134" s="17"/>
      <c r="L1134" s="17">
        <v>0.17435475567167399</v>
      </c>
      <c r="M1134" s="17">
        <v>0.19772036153195999</v>
      </c>
      <c r="N1134" s="17">
        <v>0.26202646287196601</v>
      </c>
      <c r="O1134" s="17">
        <v>0.187709501382545</v>
      </c>
    </row>
    <row r="1135" spans="2:15" x14ac:dyDescent="0.3">
      <c r="C1135" s="17"/>
      <c r="D1135" s="17"/>
      <c r="E1135" s="17"/>
      <c r="F1135" s="17"/>
      <c r="G1135" s="17"/>
      <c r="H1135" s="17"/>
      <c r="I1135" s="17"/>
      <c r="J1135" s="17"/>
      <c r="K1135" s="17"/>
      <c r="L1135" s="17"/>
      <c r="M1135" s="17"/>
      <c r="N1135" s="17"/>
      <c r="O1135" s="17"/>
    </row>
    <row r="1136" spans="2:15" x14ac:dyDescent="0.3">
      <c r="B1136" s="6" t="s">
        <v>387</v>
      </c>
      <c r="C1136" s="17"/>
      <c r="D1136" s="17"/>
      <c r="E1136" s="17"/>
      <c r="F1136" s="17"/>
      <c r="G1136" s="17"/>
      <c r="H1136" s="17"/>
      <c r="I1136" s="17"/>
      <c r="J1136" s="17"/>
      <c r="K1136" s="17"/>
      <c r="L1136" s="17"/>
      <c r="M1136" s="17"/>
      <c r="N1136" s="17"/>
      <c r="O1136" s="17"/>
    </row>
    <row r="1137" spans="2:15" x14ac:dyDescent="0.3">
      <c r="B1137" s="23" t="s">
        <v>593</v>
      </c>
      <c r="C1137" s="17"/>
      <c r="D1137" s="17"/>
      <c r="E1137" s="17"/>
      <c r="F1137" s="17"/>
      <c r="G1137" s="17"/>
      <c r="H1137" s="17"/>
      <c r="I1137" s="17"/>
      <c r="J1137" s="17"/>
      <c r="K1137" s="17"/>
      <c r="L1137" s="17"/>
      <c r="M1137" s="17"/>
      <c r="N1137" s="17"/>
      <c r="O1137" s="17"/>
    </row>
    <row r="1138" spans="2:15" x14ac:dyDescent="0.3">
      <c r="B1138" t="s">
        <v>380</v>
      </c>
      <c r="C1138" s="17">
        <v>0</v>
      </c>
      <c r="D1138" s="17">
        <v>0</v>
      </c>
      <c r="E1138" s="17">
        <v>0</v>
      </c>
      <c r="F1138" s="17"/>
      <c r="G1138" s="17">
        <v>0</v>
      </c>
      <c r="H1138" s="17">
        <v>0</v>
      </c>
      <c r="I1138" s="17">
        <v>0</v>
      </c>
      <c r="J1138" s="17">
        <v>0</v>
      </c>
      <c r="K1138" s="17"/>
      <c r="L1138" s="17" t="s">
        <v>256</v>
      </c>
      <c r="M1138" s="17">
        <v>0</v>
      </c>
      <c r="N1138" s="17">
        <v>0</v>
      </c>
      <c r="O1138" s="17">
        <v>0</v>
      </c>
    </row>
    <row r="1139" spans="2:15" x14ac:dyDescent="0.3">
      <c r="B1139" t="s">
        <v>381</v>
      </c>
      <c r="C1139" s="17">
        <v>0.65389172481195301</v>
      </c>
      <c r="D1139" s="17">
        <v>0.52008569887771094</v>
      </c>
      <c r="E1139" s="17">
        <v>0.77397524223704495</v>
      </c>
      <c r="F1139" s="17"/>
      <c r="G1139" s="17">
        <v>0.86604903942369105</v>
      </c>
      <c r="H1139" s="17">
        <v>0.51354622180855802</v>
      </c>
      <c r="I1139" s="17">
        <v>0.34942214525689902</v>
      </c>
      <c r="J1139" s="17">
        <v>0.64623182194726503</v>
      </c>
      <c r="K1139" s="17"/>
      <c r="L1139" s="17" t="s">
        <v>256</v>
      </c>
      <c r="M1139" s="17">
        <v>0.44449111304844502</v>
      </c>
      <c r="N1139" s="17">
        <v>0.75629451257566005</v>
      </c>
      <c r="O1139" s="17">
        <v>0.78839348964242595</v>
      </c>
    </row>
    <row r="1140" spans="2:15" x14ac:dyDescent="0.3">
      <c r="B1140" t="s">
        <v>382</v>
      </c>
      <c r="C1140" s="17">
        <v>0.21452209149345</v>
      </c>
      <c r="D1140" s="17">
        <v>0.31766746332049001</v>
      </c>
      <c r="E1140" s="17">
        <v>0.121954817571147</v>
      </c>
      <c r="F1140" s="17"/>
      <c r="G1140" s="17">
        <v>0.13395096057630901</v>
      </c>
      <c r="H1140" s="17">
        <v>0.206105739543918</v>
      </c>
      <c r="I1140" s="17">
        <v>0.65057785474310104</v>
      </c>
      <c r="J1140" s="17">
        <v>0</v>
      </c>
      <c r="K1140" s="17"/>
      <c r="L1140" s="17" t="s">
        <v>256</v>
      </c>
      <c r="M1140" s="17">
        <v>0.33913308940889503</v>
      </c>
      <c r="N1140" s="17">
        <v>0.10325564723384099</v>
      </c>
      <c r="O1140" s="17">
        <v>0.211606510357574</v>
      </c>
    </row>
    <row r="1141" spans="2:15" x14ac:dyDescent="0.3">
      <c r="B1141" t="s">
        <v>383</v>
      </c>
      <c r="C1141" s="17">
        <v>0.13158618369459599</v>
      </c>
      <c r="D1141" s="17">
        <v>0.16224683780179899</v>
      </c>
      <c r="E1141" s="17">
        <v>0.104069940191808</v>
      </c>
      <c r="F1141" s="17"/>
      <c r="G1141" s="17">
        <v>0</v>
      </c>
      <c r="H1141" s="17">
        <v>0.280348038647524</v>
      </c>
      <c r="I1141" s="17">
        <v>0</v>
      </c>
      <c r="J1141" s="17">
        <v>0.35376817805273503</v>
      </c>
      <c r="K1141" s="17"/>
      <c r="L1141" s="17" t="s">
        <v>256</v>
      </c>
      <c r="M1141" s="17">
        <v>0.21637579754265901</v>
      </c>
      <c r="N1141" s="17">
        <v>0.140449840190499</v>
      </c>
      <c r="O1141" s="17">
        <v>0</v>
      </c>
    </row>
    <row r="1142" spans="2:15" x14ac:dyDescent="0.3">
      <c r="B1142" t="s">
        <v>142</v>
      </c>
      <c r="C1142" s="17">
        <v>0</v>
      </c>
      <c r="D1142" s="17">
        <v>0</v>
      </c>
      <c r="E1142" s="17">
        <v>0</v>
      </c>
      <c r="F1142" s="17"/>
      <c r="G1142" s="17">
        <v>0</v>
      </c>
      <c r="H1142" s="17">
        <v>0</v>
      </c>
      <c r="I1142" s="17">
        <v>0</v>
      </c>
      <c r="J1142" s="17">
        <v>0</v>
      </c>
      <c r="K1142" s="17"/>
      <c r="L1142" s="17" t="s">
        <v>256</v>
      </c>
      <c r="M1142" s="17">
        <v>0</v>
      </c>
      <c r="N1142" s="17">
        <v>0</v>
      </c>
      <c r="O1142" s="17">
        <v>0</v>
      </c>
    </row>
    <row r="1143" spans="2:15" x14ac:dyDescent="0.3">
      <c r="B1143" t="s">
        <v>384</v>
      </c>
      <c r="C1143" s="17">
        <v>0.65389172481195301</v>
      </c>
      <c r="D1143" s="17">
        <v>0.52008569887771094</v>
      </c>
      <c r="E1143" s="17">
        <v>0.77397524223704495</v>
      </c>
      <c r="F1143" s="17"/>
      <c r="G1143" s="17">
        <v>0.86604903942369105</v>
      </c>
      <c r="H1143" s="17">
        <v>0.51354622180855802</v>
      </c>
      <c r="I1143" s="17">
        <v>0.34942214525689902</v>
      </c>
      <c r="J1143" s="17">
        <v>0.64623182194726503</v>
      </c>
      <c r="K1143" s="17"/>
      <c r="L1143" s="17" t="s">
        <v>256</v>
      </c>
      <c r="M1143" s="17">
        <v>0.44449111304844502</v>
      </c>
      <c r="N1143" s="17">
        <v>0.75629451257566005</v>
      </c>
      <c r="O1143" s="17">
        <v>0.78839348964242595</v>
      </c>
    </row>
    <row r="1144" spans="2:15" x14ac:dyDescent="0.3">
      <c r="C1144" s="17"/>
      <c r="D1144" s="17"/>
      <c r="E1144" s="17"/>
      <c r="F1144" s="17"/>
      <c r="G1144" s="17"/>
      <c r="H1144" s="17"/>
      <c r="I1144" s="17"/>
      <c r="J1144" s="17"/>
      <c r="K1144" s="17"/>
      <c r="L1144" s="17"/>
      <c r="M1144" s="17"/>
      <c r="N1144" s="17"/>
      <c r="O1144" s="17"/>
    </row>
    <row r="1145" spans="2:15" x14ac:dyDescent="0.3">
      <c r="B1145" s="6" t="s">
        <v>388</v>
      </c>
      <c r="C1145" s="17"/>
      <c r="D1145" s="17"/>
      <c r="E1145" s="17"/>
      <c r="F1145" s="17"/>
      <c r="G1145" s="17"/>
      <c r="H1145" s="17"/>
      <c r="I1145" s="17"/>
      <c r="J1145" s="17"/>
      <c r="K1145" s="17"/>
      <c r="L1145" s="17"/>
      <c r="M1145" s="17"/>
      <c r="N1145" s="17"/>
      <c r="O1145" s="17"/>
    </row>
    <row r="1146" spans="2:15" x14ac:dyDescent="0.3">
      <c r="B1146" s="23" t="s">
        <v>593</v>
      </c>
      <c r="C1146" s="17"/>
      <c r="D1146" s="17"/>
      <c r="E1146" s="17"/>
      <c r="F1146" s="17"/>
      <c r="G1146" s="17"/>
      <c r="H1146" s="17"/>
      <c r="I1146" s="17"/>
      <c r="J1146" s="17"/>
      <c r="K1146" s="17"/>
      <c r="L1146" s="17"/>
      <c r="M1146" s="17"/>
      <c r="N1146" s="17"/>
      <c r="O1146" s="17"/>
    </row>
    <row r="1147" spans="2:15" x14ac:dyDescent="0.3">
      <c r="B1147" t="s">
        <v>380</v>
      </c>
      <c r="C1147" s="17">
        <v>4.9479112676239501E-2</v>
      </c>
      <c r="D1147" s="17">
        <v>0</v>
      </c>
      <c r="E1147" s="17">
        <v>9.3883883296624296E-2</v>
      </c>
      <c r="F1147" s="17"/>
      <c r="G1147" s="17">
        <v>0.122909070930141</v>
      </c>
      <c r="H1147" s="17">
        <v>0</v>
      </c>
      <c r="I1147" s="17">
        <v>0</v>
      </c>
      <c r="J1147" s="17">
        <v>0</v>
      </c>
      <c r="K1147" s="17"/>
      <c r="L1147" s="17" t="s">
        <v>256</v>
      </c>
      <c r="M1147" s="17">
        <v>0</v>
      </c>
      <c r="N1147" s="17">
        <v>0.126703026648922</v>
      </c>
      <c r="O1147" s="17">
        <v>0</v>
      </c>
    </row>
    <row r="1148" spans="2:15" x14ac:dyDescent="0.3">
      <c r="B1148" t="s">
        <v>381</v>
      </c>
      <c r="C1148" s="17">
        <v>0.18454758087129</v>
      </c>
      <c r="D1148" s="17">
        <v>0.19311351823166101</v>
      </c>
      <c r="E1148" s="17">
        <v>0.17686012523471201</v>
      </c>
      <c r="F1148" s="17"/>
      <c r="G1148" s="17">
        <v>0.231538288723178</v>
      </c>
      <c r="H1148" s="17">
        <v>0</v>
      </c>
      <c r="I1148" s="17">
        <v>0</v>
      </c>
      <c r="J1148" s="17">
        <v>0.421070872183191</v>
      </c>
      <c r="K1148" s="17"/>
      <c r="L1148" s="17" t="s">
        <v>256</v>
      </c>
      <c r="M1148" s="17">
        <v>0</v>
      </c>
      <c r="N1148" s="17">
        <v>0.23868540982636399</v>
      </c>
      <c r="O1148" s="17">
        <v>0.35842350976023502</v>
      </c>
    </row>
    <row r="1149" spans="2:15" x14ac:dyDescent="0.3">
      <c r="B1149" t="s">
        <v>382</v>
      </c>
      <c r="C1149" s="17">
        <v>0.45635482933802302</v>
      </c>
      <c r="D1149" s="17">
        <v>0.55938655167968698</v>
      </c>
      <c r="E1149" s="17">
        <v>0.36388954955135</v>
      </c>
      <c r="F1149" s="17"/>
      <c r="G1149" s="17">
        <v>0.41240442918439901</v>
      </c>
      <c r="H1149" s="17">
        <v>0.28940063008828099</v>
      </c>
      <c r="I1149" s="17">
        <v>1</v>
      </c>
      <c r="J1149" s="17">
        <v>0.225160949764074</v>
      </c>
      <c r="K1149" s="17"/>
      <c r="L1149" s="17" t="s">
        <v>256</v>
      </c>
      <c r="M1149" s="17">
        <v>0.65997745486827197</v>
      </c>
      <c r="N1149" s="17">
        <v>0.27005535074162101</v>
      </c>
      <c r="O1149" s="17">
        <v>0.458460050436167</v>
      </c>
    </row>
    <row r="1150" spans="2:15" x14ac:dyDescent="0.3">
      <c r="B1150" t="s">
        <v>383</v>
      </c>
      <c r="C1150" s="17">
        <v>0.30961847711444801</v>
      </c>
      <c r="D1150" s="17">
        <v>0.24749993008865201</v>
      </c>
      <c r="E1150" s="17">
        <v>0.36536644191731299</v>
      </c>
      <c r="F1150" s="17"/>
      <c r="G1150" s="17">
        <v>0.23314821116228199</v>
      </c>
      <c r="H1150" s="17">
        <v>0.71059936991171901</v>
      </c>
      <c r="I1150" s="17">
        <v>0</v>
      </c>
      <c r="J1150" s="17">
        <v>0.35376817805273503</v>
      </c>
      <c r="K1150" s="17"/>
      <c r="L1150" s="17" t="s">
        <v>256</v>
      </c>
      <c r="M1150" s="17">
        <v>0.34002254513172803</v>
      </c>
      <c r="N1150" s="17">
        <v>0.36455621278309303</v>
      </c>
      <c r="O1150" s="17">
        <v>0.18311643980359801</v>
      </c>
    </row>
    <row r="1151" spans="2:15" x14ac:dyDescent="0.3">
      <c r="B1151" t="s">
        <v>142</v>
      </c>
      <c r="C1151" s="17">
        <v>0</v>
      </c>
      <c r="D1151" s="17">
        <v>0</v>
      </c>
      <c r="E1151" s="17">
        <v>0</v>
      </c>
      <c r="F1151" s="17"/>
      <c r="G1151" s="17">
        <v>0</v>
      </c>
      <c r="H1151" s="17">
        <v>0</v>
      </c>
      <c r="I1151" s="17">
        <v>0</v>
      </c>
      <c r="J1151" s="17">
        <v>0</v>
      </c>
      <c r="K1151" s="17"/>
      <c r="L1151" s="17" t="s">
        <v>256</v>
      </c>
      <c r="M1151" s="17">
        <v>0</v>
      </c>
      <c r="N1151" s="17">
        <v>0</v>
      </c>
      <c r="O1151" s="17">
        <v>0</v>
      </c>
    </row>
    <row r="1152" spans="2:15" x14ac:dyDescent="0.3">
      <c r="B1152" t="s">
        <v>384</v>
      </c>
      <c r="C1152" s="17">
        <v>0.23402669354753</v>
      </c>
      <c r="D1152" s="17">
        <v>0.19311351823166101</v>
      </c>
      <c r="E1152" s="17">
        <v>0.27074400853133701</v>
      </c>
      <c r="F1152" s="17"/>
      <c r="G1152" s="17">
        <v>0.35444735965331903</v>
      </c>
      <c r="H1152" s="17">
        <v>0</v>
      </c>
      <c r="I1152" s="17">
        <v>0</v>
      </c>
      <c r="J1152" s="17">
        <v>0.421070872183191</v>
      </c>
      <c r="K1152" s="17"/>
      <c r="L1152" s="17" t="s">
        <v>256</v>
      </c>
      <c r="M1152" s="17">
        <v>0</v>
      </c>
      <c r="N1152" s="17">
        <v>0.36538843647528602</v>
      </c>
      <c r="O1152" s="17">
        <v>0.35842350976023502</v>
      </c>
    </row>
    <row r="1153" spans="2:15" x14ac:dyDescent="0.3">
      <c r="C1153" s="17"/>
      <c r="D1153" s="17"/>
      <c r="E1153" s="17"/>
      <c r="F1153" s="17"/>
      <c r="G1153" s="17"/>
      <c r="H1153" s="17"/>
      <c r="I1153" s="17"/>
      <c r="J1153" s="17"/>
      <c r="K1153" s="17"/>
      <c r="L1153" s="17"/>
      <c r="M1153" s="17"/>
      <c r="N1153" s="17"/>
      <c r="O1153" s="17"/>
    </row>
    <row r="1154" spans="2:15" x14ac:dyDescent="0.3">
      <c r="B1154" s="6" t="s">
        <v>389</v>
      </c>
      <c r="C1154" s="17"/>
      <c r="D1154" s="17"/>
      <c r="E1154" s="17"/>
      <c r="F1154" s="17"/>
      <c r="G1154" s="17"/>
      <c r="H1154" s="17"/>
      <c r="I1154" s="17"/>
      <c r="J1154" s="17"/>
      <c r="K1154" s="17"/>
      <c r="L1154" s="17"/>
      <c r="M1154" s="17"/>
      <c r="N1154" s="17"/>
      <c r="O1154" s="17"/>
    </row>
    <row r="1155" spans="2:15" x14ac:dyDescent="0.3">
      <c r="B1155" s="23" t="s">
        <v>593</v>
      </c>
      <c r="C1155" s="17"/>
      <c r="D1155" s="17"/>
      <c r="E1155" s="17"/>
      <c r="F1155" s="17"/>
      <c r="G1155" s="17"/>
      <c r="H1155" s="17"/>
      <c r="I1155" s="17"/>
      <c r="J1155" s="17"/>
      <c r="K1155" s="17"/>
      <c r="L1155" s="17"/>
      <c r="M1155" s="17"/>
      <c r="N1155" s="17"/>
      <c r="O1155" s="17"/>
    </row>
    <row r="1156" spans="2:15" x14ac:dyDescent="0.3">
      <c r="B1156" t="s">
        <v>380</v>
      </c>
      <c r="C1156" s="17">
        <v>4.9479112676239501E-2</v>
      </c>
      <c r="D1156" s="17">
        <v>0</v>
      </c>
      <c r="E1156" s="17">
        <v>9.3883883296624296E-2</v>
      </c>
      <c r="F1156" s="17"/>
      <c r="G1156" s="17">
        <v>0.122909070930141</v>
      </c>
      <c r="H1156" s="17">
        <v>0</v>
      </c>
      <c r="I1156" s="17">
        <v>0</v>
      </c>
      <c r="J1156" s="17">
        <v>0</v>
      </c>
      <c r="K1156" s="17"/>
      <c r="L1156" s="17" t="s">
        <v>256</v>
      </c>
      <c r="M1156" s="17">
        <v>0</v>
      </c>
      <c r="N1156" s="17">
        <v>0.126703026648922</v>
      </c>
      <c r="O1156" s="17">
        <v>0</v>
      </c>
    </row>
    <row r="1157" spans="2:15" x14ac:dyDescent="0.3">
      <c r="B1157" t="s">
        <v>381</v>
      </c>
      <c r="C1157" s="17">
        <v>0.37182902855238797</v>
      </c>
      <c r="D1157" s="17">
        <v>0.58907794574845196</v>
      </c>
      <c r="E1157" s="17">
        <v>0.17686012523471201</v>
      </c>
      <c r="F1157" s="17"/>
      <c r="G1157" s="17">
        <v>0.36548924929948701</v>
      </c>
      <c r="H1157" s="17">
        <v>0.28940063008828099</v>
      </c>
      <c r="I1157" s="17">
        <v>0</v>
      </c>
      <c r="J1157" s="17">
        <v>0.77483905023592603</v>
      </c>
      <c r="K1157" s="17"/>
      <c r="L1157" s="17" t="s">
        <v>256</v>
      </c>
      <c r="M1157" s="17">
        <v>0.21637579754265901</v>
      </c>
      <c r="N1157" s="17">
        <v>0.383670452143827</v>
      </c>
      <c r="O1157" s="17">
        <v>0.57003002011780901</v>
      </c>
    </row>
    <row r="1158" spans="2:15" x14ac:dyDescent="0.3">
      <c r="B1158" t="s">
        <v>382</v>
      </c>
      <c r="C1158" s="17">
        <v>0.39300586648762897</v>
      </c>
      <c r="D1158" s="17">
        <v>0.32566896196469503</v>
      </c>
      <c r="E1158" s="17">
        <v>0.45343701890527299</v>
      </c>
      <c r="F1158" s="17"/>
      <c r="G1158" s="17">
        <v>0.39568547772367102</v>
      </c>
      <c r="H1158" s="17">
        <v>0</v>
      </c>
      <c r="I1158" s="17">
        <v>1</v>
      </c>
      <c r="J1158" s="17">
        <v>0.225160949764074</v>
      </c>
      <c r="K1158" s="17"/>
      <c r="L1158" s="17" t="s">
        <v>256</v>
      </c>
      <c r="M1158" s="17">
        <v>0.65997745486827197</v>
      </c>
      <c r="N1158" s="17">
        <v>0.245921033782912</v>
      </c>
      <c r="O1158" s="17">
        <v>0.246853540078593</v>
      </c>
    </row>
    <row r="1159" spans="2:15" x14ac:dyDescent="0.3">
      <c r="B1159" t="s">
        <v>383</v>
      </c>
      <c r="C1159" s="17">
        <v>0.185685992283743</v>
      </c>
      <c r="D1159" s="17">
        <v>8.5253092286853405E-2</v>
      </c>
      <c r="E1159" s="17">
        <v>0.27581897256339</v>
      </c>
      <c r="F1159" s="17"/>
      <c r="G1159" s="17">
        <v>0.115916202046701</v>
      </c>
      <c r="H1159" s="17">
        <v>0.71059936991171901</v>
      </c>
      <c r="I1159" s="17">
        <v>0</v>
      </c>
      <c r="J1159" s="17">
        <v>0</v>
      </c>
      <c r="K1159" s="17"/>
      <c r="L1159" s="17" t="s">
        <v>256</v>
      </c>
      <c r="M1159" s="17">
        <v>0.123646747589069</v>
      </c>
      <c r="N1159" s="17">
        <v>0.24370548742434001</v>
      </c>
      <c r="O1159" s="17">
        <v>0.18311643980359801</v>
      </c>
    </row>
    <row r="1160" spans="2:15" x14ac:dyDescent="0.3">
      <c r="B1160" t="s">
        <v>142</v>
      </c>
      <c r="C1160" s="17">
        <v>0</v>
      </c>
      <c r="D1160" s="17">
        <v>0</v>
      </c>
      <c r="E1160" s="17">
        <v>0</v>
      </c>
      <c r="F1160" s="17"/>
      <c r="G1160" s="17">
        <v>0</v>
      </c>
      <c r="H1160" s="17">
        <v>0</v>
      </c>
      <c r="I1160" s="17">
        <v>0</v>
      </c>
      <c r="J1160" s="17">
        <v>0</v>
      </c>
      <c r="K1160" s="17"/>
      <c r="L1160" s="17" t="s">
        <v>256</v>
      </c>
      <c r="M1160" s="17">
        <v>0</v>
      </c>
      <c r="N1160" s="17">
        <v>0</v>
      </c>
      <c r="O1160" s="17">
        <v>0</v>
      </c>
    </row>
    <row r="1161" spans="2:15" x14ac:dyDescent="0.3">
      <c r="B1161" t="s">
        <v>384</v>
      </c>
      <c r="C1161" s="17">
        <v>0.42130814122862797</v>
      </c>
      <c r="D1161" s="17">
        <v>0.58907794574845196</v>
      </c>
      <c r="E1161" s="17">
        <v>0.27074400853133701</v>
      </c>
      <c r="F1161" s="17"/>
      <c r="G1161" s="17">
        <v>0.48839832022962798</v>
      </c>
      <c r="H1161" s="17">
        <v>0.28940063008828099</v>
      </c>
      <c r="I1161" s="17">
        <v>0</v>
      </c>
      <c r="J1161" s="17">
        <v>0.77483905023592603</v>
      </c>
      <c r="K1161" s="17"/>
      <c r="L1161" s="17" t="s">
        <v>256</v>
      </c>
      <c r="M1161" s="17">
        <v>0.21637579754265901</v>
      </c>
      <c r="N1161" s="17">
        <v>0.51037347879274797</v>
      </c>
      <c r="O1161" s="17">
        <v>0.57003002011780901</v>
      </c>
    </row>
    <row r="1162" spans="2:15" x14ac:dyDescent="0.3">
      <c r="C1162" s="17"/>
      <c r="D1162" s="17"/>
      <c r="E1162" s="17"/>
      <c r="F1162" s="17"/>
      <c r="G1162" s="17"/>
      <c r="H1162" s="17"/>
      <c r="I1162" s="17"/>
      <c r="J1162" s="17"/>
      <c r="K1162" s="17"/>
      <c r="L1162" s="17"/>
      <c r="M1162" s="17"/>
      <c r="N1162" s="17"/>
      <c r="O1162" s="17"/>
    </row>
    <row r="1163" spans="2:15" x14ac:dyDescent="0.3">
      <c r="B1163" s="6" t="s">
        <v>390</v>
      </c>
      <c r="C1163" s="17"/>
      <c r="D1163" s="17"/>
      <c r="E1163" s="17"/>
      <c r="F1163" s="17"/>
      <c r="G1163" s="17"/>
      <c r="H1163" s="17"/>
      <c r="I1163" s="17"/>
      <c r="J1163" s="17"/>
      <c r="K1163" s="17"/>
      <c r="L1163" s="17"/>
      <c r="M1163" s="17"/>
      <c r="N1163" s="17"/>
      <c r="O1163" s="17"/>
    </row>
    <row r="1164" spans="2:15" x14ac:dyDescent="0.3">
      <c r="B1164" s="23" t="s">
        <v>593</v>
      </c>
      <c r="C1164" s="17"/>
      <c r="D1164" s="17"/>
      <c r="E1164" s="17"/>
      <c r="F1164" s="17"/>
      <c r="G1164" s="17"/>
      <c r="H1164" s="17"/>
      <c r="I1164" s="17"/>
      <c r="J1164" s="17"/>
      <c r="K1164" s="17"/>
      <c r="L1164" s="17"/>
      <c r="M1164" s="17"/>
      <c r="N1164" s="17"/>
      <c r="O1164" s="17"/>
    </row>
    <row r="1165" spans="2:15" x14ac:dyDescent="0.3">
      <c r="B1165" t="s">
        <v>380</v>
      </c>
      <c r="C1165" s="17">
        <v>5.6618467884532897E-2</v>
      </c>
      <c r="D1165" s="17">
        <v>0.11970699447471</v>
      </c>
      <c r="E1165" s="17">
        <v>0</v>
      </c>
      <c r="F1165" s="17"/>
      <c r="G1165" s="17">
        <v>0</v>
      </c>
      <c r="H1165" s="17">
        <v>0.28940063008828099</v>
      </c>
      <c r="I1165" s="17">
        <v>0</v>
      </c>
      <c r="J1165" s="17">
        <v>0</v>
      </c>
      <c r="K1165" s="17"/>
      <c r="L1165" s="17" t="s">
        <v>256</v>
      </c>
      <c r="M1165" s="17">
        <v>0</v>
      </c>
      <c r="N1165" s="17">
        <v>0.14498504231746201</v>
      </c>
      <c r="O1165" s="17">
        <v>0</v>
      </c>
    </row>
    <row r="1166" spans="2:15" x14ac:dyDescent="0.3">
      <c r="B1166" t="s">
        <v>381</v>
      </c>
      <c r="C1166" s="17">
        <v>0.29740736731571599</v>
      </c>
      <c r="D1166" s="17">
        <v>0.425527889265297</v>
      </c>
      <c r="E1166" s="17">
        <v>0.182426275674855</v>
      </c>
      <c r="F1166" s="17"/>
      <c r="G1166" s="17">
        <v>0.37277623355315098</v>
      </c>
      <c r="H1166" s="17">
        <v>0</v>
      </c>
      <c r="I1166" s="17">
        <v>0.30291941001017197</v>
      </c>
      <c r="J1166" s="17">
        <v>0.421070872183191</v>
      </c>
      <c r="K1166" s="17"/>
      <c r="L1166" s="17" t="s">
        <v>256</v>
      </c>
      <c r="M1166" s="17">
        <v>0.15790576732624101</v>
      </c>
      <c r="N1166" s="17">
        <v>0.126703026648922</v>
      </c>
      <c r="O1166" s="17">
        <v>0.75314645992140705</v>
      </c>
    </row>
    <row r="1167" spans="2:15" x14ac:dyDescent="0.3">
      <c r="B1167" t="s">
        <v>382</v>
      </c>
      <c r="C1167" s="17">
        <v>0.47406536262424398</v>
      </c>
      <c r="D1167" s="17">
        <v>0.20726518617134099</v>
      </c>
      <c r="E1167" s="17">
        <v>0.71350378413333704</v>
      </c>
      <c r="F1167" s="17"/>
      <c r="G1167" s="17">
        <v>0.62722376644684896</v>
      </c>
      <c r="H1167" s="17">
        <v>0.22414559172027601</v>
      </c>
      <c r="I1167" s="17">
        <v>0.69708058998982803</v>
      </c>
      <c r="J1167" s="17">
        <v>0.225160949764074</v>
      </c>
      <c r="K1167" s="17"/>
      <c r="L1167" s="17" t="s">
        <v>256</v>
      </c>
      <c r="M1167" s="17">
        <v>0.62571843513109904</v>
      </c>
      <c r="N1167" s="17">
        <v>0.48460644360927602</v>
      </c>
      <c r="O1167" s="17">
        <v>0.246853540078593</v>
      </c>
    </row>
    <row r="1168" spans="2:15" x14ac:dyDescent="0.3">
      <c r="B1168" t="s">
        <v>383</v>
      </c>
      <c r="C1168" s="17">
        <v>0.171908802175508</v>
      </c>
      <c r="D1168" s="17">
        <v>0.24749993008865201</v>
      </c>
      <c r="E1168" s="17">
        <v>0.104069940191808</v>
      </c>
      <c r="F1168" s="17"/>
      <c r="G1168" s="17">
        <v>0</v>
      </c>
      <c r="H1168" s="17">
        <v>0.48645377819144198</v>
      </c>
      <c r="I1168" s="17">
        <v>0</v>
      </c>
      <c r="J1168" s="17">
        <v>0.35376817805273503</v>
      </c>
      <c r="K1168" s="17"/>
      <c r="L1168" s="17" t="s">
        <v>256</v>
      </c>
      <c r="M1168" s="17">
        <v>0.21637579754265901</v>
      </c>
      <c r="N1168" s="17">
        <v>0.24370548742434001</v>
      </c>
      <c r="O1168" s="17">
        <v>0</v>
      </c>
    </row>
    <row r="1169" spans="2:15" x14ac:dyDescent="0.3">
      <c r="B1169" t="s">
        <v>142</v>
      </c>
      <c r="C1169" s="17">
        <v>0</v>
      </c>
      <c r="D1169" s="17">
        <v>0</v>
      </c>
      <c r="E1169" s="17">
        <v>0</v>
      </c>
      <c r="F1169" s="17"/>
      <c r="G1169" s="17">
        <v>0</v>
      </c>
      <c r="H1169" s="17">
        <v>0</v>
      </c>
      <c r="I1169" s="17">
        <v>0</v>
      </c>
      <c r="J1169" s="17">
        <v>0</v>
      </c>
      <c r="K1169" s="17"/>
      <c r="L1169" s="17" t="s">
        <v>256</v>
      </c>
      <c r="M1169" s="17">
        <v>0</v>
      </c>
      <c r="N1169" s="17">
        <v>0</v>
      </c>
      <c r="O1169" s="17">
        <v>0</v>
      </c>
    </row>
    <row r="1170" spans="2:15" x14ac:dyDescent="0.3">
      <c r="B1170" t="s">
        <v>384</v>
      </c>
      <c r="C1170" s="17">
        <v>0.354025835200248</v>
      </c>
      <c r="D1170" s="17">
        <v>0.54523488374000695</v>
      </c>
      <c r="E1170" s="17">
        <v>0.182426275674855</v>
      </c>
      <c r="F1170" s="17"/>
      <c r="G1170" s="17">
        <v>0.37277623355315098</v>
      </c>
      <c r="H1170" s="17">
        <v>0.28940063008828099</v>
      </c>
      <c r="I1170" s="17">
        <v>0.30291941001017197</v>
      </c>
      <c r="J1170" s="17">
        <v>0.421070872183191</v>
      </c>
      <c r="K1170" s="17"/>
      <c r="L1170" s="17" t="s">
        <v>256</v>
      </c>
      <c r="M1170" s="17">
        <v>0.15790576732624101</v>
      </c>
      <c r="N1170" s="17">
        <v>0.27168806896638398</v>
      </c>
      <c r="O1170" s="17">
        <v>0.75314645992140705</v>
      </c>
    </row>
    <row r="1171" spans="2:15" x14ac:dyDescent="0.3">
      <c r="C1171" s="17"/>
      <c r="D1171" s="17"/>
      <c r="E1171" s="17"/>
      <c r="F1171" s="17"/>
      <c r="G1171" s="17"/>
      <c r="H1171" s="17"/>
      <c r="I1171" s="17"/>
      <c r="J1171" s="17"/>
      <c r="K1171" s="17"/>
      <c r="L1171" s="17"/>
      <c r="M1171" s="17"/>
      <c r="N1171" s="17"/>
      <c r="O1171" s="17"/>
    </row>
    <row r="1172" spans="2:15" x14ac:dyDescent="0.3">
      <c r="B1172" s="6" t="s">
        <v>391</v>
      </c>
      <c r="C1172" s="17"/>
      <c r="D1172" s="17"/>
      <c r="E1172" s="17"/>
      <c r="F1172" s="17"/>
      <c r="G1172" s="17"/>
      <c r="H1172" s="17"/>
      <c r="I1172" s="17"/>
      <c r="J1172" s="17"/>
      <c r="K1172" s="17"/>
      <c r="L1172" s="17"/>
      <c r="M1172" s="17"/>
      <c r="N1172" s="17"/>
      <c r="O1172" s="17"/>
    </row>
    <row r="1173" spans="2:15" x14ac:dyDescent="0.3">
      <c r="B1173" s="23" t="s">
        <v>593</v>
      </c>
      <c r="C1173" s="17"/>
      <c r="D1173" s="17"/>
      <c r="E1173" s="17"/>
      <c r="F1173" s="17"/>
      <c r="G1173" s="17"/>
      <c r="H1173" s="17"/>
      <c r="I1173" s="17"/>
      <c r="J1173" s="17"/>
      <c r="K1173" s="17"/>
      <c r="L1173" s="17"/>
      <c r="M1173" s="17"/>
      <c r="N1173" s="17"/>
      <c r="O1173" s="17"/>
    </row>
    <row r="1174" spans="2:15" x14ac:dyDescent="0.3">
      <c r="B1174" t="s">
        <v>380</v>
      </c>
      <c r="C1174" s="17">
        <v>4.9479112676239501E-2</v>
      </c>
      <c r="D1174" s="17">
        <v>0</v>
      </c>
      <c r="E1174" s="17">
        <v>9.3883883296624296E-2</v>
      </c>
      <c r="F1174" s="17"/>
      <c r="G1174" s="17">
        <v>0.122909070930141</v>
      </c>
      <c r="H1174" s="17">
        <v>0</v>
      </c>
      <c r="I1174" s="17">
        <v>0</v>
      </c>
      <c r="J1174" s="17">
        <v>0</v>
      </c>
      <c r="K1174" s="17"/>
      <c r="L1174" s="17" t="s">
        <v>256</v>
      </c>
      <c r="M1174" s="17">
        <v>0</v>
      </c>
      <c r="N1174" s="17">
        <v>0.126703026648922</v>
      </c>
      <c r="O1174" s="17">
        <v>0</v>
      </c>
    </row>
    <row r="1175" spans="2:15" x14ac:dyDescent="0.3">
      <c r="B1175" t="s">
        <v>381</v>
      </c>
      <c r="C1175" s="17">
        <v>0.24116604875582301</v>
      </c>
      <c r="D1175" s="17">
        <v>0.31282051270637001</v>
      </c>
      <c r="E1175" s="17">
        <v>0.17686012523471201</v>
      </c>
      <c r="F1175" s="17"/>
      <c r="G1175" s="17">
        <v>0.231538288723178</v>
      </c>
      <c r="H1175" s="17">
        <v>0.28940063008828099</v>
      </c>
      <c r="I1175" s="17">
        <v>0</v>
      </c>
      <c r="J1175" s="17">
        <v>0.421070872183191</v>
      </c>
      <c r="K1175" s="17"/>
      <c r="L1175" s="17" t="s">
        <v>256</v>
      </c>
      <c r="M1175" s="17">
        <v>0</v>
      </c>
      <c r="N1175" s="17">
        <v>0.383670452143827</v>
      </c>
      <c r="O1175" s="17">
        <v>0.35842350976023502</v>
      </c>
    </row>
    <row r="1176" spans="2:15" x14ac:dyDescent="0.3">
      <c r="B1176" t="s">
        <v>382</v>
      </c>
      <c r="C1176" s="17">
        <v>0.446930077461551</v>
      </c>
      <c r="D1176" s="17">
        <v>0.43967955720497698</v>
      </c>
      <c r="E1176" s="17">
        <v>0.45343701890527299</v>
      </c>
      <c r="F1176" s="17"/>
      <c r="G1176" s="17">
        <v>0.52963643829997997</v>
      </c>
      <c r="H1176" s="17">
        <v>0</v>
      </c>
      <c r="I1176" s="17">
        <v>1</v>
      </c>
      <c r="J1176" s="17">
        <v>0.225160949764074</v>
      </c>
      <c r="K1176" s="17"/>
      <c r="L1176" s="17" t="s">
        <v>256</v>
      </c>
      <c r="M1176" s="17">
        <v>0.65997745486827197</v>
      </c>
      <c r="N1176" s="17">
        <v>0.245921033782912</v>
      </c>
      <c r="O1176" s="17">
        <v>0.458460050436167</v>
      </c>
    </row>
    <row r="1177" spans="2:15" x14ac:dyDescent="0.3">
      <c r="B1177" t="s">
        <v>383</v>
      </c>
      <c r="C1177" s="17">
        <v>0.26242476110638602</v>
      </c>
      <c r="D1177" s="17">
        <v>0.24749993008865201</v>
      </c>
      <c r="E1177" s="17">
        <v>0.27581897256339</v>
      </c>
      <c r="F1177" s="17"/>
      <c r="G1177" s="17">
        <v>0.115916202046701</v>
      </c>
      <c r="H1177" s="17">
        <v>0.71059936991171901</v>
      </c>
      <c r="I1177" s="17">
        <v>0</v>
      </c>
      <c r="J1177" s="17">
        <v>0.35376817805273503</v>
      </c>
      <c r="K1177" s="17"/>
      <c r="L1177" s="17" t="s">
        <v>256</v>
      </c>
      <c r="M1177" s="17">
        <v>0.34002254513172803</v>
      </c>
      <c r="N1177" s="17">
        <v>0.24370548742434001</v>
      </c>
      <c r="O1177" s="17">
        <v>0.18311643980359801</v>
      </c>
    </row>
    <row r="1178" spans="2:15" x14ac:dyDescent="0.3">
      <c r="B1178" t="s">
        <v>142</v>
      </c>
      <c r="C1178" s="17">
        <v>0</v>
      </c>
      <c r="D1178" s="17">
        <v>0</v>
      </c>
      <c r="E1178" s="17">
        <v>0</v>
      </c>
      <c r="F1178" s="17"/>
      <c r="G1178" s="17">
        <v>0</v>
      </c>
      <c r="H1178" s="17">
        <v>0</v>
      </c>
      <c r="I1178" s="17">
        <v>0</v>
      </c>
      <c r="J1178" s="17">
        <v>0</v>
      </c>
      <c r="K1178" s="17"/>
      <c r="L1178" s="17" t="s">
        <v>256</v>
      </c>
      <c r="M1178" s="17">
        <v>0</v>
      </c>
      <c r="N1178" s="17">
        <v>0</v>
      </c>
      <c r="O1178" s="17">
        <v>0</v>
      </c>
    </row>
    <row r="1179" spans="2:15" x14ac:dyDescent="0.3">
      <c r="B1179" t="s">
        <v>384</v>
      </c>
      <c r="C1179" s="17">
        <v>0.29064516143206298</v>
      </c>
      <c r="D1179" s="17">
        <v>0.31282051270637001</v>
      </c>
      <c r="E1179" s="17">
        <v>0.27074400853133701</v>
      </c>
      <c r="F1179" s="17"/>
      <c r="G1179" s="17">
        <v>0.35444735965331903</v>
      </c>
      <c r="H1179" s="17">
        <v>0.28940063008828099</v>
      </c>
      <c r="I1179" s="17">
        <v>0</v>
      </c>
      <c r="J1179" s="17">
        <v>0.421070872183191</v>
      </c>
      <c r="K1179" s="17"/>
      <c r="L1179" s="17" t="s">
        <v>256</v>
      </c>
      <c r="M1179" s="17">
        <v>0</v>
      </c>
      <c r="N1179" s="17">
        <v>0.51037347879274797</v>
      </c>
      <c r="O1179" s="17">
        <v>0.35842350976023502</v>
      </c>
    </row>
    <row r="1180" spans="2:15" x14ac:dyDescent="0.3">
      <c r="C1180" s="17"/>
      <c r="D1180" s="17"/>
      <c r="E1180" s="17"/>
      <c r="F1180" s="17"/>
      <c r="G1180" s="17"/>
      <c r="H1180" s="17"/>
      <c r="I1180" s="17"/>
      <c r="J1180" s="17"/>
      <c r="K1180" s="17"/>
      <c r="L1180" s="17"/>
      <c r="M1180" s="17"/>
      <c r="N1180" s="17"/>
      <c r="O1180" s="17"/>
    </row>
    <row r="1181" spans="2:15" x14ac:dyDescent="0.3">
      <c r="B1181" s="6" t="s">
        <v>392</v>
      </c>
      <c r="C1181" s="17"/>
      <c r="D1181" s="17"/>
      <c r="E1181" s="17"/>
      <c r="F1181" s="17"/>
      <c r="G1181" s="17"/>
      <c r="H1181" s="17"/>
      <c r="I1181" s="17"/>
      <c r="J1181" s="17"/>
      <c r="K1181" s="17"/>
      <c r="L1181" s="17"/>
      <c r="M1181" s="17"/>
      <c r="N1181" s="17"/>
      <c r="O1181" s="17"/>
    </row>
    <row r="1182" spans="2:15" x14ac:dyDescent="0.3">
      <c r="B1182" s="23" t="s">
        <v>593</v>
      </c>
      <c r="C1182" s="17"/>
      <c r="D1182" s="17"/>
      <c r="E1182" s="17"/>
      <c r="F1182" s="17"/>
      <c r="G1182" s="17"/>
      <c r="H1182" s="17"/>
      <c r="I1182" s="17"/>
      <c r="J1182" s="17"/>
      <c r="K1182" s="17"/>
      <c r="L1182" s="17"/>
      <c r="M1182" s="17"/>
      <c r="N1182" s="17"/>
      <c r="O1182" s="17"/>
    </row>
    <row r="1183" spans="2:15" x14ac:dyDescent="0.3">
      <c r="B1183" t="s">
        <v>380</v>
      </c>
      <c r="C1183" s="17">
        <v>0.26674565787476401</v>
      </c>
      <c r="D1183" s="17">
        <v>0.459361160719858</v>
      </c>
      <c r="E1183" s="17">
        <v>9.3883883296624296E-2</v>
      </c>
      <c r="F1183" s="17"/>
      <c r="G1183" s="17">
        <v>0.245099536290768</v>
      </c>
      <c r="H1183" s="17">
        <v>0</v>
      </c>
      <c r="I1183" s="17">
        <v>0</v>
      </c>
      <c r="J1183" s="17">
        <v>0.77483905023592603</v>
      </c>
      <c r="K1183" s="17"/>
      <c r="L1183" s="17" t="s">
        <v>256</v>
      </c>
      <c r="M1183" s="17">
        <v>0.355073459475447</v>
      </c>
      <c r="N1183" s="17">
        <v>0.126703026648922</v>
      </c>
      <c r="O1183" s="17">
        <v>0.35842350976023502</v>
      </c>
    </row>
    <row r="1184" spans="2:15" x14ac:dyDescent="0.3">
      <c r="B1184" t="s">
        <v>381</v>
      </c>
      <c r="C1184" s="17">
        <v>0.354926023343001</v>
      </c>
      <c r="D1184" s="17">
        <v>0.323363862554918</v>
      </c>
      <c r="E1184" s="17">
        <v>0.38325131929665202</v>
      </c>
      <c r="F1184" s="17"/>
      <c r="G1184" s="17">
        <v>0.23314821116228199</v>
      </c>
      <c r="H1184" s="17">
        <v>0.719651961352476</v>
      </c>
      <c r="I1184" s="17">
        <v>0.65057785474310104</v>
      </c>
      <c r="J1184" s="17">
        <v>0</v>
      </c>
      <c r="K1184" s="17"/>
      <c r="L1184" s="17" t="s">
        <v>256</v>
      </c>
      <c r="M1184" s="17">
        <v>0.46277983699796399</v>
      </c>
      <c r="N1184" s="17">
        <v>0.36909141491005698</v>
      </c>
      <c r="O1184" s="17">
        <v>0.18311643980359801</v>
      </c>
    </row>
    <row r="1185" spans="2:15" x14ac:dyDescent="0.3">
      <c r="B1185" t="s">
        <v>382</v>
      </c>
      <c r="C1185" s="17">
        <v>0.323480903910283</v>
      </c>
      <c r="D1185" s="17">
        <v>0.217274976725225</v>
      </c>
      <c r="E1185" s="17">
        <v>0.41879485721491599</v>
      </c>
      <c r="F1185" s="17"/>
      <c r="G1185" s="17">
        <v>0.52175225254695001</v>
      </c>
      <c r="H1185" s="17">
        <v>0</v>
      </c>
      <c r="I1185" s="17">
        <v>0.34942214525689902</v>
      </c>
      <c r="J1185" s="17">
        <v>0.225160949764074</v>
      </c>
      <c r="K1185" s="17"/>
      <c r="L1185" s="17" t="s">
        <v>256</v>
      </c>
      <c r="M1185" s="17">
        <v>0.18214670352658899</v>
      </c>
      <c r="N1185" s="17">
        <v>0.363755718250523</v>
      </c>
      <c r="O1185" s="17">
        <v>0.458460050436167</v>
      </c>
    </row>
    <row r="1186" spans="2:15" x14ac:dyDescent="0.3">
      <c r="B1186" t="s">
        <v>383</v>
      </c>
      <c r="C1186" s="17">
        <v>5.4847414871953097E-2</v>
      </c>
      <c r="D1186" s="17">
        <v>0</v>
      </c>
      <c r="E1186" s="17">
        <v>0.104069940191808</v>
      </c>
      <c r="F1186" s="17"/>
      <c r="G1186" s="17">
        <v>0</v>
      </c>
      <c r="H1186" s="17">
        <v>0.280348038647524</v>
      </c>
      <c r="I1186" s="17">
        <v>0</v>
      </c>
      <c r="J1186" s="17">
        <v>0</v>
      </c>
      <c r="K1186" s="17"/>
      <c r="L1186" s="17" t="s">
        <v>256</v>
      </c>
      <c r="M1186" s="17">
        <v>0</v>
      </c>
      <c r="N1186" s="17">
        <v>0.140449840190499</v>
      </c>
      <c r="O1186" s="17">
        <v>0</v>
      </c>
    </row>
    <row r="1187" spans="2:15" x14ac:dyDescent="0.3">
      <c r="B1187" t="s">
        <v>142</v>
      </c>
      <c r="C1187" s="17">
        <v>0</v>
      </c>
      <c r="D1187" s="17">
        <v>0</v>
      </c>
      <c r="E1187" s="17">
        <v>0</v>
      </c>
      <c r="F1187" s="17"/>
      <c r="G1187" s="17">
        <v>0</v>
      </c>
      <c r="H1187" s="17">
        <v>0</v>
      </c>
      <c r="I1187" s="17">
        <v>0</v>
      </c>
      <c r="J1187" s="17">
        <v>0</v>
      </c>
      <c r="K1187" s="17"/>
      <c r="L1187" s="17" t="s">
        <v>256</v>
      </c>
      <c r="M1187" s="17">
        <v>0</v>
      </c>
      <c r="N1187" s="17">
        <v>0</v>
      </c>
      <c r="O1187" s="17">
        <v>0</v>
      </c>
    </row>
    <row r="1188" spans="2:15" x14ac:dyDescent="0.3">
      <c r="B1188" t="s">
        <v>384</v>
      </c>
      <c r="C1188" s="17">
        <v>0.62167168121776395</v>
      </c>
      <c r="D1188" s="17">
        <v>0.782725023274775</v>
      </c>
      <c r="E1188" s="17">
        <v>0.47713520259327602</v>
      </c>
      <c r="F1188" s="17"/>
      <c r="G1188" s="17">
        <v>0.47824774745304999</v>
      </c>
      <c r="H1188" s="17">
        <v>0.719651961352476</v>
      </c>
      <c r="I1188" s="17">
        <v>0.65057785474310104</v>
      </c>
      <c r="J1188" s="17">
        <v>0.77483905023592603</v>
      </c>
      <c r="K1188" s="17"/>
      <c r="L1188" s="17" t="s">
        <v>256</v>
      </c>
      <c r="M1188" s="17">
        <v>0.81785329647341098</v>
      </c>
      <c r="N1188" s="17">
        <v>0.49579444155897801</v>
      </c>
      <c r="O1188" s="17">
        <v>0.541539949563833</v>
      </c>
    </row>
    <row r="1189" spans="2:15" x14ac:dyDescent="0.3">
      <c r="C1189" s="17"/>
      <c r="D1189" s="17"/>
      <c r="E1189" s="17"/>
      <c r="F1189" s="17"/>
      <c r="G1189" s="17"/>
      <c r="H1189" s="17"/>
      <c r="I1189" s="17"/>
      <c r="J1189" s="17"/>
      <c r="K1189" s="17"/>
      <c r="L1189" s="17"/>
      <c r="M1189" s="17"/>
      <c r="N1189" s="17"/>
      <c r="O1189" s="17"/>
    </row>
    <row r="1190" spans="2:15" x14ac:dyDescent="0.3">
      <c r="B1190" s="6" t="s">
        <v>393</v>
      </c>
      <c r="C1190" s="17"/>
      <c r="D1190" s="17"/>
      <c r="E1190" s="17"/>
      <c r="F1190" s="17"/>
      <c r="G1190" s="17"/>
      <c r="H1190" s="17"/>
      <c r="I1190" s="17"/>
      <c r="J1190" s="17"/>
      <c r="K1190" s="17"/>
      <c r="L1190" s="17"/>
      <c r="M1190" s="17"/>
      <c r="N1190" s="17"/>
      <c r="O1190" s="17"/>
    </row>
    <row r="1191" spans="2:15" x14ac:dyDescent="0.3">
      <c r="B1191" s="23" t="s">
        <v>593</v>
      </c>
      <c r="C1191" s="17"/>
      <c r="D1191" s="17"/>
      <c r="E1191" s="17"/>
      <c r="F1191" s="17"/>
      <c r="G1191" s="17"/>
      <c r="H1191" s="17"/>
      <c r="I1191" s="17"/>
      <c r="J1191" s="17"/>
      <c r="K1191" s="17"/>
      <c r="L1191" s="17"/>
      <c r="M1191" s="17"/>
      <c r="N1191" s="17"/>
      <c r="O1191" s="17"/>
    </row>
    <row r="1192" spans="2:15" x14ac:dyDescent="0.3">
      <c r="B1192" t="s">
        <v>380</v>
      </c>
      <c r="C1192" s="17">
        <v>0</v>
      </c>
      <c r="D1192" s="17">
        <v>0</v>
      </c>
      <c r="E1192" s="17">
        <v>0</v>
      </c>
      <c r="F1192" s="17"/>
      <c r="G1192" s="17">
        <v>0</v>
      </c>
      <c r="H1192" s="17">
        <v>0</v>
      </c>
      <c r="I1192" s="17">
        <v>0</v>
      </c>
      <c r="J1192" s="17">
        <v>0</v>
      </c>
      <c r="K1192" s="17"/>
      <c r="L1192" s="17" t="s">
        <v>256</v>
      </c>
      <c r="M1192" s="17">
        <v>0</v>
      </c>
      <c r="N1192" s="17">
        <v>0</v>
      </c>
      <c r="O1192" s="17">
        <v>0</v>
      </c>
    </row>
    <row r="1193" spans="2:15" x14ac:dyDescent="0.3">
      <c r="B1193" t="s">
        <v>381</v>
      </c>
      <c r="C1193" s="17">
        <v>0.39332478349865202</v>
      </c>
      <c r="D1193" s="17">
        <v>0.53448866998466704</v>
      </c>
      <c r="E1193" s="17">
        <v>0.26663799264389898</v>
      </c>
      <c r="F1193" s="17"/>
      <c r="G1193" s="17">
        <v>0.24014108004572199</v>
      </c>
      <c r="H1193" s="17">
        <v>0.51354622180855802</v>
      </c>
      <c r="I1193" s="17">
        <v>0.30291941001017197</v>
      </c>
      <c r="J1193" s="17">
        <v>0.64623182194726503</v>
      </c>
      <c r="K1193" s="17"/>
      <c r="L1193" s="17" t="s">
        <v>256</v>
      </c>
      <c r="M1193" s="17">
        <v>0.28155251491531003</v>
      </c>
      <c r="N1193" s="17">
        <v>0.51760910274929595</v>
      </c>
      <c r="O1193" s="17">
        <v>0.35842350976023502</v>
      </c>
    </row>
    <row r="1194" spans="2:15" x14ac:dyDescent="0.3">
      <c r="B1194" t="s">
        <v>382</v>
      </c>
      <c r="C1194" s="17">
        <v>0.365518718224082</v>
      </c>
      <c r="D1194" s="17">
        <v>0.30326449221353402</v>
      </c>
      <c r="E1194" s="17">
        <v>0.42138844742145798</v>
      </c>
      <c r="F1194" s="17"/>
      <c r="G1194" s="17">
        <v>0.48767971466011401</v>
      </c>
      <c r="H1194" s="17">
        <v>0.206105739543918</v>
      </c>
      <c r="I1194" s="17">
        <v>0.69708058998982803</v>
      </c>
      <c r="J1194" s="17">
        <v>0</v>
      </c>
      <c r="K1194" s="17"/>
      <c r="L1194" s="17" t="s">
        <v>256</v>
      </c>
      <c r="M1194" s="17">
        <v>0.50207168754203102</v>
      </c>
      <c r="N1194" s="17">
        <v>0.341941057060205</v>
      </c>
      <c r="O1194" s="17">
        <v>0.211606510357574</v>
      </c>
    </row>
    <row r="1195" spans="2:15" x14ac:dyDescent="0.3">
      <c r="B1195" t="s">
        <v>383</v>
      </c>
      <c r="C1195" s="17">
        <v>0.24115649827726601</v>
      </c>
      <c r="D1195" s="17">
        <v>0.16224683780179899</v>
      </c>
      <c r="E1195" s="17">
        <v>0.31197355993464299</v>
      </c>
      <c r="F1195" s="17"/>
      <c r="G1195" s="17">
        <v>0.27217920529416401</v>
      </c>
      <c r="H1195" s="17">
        <v>0.280348038647524</v>
      </c>
      <c r="I1195" s="17">
        <v>0</v>
      </c>
      <c r="J1195" s="17">
        <v>0.35376817805273503</v>
      </c>
      <c r="K1195" s="17"/>
      <c r="L1195" s="17" t="s">
        <v>256</v>
      </c>
      <c r="M1195" s="17">
        <v>0.21637579754265901</v>
      </c>
      <c r="N1195" s="17">
        <v>0.140449840190499</v>
      </c>
      <c r="O1195" s="17">
        <v>0.42996997988219099</v>
      </c>
    </row>
    <row r="1196" spans="2:15" x14ac:dyDescent="0.3">
      <c r="B1196" t="s">
        <v>142</v>
      </c>
      <c r="C1196" s="17">
        <v>0</v>
      </c>
      <c r="D1196" s="17">
        <v>0</v>
      </c>
      <c r="E1196" s="17">
        <v>0</v>
      </c>
      <c r="F1196" s="17"/>
      <c r="G1196" s="17">
        <v>0</v>
      </c>
      <c r="H1196" s="17">
        <v>0</v>
      </c>
      <c r="I1196" s="17">
        <v>0</v>
      </c>
      <c r="J1196" s="17">
        <v>0</v>
      </c>
      <c r="K1196" s="17"/>
      <c r="L1196" s="17" t="s">
        <v>256</v>
      </c>
      <c r="M1196" s="17">
        <v>0</v>
      </c>
      <c r="N1196" s="17">
        <v>0</v>
      </c>
      <c r="O1196" s="17">
        <v>0</v>
      </c>
    </row>
    <row r="1197" spans="2:15" x14ac:dyDescent="0.3">
      <c r="B1197" t="s">
        <v>384</v>
      </c>
      <c r="C1197" s="17">
        <v>0.39332478349865202</v>
      </c>
      <c r="D1197" s="17">
        <v>0.53448866998466704</v>
      </c>
      <c r="E1197" s="17">
        <v>0.26663799264389898</v>
      </c>
      <c r="F1197" s="17"/>
      <c r="G1197" s="17">
        <v>0.24014108004572199</v>
      </c>
      <c r="H1197" s="17">
        <v>0.51354622180855802</v>
      </c>
      <c r="I1197" s="17">
        <v>0.30291941001017197</v>
      </c>
      <c r="J1197" s="17">
        <v>0.64623182194726503</v>
      </c>
      <c r="K1197" s="17"/>
      <c r="L1197" s="17" t="s">
        <v>256</v>
      </c>
      <c r="M1197" s="17">
        <v>0.28155251491531003</v>
      </c>
      <c r="N1197" s="17">
        <v>0.51760910274929595</v>
      </c>
      <c r="O1197" s="17">
        <v>0.35842350976023502</v>
      </c>
    </row>
    <row r="1198" spans="2:15" x14ac:dyDescent="0.3">
      <c r="C1198" s="17"/>
      <c r="D1198" s="17"/>
      <c r="E1198" s="17"/>
      <c r="F1198" s="17"/>
      <c r="G1198" s="17"/>
      <c r="H1198" s="17"/>
      <c r="I1198" s="17"/>
      <c r="J1198" s="17"/>
      <c r="K1198" s="17"/>
      <c r="L1198" s="17"/>
      <c r="M1198" s="17"/>
      <c r="N1198" s="17"/>
      <c r="O1198" s="17"/>
    </row>
    <row r="1199" spans="2:15" x14ac:dyDescent="0.3">
      <c r="B1199" s="6" t="s">
        <v>401</v>
      </c>
      <c r="C1199" s="17"/>
      <c r="D1199" s="17"/>
      <c r="E1199" s="17"/>
      <c r="F1199" s="17"/>
      <c r="G1199" s="17"/>
      <c r="H1199" s="17"/>
      <c r="I1199" s="17"/>
      <c r="J1199" s="17"/>
      <c r="K1199" s="17"/>
      <c r="L1199" s="17"/>
      <c r="M1199" s="17"/>
      <c r="N1199" s="17"/>
      <c r="O1199" s="17"/>
    </row>
    <row r="1200" spans="2:15" x14ac:dyDescent="0.3">
      <c r="B1200" s="23" t="s">
        <v>593</v>
      </c>
      <c r="C1200" s="17"/>
      <c r="D1200" s="17"/>
      <c r="E1200" s="17"/>
      <c r="F1200" s="17"/>
      <c r="G1200" s="17"/>
      <c r="H1200" s="17"/>
      <c r="I1200" s="17"/>
      <c r="J1200" s="17"/>
      <c r="K1200" s="17"/>
      <c r="L1200" s="17"/>
      <c r="M1200" s="17"/>
      <c r="N1200" s="17"/>
      <c r="O1200" s="17"/>
    </row>
    <row r="1201" spans="2:15" x14ac:dyDescent="0.3">
      <c r="B1201" t="s">
        <v>380</v>
      </c>
      <c r="C1201" s="17">
        <v>0</v>
      </c>
      <c r="D1201" s="17">
        <v>0</v>
      </c>
      <c r="E1201" s="17">
        <v>0</v>
      </c>
      <c r="F1201" s="17"/>
      <c r="G1201" s="17">
        <v>0</v>
      </c>
      <c r="H1201" s="17">
        <v>0</v>
      </c>
      <c r="I1201" s="17">
        <v>0</v>
      </c>
      <c r="J1201" s="17">
        <v>0</v>
      </c>
      <c r="K1201" s="17"/>
      <c r="L1201" s="17" t="s">
        <v>256</v>
      </c>
      <c r="M1201" s="17">
        <v>0</v>
      </c>
      <c r="N1201" s="17">
        <v>0</v>
      </c>
      <c r="O1201" s="17">
        <v>0</v>
      </c>
    </row>
    <row r="1202" spans="2:15" x14ac:dyDescent="0.3">
      <c r="B1202" t="s">
        <v>381</v>
      </c>
      <c r="C1202" s="17">
        <v>0.19869082055642701</v>
      </c>
      <c r="D1202" s="17">
        <v>0.118403775793354</v>
      </c>
      <c r="E1202" s="17">
        <v>0.27074400853133701</v>
      </c>
      <c r="F1202" s="17"/>
      <c r="G1202" s="17">
        <v>0.35444735965331903</v>
      </c>
      <c r="H1202" s="17">
        <v>0</v>
      </c>
      <c r="I1202" s="17">
        <v>0.30291941001017197</v>
      </c>
      <c r="J1202" s="17">
        <v>0</v>
      </c>
      <c r="K1202" s="17"/>
      <c r="L1202" s="17" t="s">
        <v>256</v>
      </c>
      <c r="M1202" s="17">
        <v>0.15790576732624101</v>
      </c>
      <c r="N1202" s="17">
        <v>0.36538843647528602</v>
      </c>
      <c r="O1202" s="17">
        <v>0</v>
      </c>
    </row>
    <row r="1203" spans="2:15" x14ac:dyDescent="0.3">
      <c r="B1203" t="s">
        <v>382</v>
      </c>
      <c r="C1203" s="17">
        <v>0.42499996664855</v>
      </c>
      <c r="D1203" s="17">
        <v>0.400378704403001</v>
      </c>
      <c r="E1203" s="17">
        <v>0.44709618954470098</v>
      </c>
      <c r="F1203" s="17"/>
      <c r="G1203" s="17">
        <v>0.27845346860809</v>
      </c>
      <c r="H1203" s="17">
        <v>0.22414559172027601</v>
      </c>
      <c r="I1203" s="17">
        <v>0.69708058998982803</v>
      </c>
      <c r="J1203" s="17">
        <v>0.64623182194726503</v>
      </c>
      <c r="K1203" s="17"/>
      <c r="L1203" s="17" t="s">
        <v>256</v>
      </c>
      <c r="M1203" s="17">
        <v>0.62571843513109904</v>
      </c>
      <c r="N1203" s="17">
        <v>0.12507030842415801</v>
      </c>
      <c r="O1203" s="17">
        <v>0.60527704983882802</v>
      </c>
    </row>
    <row r="1204" spans="2:15" x14ac:dyDescent="0.3">
      <c r="B1204" t="s">
        <v>383</v>
      </c>
      <c r="C1204" s="17">
        <v>0.218572817928506</v>
      </c>
      <c r="D1204" s="17">
        <v>0.24749993008865201</v>
      </c>
      <c r="E1204" s="17">
        <v>0.19261233257003901</v>
      </c>
      <c r="F1204" s="17"/>
      <c r="G1204" s="17">
        <v>0.115916202046701</v>
      </c>
      <c r="H1204" s="17">
        <v>0.48645377819144198</v>
      </c>
      <c r="I1204" s="17">
        <v>0</v>
      </c>
      <c r="J1204" s="17">
        <v>0.35376817805273503</v>
      </c>
      <c r="K1204" s="17"/>
      <c r="L1204" s="17" t="s">
        <v>256</v>
      </c>
      <c r="M1204" s="17">
        <v>0.21637579754265901</v>
      </c>
      <c r="N1204" s="17">
        <v>0.24370548742434001</v>
      </c>
      <c r="O1204" s="17">
        <v>0.18311643980359801</v>
      </c>
    </row>
    <row r="1205" spans="2:15" x14ac:dyDescent="0.3">
      <c r="B1205" t="s">
        <v>142</v>
      </c>
      <c r="C1205" s="17">
        <v>0.157736394866517</v>
      </c>
      <c r="D1205" s="17">
        <v>0.23371758971499201</v>
      </c>
      <c r="E1205" s="17">
        <v>8.9547469353923201E-2</v>
      </c>
      <c r="F1205" s="17"/>
      <c r="G1205" s="17">
        <v>0.25118296969189002</v>
      </c>
      <c r="H1205" s="17">
        <v>0.28940063008828099</v>
      </c>
      <c r="I1205" s="17">
        <v>0</v>
      </c>
      <c r="J1205" s="17">
        <v>0</v>
      </c>
      <c r="K1205" s="17"/>
      <c r="L1205" s="17" t="s">
        <v>256</v>
      </c>
      <c r="M1205" s="17">
        <v>0</v>
      </c>
      <c r="N1205" s="17">
        <v>0.26583576767621597</v>
      </c>
      <c r="O1205" s="17">
        <v>0.211606510357574</v>
      </c>
    </row>
    <row r="1206" spans="2:15" x14ac:dyDescent="0.3">
      <c r="B1206" t="s">
        <v>384</v>
      </c>
      <c r="C1206" s="17">
        <v>0.19869082055642701</v>
      </c>
      <c r="D1206" s="17">
        <v>0.118403775793354</v>
      </c>
      <c r="E1206" s="17">
        <v>0.27074400853133701</v>
      </c>
      <c r="F1206" s="17"/>
      <c r="G1206" s="17">
        <v>0.35444735965331903</v>
      </c>
      <c r="H1206" s="17">
        <v>0</v>
      </c>
      <c r="I1206" s="17">
        <v>0.30291941001017197</v>
      </c>
      <c r="J1206" s="17">
        <v>0</v>
      </c>
      <c r="K1206" s="17"/>
      <c r="L1206" s="17" t="s">
        <v>256</v>
      </c>
      <c r="M1206" s="17">
        <v>0.15790576732624101</v>
      </c>
      <c r="N1206" s="17">
        <v>0.36538843647528602</v>
      </c>
      <c r="O1206" s="17">
        <v>0</v>
      </c>
    </row>
    <row r="1207" spans="2:15" x14ac:dyDescent="0.3">
      <c r="C1207" s="17"/>
      <c r="D1207" s="17"/>
      <c r="E1207" s="17"/>
      <c r="F1207" s="17"/>
      <c r="G1207" s="17"/>
      <c r="H1207" s="17"/>
      <c r="I1207" s="17"/>
      <c r="J1207" s="17"/>
      <c r="K1207" s="17"/>
      <c r="L1207" s="17"/>
      <c r="M1207" s="17"/>
      <c r="N1207" s="17"/>
      <c r="O1207" s="17"/>
    </row>
    <row r="1208" spans="2:15" x14ac:dyDescent="0.3">
      <c r="B1208" s="6" t="s">
        <v>402</v>
      </c>
      <c r="C1208" s="17"/>
      <c r="D1208" s="17"/>
      <c r="E1208" s="17"/>
      <c r="F1208" s="17"/>
      <c r="G1208" s="17"/>
      <c r="H1208" s="17"/>
      <c r="I1208" s="17"/>
      <c r="J1208" s="17"/>
      <c r="K1208" s="17"/>
      <c r="L1208" s="17"/>
      <c r="M1208" s="17"/>
      <c r="N1208" s="17"/>
      <c r="O1208" s="17"/>
    </row>
    <row r="1209" spans="2:15" x14ac:dyDescent="0.3">
      <c r="B1209" s="23" t="s">
        <v>593</v>
      </c>
      <c r="C1209" s="17"/>
      <c r="D1209" s="17"/>
      <c r="E1209" s="17"/>
      <c r="F1209" s="17"/>
      <c r="G1209" s="17"/>
      <c r="H1209" s="17"/>
      <c r="I1209" s="17"/>
      <c r="J1209" s="17"/>
      <c r="K1209" s="17"/>
      <c r="L1209" s="17"/>
      <c r="M1209" s="17"/>
      <c r="N1209" s="17"/>
      <c r="O1209" s="17"/>
    </row>
    <row r="1210" spans="2:15" x14ac:dyDescent="0.3">
      <c r="B1210" t="s">
        <v>380</v>
      </c>
      <c r="C1210" s="17">
        <v>4.9479112676239501E-2</v>
      </c>
      <c r="D1210" s="17">
        <v>0</v>
      </c>
      <c r="E1210" s="17">
        <v>9.3883883296624296E-2</v>
      </c>
      <c r="F1210" s="17"/>
      <c r="G1210" s="17">
        <v>0.122909070930141</v>
      </c>
      <c r="H1210" s="17">
        <v>0</v>
      </c>
      <c r="I1210" s="17">
        <v>0</v>
      </c>
      <c r="J1210" s="17">
        <v>0</v>
      </c>
      <c r="K1210" s="17"/>
      <c r="L1210" s="17" t="s">
        <v>256</v>
      </c>
      <c r="M1210" s="17">
        <v>0</v>
      </c>
      <c r="N1210" s="17">
        <v>0.126703026648922</v>
      </c>
      <c r="O1210" s="17">
        <v>0</v>
      </c>
    </row>
    <row r="1211" spans="2:15" x14ac:dyDescent="0.3">
      <c r="B1211" t="s">
        <v>381</v>
      </c>
      <c r="C1211" s="17">
        <v>5.60020774607266E-2</v>
      </c>
      <c r="D1211" s="17">
        <v>0.118403775793354</v>
      </c>
      <c r="E1211" s="17">
        <v>0</v>
      </c>
      <c r="F1211" s="17"/>
      <c r="G1211" s="17">
        <v>0</v>
      </c>
      <c r="H1211" s="17">
        <v>0</v>
      </c>
      <c r="I1211" s="17">
        <v>0.30291941001017197</v>
      </c>
      <c r="J1211" s="17">
        <v>0</v>
      </c>
      <c r="K1211" s="17"/>
      <c r="L1211" s="17" t="s">
        <v>256</v>
      </c>
      <c r="M1211" s="17">
        <v>0.15790576732624101</v>
      </c>
      <c r="N1211" s="17">
        <v>0</v>
      </c>
      <c r="O1211" s="17">
        <v>0</v>
      </c>
    </row>
    <row r="1212" spans="2:15" x14ac:dyDescent="0.3">
      <c r="B1212" t="s">
        <v>382</v>
      </c>
      <c r="C1212" s="17">
        <v>0.59807121486362802</v>
      </c>
      <c r="D1212" s="17">
        <v>0.60533879116456402</v>
      </c>
      <c r="E1212" s="17">
        <v>0.59154896656219003</v>
      </c>
      <c r="F1212" s="17"/>
      <c r="G1212" s="17">
        <v>0.62722376644684896</v>
      </c>
      <c r="H1212" s="17">
        <v>0.719651961352476</v>
      </c>
      <c r="I1212" s="17">
        <v>0.34942214525689902</v>
      </c>
      <c r="J1212" s="17">
        <v>0.64623182194726503</v>
      </c>
      <c r="K1212" s="17"/>
      <c r="L1212" s="17" t="s">
        <v>256</v>
      </c>
      <c r="M1212" s="17">
        <v>0.44449111304844502</v>
      </c>
      <c r="N1212" s="17">
        <v>0.73284713316057903</v>
      </c>
      <c r="O1212" s="17">
        <v>0.60527704983882802</v>
      </c>
    </row>
    <row r="1213" spans="2:15" x14ac:dyDescent="0.3">
      <c r="B1213" t="s">
        <v>383</v>
      </c>
      <c r="C1213" s="17">
        <v>0.17825019944759399</v>
      </c>
      <c r="D1213" s="17">
        <v>0.16224683780179899</v>
      </c>
      <c r="E1213" s="17">
        <v>0.19261233257003901</v>
      </c>
      <c r="F1213" s="17"/>
      <c r="G1213" s="17">
        <v>0.115916202046701</v>
      </c>
      <c r="H1213" s="17">
        <v>0.280348038647524</v>
      </c>
      <c r="I1213" s="17">
        <v>0</v>
      </c>
      <c r="J1213" s="17">
        <v>0.35376817805273503</v>
      </c>
      <c r="K1213" s="17"/>
      <c r="L1213" s="17" t="s">
        <v>256</v>
      </c>
      <c r="M1213" s="17">
        <v>0.21637579754265901</v>
      </c>
      <c r="N1213" s="17">
        <v>0.140449840190499</v>
      </c>
      <c r="O1213" s="17">
        <v>0.18311643980359801</v>
      </c>
    </row>
    <row r="1214" spans="2:15" x14ac:dyDescent="0.3">
      <c r="B1214" t="s">
        <v>142</v>
      </c>
      <c r="C1214" s="17">
        <v>0.118197395551812</v>
      </c>
      <c r="D1214" s="17">
        <v>0.11401059524028199</v>
      </c>
      <c r="E1214" s="17">
        <v>0.121954817571147</v>
      </c>
      <c r="F1214" s="17"/>
      <c r="G1214" s="17">
        <v>0.13395096057630901</v>
      </c>
      <c r="H1214" s="17">
        <v>0</v>
      </c>
      <c r="I1214" s="17">
        <v>0.34765844473293001</v>
      </c>
      <c r="J1214" s="17">
        <v>0</v>
      </c>
      <c r="K1214" s="17"/>
      <c r="L1214" s="17" t="s">
        <v>256</v>
      </c>
      <c r="M1214" s="17">
        <v>0.18122732208265399</v>
      </c>
      <c r="N1214" s="17">
        <v>0</v>
      </c>
      <c r="O1214" s="17">
        <v>0.211606510357574</v>
      </c>
    </row>
    <row r="1215" spans="2:15" x14ac:dyDescent="0.3">
      <c r="B1215" t="s">
        <v>384</v>
      </c>
      <c r="C1215" s="17">
        <v>0.105481190136966</v>
      </c>
      <c r="D1215" s="17">
        <v>0.118403775793354</v>
      </c>
      <c r="E1215" s="17">
        <v>9.3883883296624296E-2</v>
      </c>
      <c r="F1215" s="17"/>
      <c r="G1215" s="17">
        <v>0.122909070930141</v>
      </c>
      <c r="H1215" s="17">
        <v>0</v>
      </c>
      <c r="I1215" s="17">
        <v>0.30291941001017197</v>
      </c>
      <c r="J1215" s="17">
        <v>0</v>
      </c>
      <c r="K1215" s="17"/>
      <c r="L1215" s="17" t="s">
        <v>256</v>
      </c>
      <c r="M1215" s="17">
        <v>0.15790576732624101</v>
      </c>
      <c r="N1215" s="17">
        <v>0.126703026648922</v>
      </c>
      <c r="O1215" s="17">
        <v>0</v>
      </c>
    </row>
    <row r="1216" spans="2:15" x14ac:dyDescent="0.3">
      <c r="C1216" s="17"/>
      <c r="D1216" s="17"/>
      <c r="E1216" s="17"/>
      <c r="F1216" s="17"/>
      <c r="G1216" s="17"/>
      <c r="H1216" s="17"/>
      <c r="I1216" s="17"/>
      <c r="J1216" s="17"/>
      <c r="K1216" s="17"/>
      <c r="L1216" s="17"/>
      <c r="M1216" s="17"/>
      <c r="N1216" s="17"/>
      <c r="O1216" s="17"/>
    </row>
    <row r="1217" spans="2:15" x14ac:dyDescent="0.3">
      <c r="B1217" s="6" t="s">
        <v>403</v>
      </c>
      <c r="C1217" s="17"/>
      <c r="D1217" s="17"/>
      <c r="E1217" s="17"/>
      <c r="F1217" s="17"/>
      <c r="G1217" s="17"/>
      <c r="H1217" s="17"/>
      <c r="I1217" s="17"/>
      <c r="J1217" s="17"/>
      <c r="K1217" s="17"/>
      <c r="L1217" s="17"/>
      <c r="M1217" s="17"/>
      <c r="N1217" s="17"/>
      <c r="O1217" s="17"/>
    </row>
    <row r="1218" spans="2:15" x14ac:dyDescent="0.3">
      <c r="B1218" s="23" t="s">
        <v>593</v>
      </c>
      <c r="C1218" s="17"/>
      <c r="D1218" s="17"/>
      <c r="E1218" s="17"/>
      <c r="F1218" s="17"/>
      <c r="G1218" s="17"/>
      <c r="H1218" s="17"/>
      <c r="I1218" s="17"/>
      <c r="J1218" s="17"/>
      <c r="K1218" s="17"/>
      <c r="L1218" s="17"/>
      <c r="M1218" s="17"/>
      <c r="N1218" s="17"/>
      <c r="O1218" s="17"/>
    </row>
    <row r="1219" spans="2:15" x14ac:dyDescent="0.3">
      <c r="B1219" t="s">
        <v>380</v>
      </c>
      <c r="C1219" s="17">
        <v>0.15611592924913301</v>
      </c>
      <c r="D1219" s="17">
        <v>0</v>
      </c>
      <c r="E1219" s="17">
        <v>0.29622135259931598</v>
      </c>
      <c r="F1219" s="17"/>
      <c r="G1219" s="17">
        <v>0.387801291970641</v>
      </c>
      <c r="H1219" s="17">
        <v>0</v>
      </c>
      <c r="I1219" s="17">
        <v>0</v>
      </c>
      <c r="J1219" s="17">
        <v>0</v>
      </c>
      <c r="K1219" s="17"/>
      <c r="L1219" s="17" t="s">
        <v>256</v>
      </c>
      <c r="M1219" s="17">
        <v>0</v>
      </c>
      <c r="N1219" s="17">
        <v>0.23868540982636399</v>
      </c>
      <c r="O1219" s="17">
        <v>0.246853540078593</v>
      </c>
    </row>
    <row r="1220" spans="2:15" x14ac:dyDescent="0.3">
      <c r="B1220" t="s">
        <v>381</v>
      </c>
      <c r="C1220" s="17">
        <v>0.10845119102572499</v>
      </c>
      <c r="D1220" s="17">
        <v>0</v>
      </c>
      <c r="E1220" s="17">
        <v>0.20578014460895</v>
      </c>
      <c r="F1220" s="17"/>
      <c r="G1220" s="17">
        <v>0</v>
      </c>
      <c r="H1220" s="17">
        <v>0.22414559172027601</v>
      </c>
      <c r="I1220" s="17">
        <v>0.34942214525689902</v>
      </c>
      <c r="J1220" s="17">
        <v>0</v>
      </c>
      <c r="K1220" s="17"/>
      <c r="L1220" s="17" t="s">
        <v>256</v>
      </c>
      <c r="M1220" s="17">
        <v>0.30579345111565798</v>
      </c>
      <c r="N1220" s="17">
        <v>0</v>
      </c>
      <c r="O1220" s="17">
        <v>0</v>
      </c>
    </row>
    <row r="1221" spans="2:15" x14ac:dyDescent="0.3">
      <c r="B1221" t="s">
        <v>382</v>
      </c>
      <c r="C1221" s="17">
        <v>0.35712755701412902</v>
      </c>
      <c r="D1221" s="17">
        <v>0.41478167550995798</v>
      </c>
      <c r="E1221" s="17">
        <v>0.30538617022169401</v>
      </c>
      <c r="F1221" s="17"/>
      <c r="G1221" s="17">
        <v>0.24014108004572199</v>
      </c>
      <c r="H1221" s="17">
        <v>0</v>
      </c>
      <c r="I1221" s="17">
        <v>0.65057785474310104</v>
      </c>
      <c r="J1221" s="17">
        <v>0.64623182194726503</v>
      </c>
      <c r="K1221" s="17"/>
      <c r="L1221" s="17" t="s">
        <v>256</v>
      </c>
      <c r="M1221" s="17">
        <v>0.33913308940889503</v>
      </c>
      <c r="N1221" s="17">
        <v>0.37262406043183299</v>
      </c>
      <c r="O1221" s="17">
        <v>0.35842350976023502</v>
      </c>
    </row>
    <row r="1222" spans="2:15" x14ac:dyDescent="0.3">
      <c r="B1222" t="s">
        <v>383</v>
      </c>
      <c r="C1222" s="17">
        <v>0.32438111173709</v>
      </c>
      <c r="D1222" s="17">
        <v>0.47120772924976001</v>
      </c>
      <c r="E1222" s="17">
        <v>0.19261233257003901</v>
      </c>
      <c r="F1222" s="17"/>
      <c r="G1222" s="17">
        <v>0.238106667407327</v>
      </c>
      <c r="H1222" s="17">
        <v>0.77585440827972396</v>
      </c>
      <c r="I1222" s="17">
        <v>0</v>
      </c>
      <c r="J1222" s="17">
        <v>0.35376817805273503</v>
      </c>
      <c r="K1222" s="17"/>
      <c r="L1222" s="17" t="s">
        <v>256</v>
      </c>
      <c r="M1222" s="17">
        <v>0.355073459475447</v>
      </c>
      <c r="N1222" s="17">
        <v>0.38869052974180202</v>
      </c>
      <c r="O1222" s="17">
        <v>0.18311643980359801</v>
      </c>
    </row>
    <row r="1223" spans="2:15" x14ac:dyDescent="0.3">
      <c r="B1223" t="s">
        <v>142</v>
      </c>
      <c r="C1223" s="17">
        <v>5.3924210973922297E-2</v>
      </c>
      <c r="D1223" s="17">
        <v>0.11401059524028199</v>
      </c>
      <c r="E1223" s="17">
        <v>0</v>
      </c>
      <c r="F1223" s="17"/>
      <c r="G1223" s="17">
        <v>0.13395096057630901</v>
      </c>
      <c r="H1223" s="17">
        <v>0</v>
      </c>
      <c r="I1223" s="17">
        <v>0</v>
      </c>
      <c r="J1223" s="17">
        <v>0</v>
      </c>
      <c r="K1223" s="17"/>
      <c r="L1223" s="17" t="s">
        <v>256</v>
      </c>
      <c r="M1223" s="17">
        <v>0</v>
      </c>
      <c r="N1223" s="17">
        <v>0</v>
      </c>
      <c r="O1223" s="17">
        <v>0.211606510357574</v>
      </c>
    </row>
    <row r="1224" spans="2:15" x14ac:dyDescent="0.3">
      <c r="B1224" t="s">
        <v>384</v>
      </c>
      <c r="C1224" s="17">
        <v>0.26456712027485801</v>
      </c>
      <c r="D1224" s="17">
        <v>0</v>
      </c>
      <c r="E1224" s="17">
        <v>0.50200149720826703</v>
      </c>
      <c r="F1224" s="17"/>
      <c r="G1224" s="17">
        <v>0.387801291970641</v>
      </c>
      <c r="H1224" s="17">
        <v>0.22414559172027601</v>
      </c>
      <c r="I1224" s="17">
        <v>0.34942214525689902</v>
      </c>
      <c r="J1224" s="17">
        <v>0</v>
      </c>
      <c r="K1224" s="17"/>
      <c r="L1224" s="17" t="s">
        <v>256</v>
      </c>
      <c r="M1224" s="17">
        <v>0.30579345111565798</v>
      </c>
      <c r="N1224" s="17">
        <v>0.23868540982636399</v>
      </c>
      <c r="O1224" s="17">
        <v>0.246853540078593</v>
      </c>
    </row>
    <row r="1225" spans="2:15" x14ac:dyDescent="0.3">
      <c r="C1225" s="17"/>
      <c r="D1225" s="17"/>
      <c r="E1225" s="17"/>
      <c r="F1225" s="17"/>
      <c r="G1225" s="17"/>
      <c r="H1225" s="17"/>
      <c r="I1225" s="17"/>
      <c r="J1225" s="17"/>
      <c r="K1225" s="17"/>
      <c r="L1225" s="17"/>
      <c r="M1225" s="17"/>
      <c r="N1225" s="17"/>
      <c r="O1225" s="17"/>
    </row>
    <row r="1226" spans="2:15" x14ac:dyDescent="0.3">
      <c r="B1226" s="6" t="s">
        <v>404</v>
      </c>
      <c r="C1226" s="17"/>
      <c r="D1226" s="17"/>
      <c r="E1226" s="17"/>
      <c r="F1226" s="17"/>
      <c r="G1226" s="17"/>
      <c r="H1226" s="17"/>
      <c r="I1226" s="17"/>
      <c r="J1226" s="17"/>
      <c r="K1226" s="17"/>
      <c r="L1226" s="17"/>
      <c r="M1226" s="17"/>
      <c r="N1226" s="17"/>
      <c r="O1226" s="17"/>
    </row>
    <row r="1227" spans="2:15" x14ac:dyDescent="0.3">
      <c r="B1227" s="23" t="s">
        <v>593</v>
      </c>
      <c r="C1227" s="17"/>
      <c r="D1227" s="17"/>
      <c r="E1227" s="17"/>
      <c r="F1227" s="17"/>
      <c r="G1227" s="17"/>
      <c r="H1227" s="17"/>
      <c r="I1227" s="17"/>
      <c r="J1227" s="17"/>
      <c r="K1227" s="17"/>
      <c r="L1227" s="17"/>
      <c r="M1227" s="17"/>
      <c r="N1227" s="17"/>
      <c r="O1227" s="17"/>
    </row>
    <row r="1228" spans="2:15" x14ac:dyDescent="0.3">
      <c r="B1228" t="s">
        <v>380</v>
      </c>
      <c r="C1228" s="17">
        <v>0.10328248363753099</v>
      </c>
      <c r="D1228" s="17">
        <v>0.11970699447471</v>
      </c>
      <c r="E1228" s="17">
        <v>8.8542392378230805E-2</v>
      </c>
      <c r="F1228" s="17"/>
      <c r="G1228" s="17">
        <v>0.115916202046701</v>
      </c>
      <c r="H1228" s="17">
        <v>0.28940063008828099</v>
      </c>
      <c r="I1228" s="17">
        <v>0</v>
      </c>
      <c r="J1228" s="17">
        <v>0</v>
      </c>
      <c r="K1228" s="17"/>
      <c r="L1228" s="17" t="s">
        <v>256</v>
      </c>
      <c r="M1228" s="17">
        <v>0</v>
      </c>
      <c r="N1228" s="17">
        <v>0.14498504231746201</v>
      </c>
      <c r="O1228" s="17">
        <v>0.18311643980359801</v>
      </c>
    </row>
    <row r="1229" spans="2:15" x14ac:dyDescent="0.3">
      <c r="B1229" t="s">
        <v>381</v>
      </c>
      <c r="C1229" s="17">
        <v>0.506698452006067</v>
      </c>
      <c r="D1229" s="17">
        <v>0.500034767796811</v>
      </c>
      <c r="E1229" s="17">
        <v>0.51267874051154005</v>
      </c>
      <c r="F1229" s="17"/>
      <c r="G1229" s="17">
        <v>0.51071036290078198</v>
      </c>
      <c r="H1229" s="17">
        <v>0.206105739543918</v>
      </c>
      <c r="I1229" s="17">
        <v>0.65234155526707005</v>
      </c>
      <c r="J1229" s="17">
        <v>0.64623182194726503</v>
      </c>
      <c r="K1229" s="17"/>
      <c r="L1229" s="17" t="s">
        <v>256</v>
      </c>
      <c r="M1229" s="17">
        <v>0.34005247085283002</v>
      </c>
      <c r="N1229" s="17">
        <v>0.59371439213328503</v>
      </c>
      <c r="O1229" s="17">
        <v>0.60527704983882802</v>
      </c>
    </row>
    <row r="1230" spans="2:15" x14ac:dyDescent="0.3">
      <c r="B1230" t="s">
        <v>382</v>
      </c>
      <c r="C1230" s="17">
        <v>0.204508669687883</v>
      </c>
      <c r="D1230" s="17">
        <v>0.104000804686398</v>
      </c>
      <c r="E1230" s="17">
        <v>0.29470892691842099</v>
      </c>
      <c r="F1230" s="17"/>
      <c r="G1230" s="17">
        <v>0.23942247447620801</v>
      </c>
      <c r="H1230" s="17">
        <v>0.22414559172027601</v>
      </c>
      <c r="I1230" s="17">
        <v>0.34765844473293001</v>
      </c>
      <c r="J1230" s="17">
        <v>0</v>
      </c>
      <c r="K1230" s="17"/>
      <c r="L1230" s="17" t="s">
        <v>256</v>
      </c>
      <c r="M1230" s="17">
        <v>0.44357173160451002</v>
      </c>
      <c r="N1230" s="17">
        <v>0.120850725358754</v>
      </c>
      <c r="O1230" s="17">
        <v>0</v>
      </c>
    </row>
    <row r="1231" spans="2:15" x14ac:dyDescent="0.3">
      <c r="B1231" t="s">
        <v>383</v>
      </c>
      <c r="C1231" s="17">
        <v>0.13158618369459599</v>
      </c>
      <c r="D1231" s="17">
        <v>0.16224683780179899</v>
      </c>
      <c r="E1231" s="17">
        <v>0.104069940191808</v>
      </c>
      <c r="F1231" s="17"/>
      <c r="G1231" s="17">
        <v>0</v>
      </c>
      <c r="H1231" s="17">
        <v>0.280348038647524</v>
      </c>
      <c r="I1231" s="17">
        <v>0</v>
      </c>
      <c r="J1231" s="17">
        <v>0.35376817805273503</v>
      </c>
      <c r="K1231" s="17"/>
      <c r="L1231" s="17" t="s">
        <v>256</v>
      </c>
      <c r="M1231" s="17">
        <v>0.21637579754265901</v>
      </c>
      <c r="N1231" s="17">
        <v>0.140449840190499</v>
      </c>
      <c r="O1231" s="17">
        <v>0</v>
      </c>
    </row>
    <row r="1232" spans="2:15" x14ac:dyDescent="0.3">
      <c r="B1232" t="s">
        <v>142</v>
      </c>
      <c r="C1232" s="17">
        <v>5.3924210973922297E-2</v>
      </c>
      <c r="D1232" s="17">
        <v>0.11401059524028199</v>
      </c>
      <c r="E1232" s="17">
        <v>0</v>
      </c>
      <c r="F1232" s="17"/>
      <c r="G1232" s="17">
        <v>0.13395096057630901</v>
      </c>
      <c r="H1232" s="17">
        <v>0</v>
      </c>
      <c r="I1232" s="17">
        <v>0</v>
      </c>
      <c r="J1232" s="17">
        <v>0</v>
      </c>
      <c r="K1232" s="17"/>
      <c r="L1232" s="17" t="s">
        <v>256</v>
      </c>
      <c r="M1232" s="17">
        <v>0</v>
      </c>
      <c r="N1232" s="17">
        <v>0</v>
      </c>
      <c r="O1232" s="17">
        <v>0.211606510357574</v>
      </c>
    </row>
    <row r="1233" spans="2:15" x14ac:dyDescent="0.3">
      <c r="B1233" t="s">
        <v>384</v>
      </c>
      <c r="C1233" s="17">
        <v>0.60998093564359801</v>
      </c>
      <c r="D1233" s="17">
        <v>0.619741762271521</v>
      </c>
      <c r="E1233" s="17">
        <v>0.60122113288977097</v>
      </c>
      <c r="F1233" s="17"/>
      <c r="G1233" s="17">
        <v>0.62662656494748303</v>
      </c>
      <c r="H1233" s="17">
        <v>0.49550636963220002</v>
      </c>
      <c r="I1233" s="17">
        <v>0.65234155526707005</v>
      </c>
      <c r="J1233" s="17">
        <v>0.64623182194726503</v>
      </c>
      <c r="K1233" s="17"/>
      <c r="L1233" s="17" t="s">
        <v>256</v>
      </c>
      <c r="M1233" s="17">
        <v>0.34005247085283002</v>
      </c>
      <c r="N1233" s="17">
        <v>0.73869943445074704</v>
      </c>
      <c r="O1233" s="17">
        <v>0.78839348964242595</v>
      </c>
    </row>
    <row r="1234" spans="2:15" x14ac:dyDescent="0.3">
      <c r="C1234" s="17"/>
      <c r="D1234" s="17"/>
      <c r="E1234" s="17"/>
      <c r="F1234" s="17"/>
      <c r="G1234" s="17"/>
      <c r="H1234" s="17"/>
      <c r="I1234" s="17"/>
      <c r="J1234" s="17"/>
      <c r="K1234" s="17"/>
      <c r="L1234" s="17"/>
      <c r="M1234" s="17"/>
      <c r="N1234" s="17"/>
      <c r="O1234" s="17"/>
    </row>
    <row r="1235" spans="2:15" x14ac:dyDescent="0.3">
      <c r="B1235" s="6" t="s">
        <v>405</v>
      </c>
      <c r="C1235" s="17"/>
      <c r="D1235" s="17"/>
      <c r="E1235" s="17"/>
      <c r="F1235" s="17"/>
      <c r="G1235" s="17"/>
      <c r="H1235" s="17"/>
      <c r="I1235" s="17"/>
      <c r="J1235" s="17"/>
      <c r="K1235" s="17"/>
      <c r="L1235" s="17"/>
      <c r="M1235" s="17"/>
      <c r="N1235" s="17"/>
      <c r="O1235" s="17"/>
    </row>
    <row r="1236" spans="2:15" x14ac:dyDescent="0.3">
      <c r="B1236" s="23" t="s">
        <v>593</v>
      </c>
      <c r="C1236" s="17"/>
      <c r="D1236" s="17"/>
      <c r="E1236" s="17"/>
      <c r="F1236" s="17"/>
      <c r="G1236" s="17"/>
      <c r="H1236" s="17"/>
      <c r="I1236" s="17"/>
      <c r="J1236" s="17"/>
      <c r="K1236" s="17"/>
      <c r="L1236" s="17"/>
      <c r="M1236" s="17"/>
      <c r="N1236" s="17"/>
      <c r="O1236" s="17"/>
    </row>
    <row r="1237" spans="2:15" x14ac:dyDescent="0.3">
      <c r="B1237" t="s">
        <v>380</v>
      </c>
      <c r="C1237" s="17">
        <v>4.6664015752997903E-2</v>
      </c>
      <c r="D1237" s="17">
        <v>0</v>
      </c>
      <c r="E1237" s="17">
        <v>8.8542392378230805E-2</v>
      </c>
      <c r="F1237" s="17"/>
      <c r="G1237" s="17">
        <v>0.115916202046701</v>
      </c>
      <c r="H1237" s="17">
        <v>0</v>
      </c>
      <c r="I1237" s="17">
        <v>0</v>
      </c>
      <c r="J1237" s="17">
        <v>0</v>
      </c>
      <c r="K1237" s="17"/>
      <c r="L1237" s="17" t="s">
        <v>256</v>
      </c>
      <c r="M1237" s="17">
        <v>0</v>
      </c>
      <c r="N1237" s="17">
        <v>0</v>
      </c>
      <c r="O1237" s="17">
        <v>0.18311643980359801</v>
      </c>
    </row>
    <row r="1238" spans="2:15" x14ac:dyDescent="0.3">
      <c r="B1238" t="s">
        <v>381</v>
      </c>
      <c r="C1238" s="17">
        <v>0.56166912005927905</v>
      </c>
      <c r="D1238" s="17">
        <v>0.51647738078657801</v>
      </c>
      <c r="E1238" s="17">
        <v>0.60222620986546305</v>
      </c>
      <c r="F1238" s="17"/>
      <c r="G1238" s="17">
        <v>0.62794237201636305</v>
      </c>
      <c r="H1238" s="17">
        <v>0.49550636963220002</v>
      </c>
      <c r="I1238" s="17">
        <v>0.65234155526707005</v>
      </c>
      <c r="J1238" s="17">
        <v>0.421070872183191</v>
      </c>
      <c r="K1238" s="17"/>
      <c r="L1238" s="17" t="s">
        <v>256</v>
      </c>
      <c r="M1238" s="17">
        <v>0.34005247085283002</v>
      </c>
      <c r="N1238" s="17">
        <v>0.734479851385343</v>
      </c>
      <c r="O1238" s="17">
        <v>0.60527704983882802</v>
      </c>
    </row>
    <row r="1239" spans="2:15" x14ac:dyDescent="0.3">
      <c r="B1239" t="s">
        <v>382</v>
      </c>
      <c r="C1239" s="17">
        <v>0.11311470041727199</v>
      </c>
      <c r="D1239" s="17">
        <v>0.103264381484943</v>
      </c>
      <c r="E1239" s="17">
        <v>0.121954817571147</v>
      </c>
      <c r="F1239" s="17"/>
      <c r="G1239" s="17">
        <v>0</v>
      </c>
      <c r="H1239" s="17">
        <v>0</v>
      </c>
      <c r="I1239" s="17">
        <v>0.34765844473293001</v>
      </c>
      <c r="J1239" s="17">
        <v>0.225160949764074</v>
      </c>
      <c r="K1239" s="17"/>
      <c r="L1239" s="17" t="s">
        <v>256</v>
      </c>
      <c r="M1239" s="17">
        <v>0.18122732208265399</v>
      </c>
      <c r="N1239" s="17">
        <v>0.12507030842415801</v>
      </c>
      <c r="O1239" s="17">
        <v>0</v>
      </c>
    </row>
    <row r="1240" spans="2:15" x14ac:dyDescent="0.3">
      <c r="B1240" t="s">
        <v>383</v>
      </c>
      <c r="C1240" s="17">
        <v>0.18077600961864801</v>
      </c>
      <c r="D1240" s="17">
        <v>0.26624764248819699</v>
      </c>
      <c r="E1240" s="17">
        <v>0.104069940191808</v>
      </c>
      <c r="F1240" s="17"/>
      <c r="G1240" s="17">
        <v>0.122190465360627</v>
      </c>
      <c r="H1240" s="17">
        <v>0.280348038647524</v>
      </c>
      <c r="I1240" s="17">
        <v>0</v>
      </c>
      <c r="J1240" s="17">
        <v>0.35376817805273503</v>
      </c>
      <c r="K1240" s="17"/>
      <c r="L1240" s="17" t="s">
        <v>256</v>
      </c>
      <c r="M1240" s="17">
        <v>0.355073459475447</v>
      </c>
      <c r="N1240" s="17">
        <v>0.140449840190499</v>
      </c>
      <c r="O1240" s="17">
        <v>0</v>
      </c>
    </row>
    <row r="1241" spans="2:15" x14ac:dyDescent="0.3">
      <c r="B1241" t="s">
        <v>142</v>
      </c>
      <c r="C1241" s="17">
        <v>9.7776154151802699E-2</v>
      </c>
      <c r="D1241" s="17">
        <v>0.11401059524028199</v>
      </c>
      <c r="E1241" s="17">
        <v>8.3206639993351206E-2</v>
      </c>
      <c r="F1241" s="17"/>
      <c r="G1241" s="17">
        <v>0.13395096057630901</v>
      </c>
      <c r="H1241" s="17">
        <v>0.22414559172027601</v>
      </c>
      <c r="I1241" s="17">
        <v>0</v>
      </c>
      <c r="J1241" s="17">
        <v>0</v>
      </c>
      <c r="K1241" s="17"/>
      <c r="L1241" s="17" t="s">
        <v>256</v>
      </c>
      <c r="M1241" s="17">
        <v>0.123646747589069</v>
      </c>
      <c r="N1241" s="17">
        <v>0</v>
      </c>
      <c r="O1241" s="17">
        <v>0.211606510357574</v>
      </c>
    </row>
    <row r="1242" spans="2:15" x14ac:dyDescent="0.3">
      <c r="B1242" t="s">
        <v>384</v>
      </c>
      <c r="C1242" s="17">
        <v>0.60833313581227699</v>
      </c>
      <c r="D1242" s="17">
        <v>0.51647738078657801</v>
      </c>
      <c r="E1242" s="17">
        <v>0.69076860224369396</v>
      </c>
      <c r="F1242" s="17"/>
      <c r="G1242" s="17">
        <v>0.74385857406306399</v>
      </c>
      <c r="H1242" s="17">
        <v>0.49550636963220002</v>
      </c>
      <c r="I1242" s="17">
        <v>0.65234155526707005</v>
      </c>
      <c r="J1242" s="17">
        <v>0.421070872183191</v>
      </c>
      <c r="K1242" s="17"/>
      <c r="L1242" s="17" t="s">
        <v>256</v>
      </c>
      <c r="M1242" s="17">
        <v>0.34005247085283002</v>
      </c>
      <c r="N1242" s="17">
        <v>0.734479851385343</v>
      </c>
      <c r="O1242" s="17">
        <v>0.78839348964242595</v>
      </c>
    </row>
    <row r="1243" spans="2:15" x14ac:dyDescent="0.3">
      <c r="C1243" s="17"/>
      <c r="D1243" s="17"/>
      <c r="E1243" s="17"/>
      <c r="F1243" s="17"/>
      <c r="G1243" s="17"/>
      <c r="H1243" s="17"/>
      <c r="I1243" s="17"/>
      <c r="J1243" s="17"/>
      <c r="K1243" s="17"/>
      <c r="L1243" s="17"/>
      <c r="M1243" s="17"/>
      <c r="N1243" s="17"/>
      <c r="O1243" s="17"/>
    </row>
    <row r="1244" spans="2:15" x14ac:dyDescent="0.3">
      <c r="B1244" s="6" t="s">
        <v>406</v>
      </c>
      <c r="C1244" s="17"/>
      <c r="D1244" s="17"/>
      <c r="E1244" s="17"/>
      <c r="F1244" s="17"/>
      <c r="G1244" s="17"/>
      <c r="H1244" s="17"/>
      <c r="I1244" s="17"/>
      <c r="J1244" s="17"/>
      <c r="K1244" s="17"/>
      <c r="L1244" s="17"/>
      <c r="M1244" s="17"/>
      <c r="N1244" s="17"/>
      <c r="O1244" s="17"/>
    </row>
    <row r="1245" spans="2:15" x14ac:dyDescent="0.3">
      <c r="B1245" s="23" t="s">
        <v>593</v>
      </c>
      <c r="C1245" s="17"/>
      <c r="D1245" s="17"/>
      <c r="E1245" s="17"/>
      <c r="F1245" s="17"/>
      <c r="G1245" s="17"/>
      <c r="H1245" s="17"/>
      <c r="I1245" s="17"/>
      <c r="J1245" s="17"/>
      <c r="K1245" s="17"/>
      <c r="L1245" s="17"/>
      <c r="M1245" s="17"/>
      <c r="N1245" s="17"/>
      <c r="O1245" s="17"/>
    </row>
    <row r="1246" spans="2:15" x14ac:dyDescent="0.3">
      <c r="B1246" t="s">
        <v>380</v>
      </c>
      <c r="C1246" s="17">
        <v>4.9479112676239501E-2</v>
      </c>
      <c r="D1246" s="17">
        <v>0</v>
      </c>
      <c r="E1246" s="17">
        <v>9.3883883296624296E-2</v>
      </c>
      <c r="F1246" s="17"/>
      <c r="G1246" s="17">
        <v>0.122909070930141</v>
      </c>
      <c r="H1246" s="17">
        <v>0</v>
      </c>
      <c r="I1246" s="17">
        <v>0</v>
      </c>
      <c r="J1246" s="17">
        <v>0</v>
      </c>
      <c r="K1246" s="17"/>
      <c r="L1246" s="17" t="s">
        <v>256</v>
      </c>
      <c r="M1246" s="17">
        <v>0</v>
      </c>
      <c r="N1246" s="17">
        <v>0.126703026648922</v>
      </c>
      <c r="O1246" s="17">
        <v>0</v>
      </c>
    </row>
    <row r="1247" spans="2:15" x14ac:dyDescent="0.3">
      <c r="B1247" t="s">
        <v>381</v>
      </c>
      <c r="C1247" s="17">
        <v>0.24116604875582301</v>
      </c>
      <c r="D1247" s="17">
        <v>0.31282051270637001</v>
      </c>
      <c r="E1247" s="17">
        <v>0.17686012523471201</v>
      </c>
      <c r="F1247" s="17"/>
      <c r="G1247" s="17">
        <v>0.231538288723178</v>
      </c>
      <c r="H1247" s="17">
        <v>0.28940063008828099</v>
      </c>
      <c r="I1247" s="17">
        <v>0</v>
      </c>
      <c r="J1247" s="17">
        <v>0.421070872183191</v>
      </c>
      <c r="K1247" s="17"/>
      <c r="L1247" s="17" t="s">
        <v>256</v>
      </c>
      <c r="M1247" s="17">
        <v>0</v>
      </c>
      <c r="N1247" s="17">
        <v>0.383670452143827</v>
      </c>
      <c r="O1247" s="17">
        <v>0.35842350976023502</v>
      </c>
    </row>
    <row r="1248" spans="2:15" x14ac:dyDescent="0.3">
      <c r="B1248" t="s">
        <v>382</v>
      </c>
      <c r="C1248" s="17">
        <v>0.387667983741457</v>
      </c>
      <c r="D1248" s="17">
        <v>0.221668157278297</v>
      </c>
      <c r="E1248" s="17">
        <v>0.53664365889862498</v>
      </c>
      <c r="F1248" s="17"/>
      <c r="G1248" s="17">
        <v>0.27349501236304402</v>
      </c>
      <c r="H1248" s="17">
        <v>0.22414559172027601</v>
      </c>
      <c r="I1248" s="17">
        <v>1</v>
      </c>
      <c r="J1248" s="17">
        <v>0.225160949764074</v>
      </c>
      <c r="K1248" s="17"/>
      <c r="L1248" s="17" t="s">
        <v>256</v>
      </c>
      <c r="M1248" s="17">
        <v>0.644926540524553</v>
      </c>
      <c r="N1248" s="17">
        <v>0.245921033782912</v>
      </c>
      <c r="O1248" s="17">
        <v>0.246853540078593</v>
      </c>
    </row>
    <row r="1249" spans="2:15" x14ac:dyDescent="0.3">
      <c r="B1249" t="s">
        <v>383</v>
      </c>
      <c r="C1249" s="17">
        <v>0.26776264385255799</v>
      </c>
      <c r="D1249" s="17">
        <v>0.35150073477505001</v>
      </c>
      <c r="E1249" s="17">
        <v>0.19261233257003901</v>
      </c>
      <c r="F1249" s="17"/>
      <c r="G1249" s="17">
        <v>0.238106667407327</v>
      </c>
      <c r="H1249" s="17">
        <v>0.48645377819144198</v>
      </c>
      <c r="I1249" s="17">
        <v>0</v>
      </c>
      <c r="J1249" s="17">
        <v>0.35376817805273503</v>
      </c>
      <c r="K1249" s="17"/>
      <c r="L1249" s="17" t="s">
        <v>256</v>
      </c>
      <c r="M1249" s="17">
        <v>0.355073459475447</v>
      </c>
      <c r="N1249" s="17">
        <v>0.24370548742434001</v>
      </c>
      <c r="O1249" s="17">
        <v>0.18311643980359801</v>
      </c>
    </row>
    <row r="1250" spans="2:15" x14ac:dyDescent="0.3">
      <c r="B1250" t="s">
        <v>142</v>
      </c>
      <c r="C1250" s="17">
        <v>5.3924210973922297E-2</v>
      </c>
      <c r="D1250" s="17">
        <v>0.11401059524028199</v>
      </c>
      <c r="E1250" s="17">
        <v>0</v>
      </c>
      <c r="F1250" s="17"/>
      <c r="G1250" s="17">
        <v>0.13395096057630901</v>
      </c>
      <c r="H1250" s="17">
        <v>0</v>
      </c>
      <c r="I1250" s="17">
        <v>0</v>
      </c>
      <c r="J1250" s="17">
        <v>0</v>
      </c>
      <c r="K1250" s="17"/>
      <c r="L1250" s="17" t="s">
        <v>256</v>
      </c>
      <c r="M1250" s="17">
        <v>0</v>
      </c>
      <c r="N1250" s="17">
        <v>0</v>
      </c>
      <c r="O1250" s="17">
        <v>0.211606510357574</v>
      </c>
    </row>
    <row r="1251" spans="2:15" x14ac:dyDescent="0.3">
      <c r="B1251" t="s">
        <v>384</v>
      </c>
      <c r="C1251" s="17">
        <v>0.29064516143206298</v>
      </c>
      <c r="D1251" s="17">
        <v>0.31282051270637001</v>
      </c>
      <c r="E1251" s="17">
        <v>0.27074400853133701</v>
      </c>
      <c r="F1251" s="17"/>
      <c r="G1251" s="17">
        <v>0.35444735965331903</v>
      </c>
      <c r="H1251" s="17">
        <v>0.28940063008828099</v>
      </c>
      <c r="I1251" s="17">
        <v>0</v>
      </c>
      <c r="J1251" s="17">
        <v>0.421070872183191</v>
      </c>
      <c r="K1251" s="17"/>
      <c r="L1251" s="17" t="s">
        <v>256</v>
      </c>
      <c r="M1251" s="17">
        <v>0</v>
      </c>
      <c r="N1251" s="17">
        <v>0.51037347879274797</v>
      </c>
      <c r="O1251" s="17">
        <v>0.35842350976023502</v>
      </c>
    </row>
    <row r="1252" spans="2:15" x14ac:dyDescent="0.3">
      <c r="C1252" s="17"/>
      <c r="D1252" s="17"/>
      <c r="E1252" s="17"/>
      <c r="F1252" s="17"/>
      <c r="G1252" s="17"/>
      <c r="H1252" s="17"/>
      <c r="I1252" s="17"/>
      <c r="J1252" s="17"/>
      <c r="K1252" s="17"/>
      <c r="L1252" s="17"/>
      <c r="M1252" s="17"/>
      <c r="N1252" s="17"/>
      <c r="O1252" s="17"/>
    </row>
    <row r="1253" spans="2:15" x14ac:dyDescent="0.3">
      <c r="B1253" s="6" t="s">
        <v>407</v>
      </c>
      <c r="C1253" s="17"/>
      <c r="D1253" s="17"/>
      <c r="E1253" s="17"/>
      <c r="F1253" s="17"/>
      <c r="G1253" s="17"/>
      <c r="H1253" s="17"/>
      <c r="I1253" s="17"/>
      <c r="J1253" s="17"/>
      <c r="K1253" s="17"/>
      <c r="L1253" s="17"/>
      <c r="M1253" s="17"/>
      <c r="N1253" s="17"/>
      <c r="O1253" s="17"/>
    </row>
    <row r="1254" spans="2:15" x14ac:dyDescent="0.3">
      <c r="B1254" s="23" t="s">
        <v>593</v>
      </c>
      <c r="C1254" s="17"/>
      <c r="D1254" s="17"/>
      <c r="E1254" s="17"/>
      <c r="F1254" s="17"/>
      <c r="G1254" s="17"/>
      <c r="H1254" s="17"/>
      <c r="I1254" s="17"/>
      <c r="J1254" s="17"/>
      <c r="K1254" s="17"/>
      <c r="L1254" s="17"/>
      <c r="M1254" s="17"/>
      <c r="N1254" s="17"/>
      <c r="O1254" s="17"/>
    </row>
    <row r="1255" spans="2:15" x14ac:dyDescent="0.3">
      <c r="B1255" t="s">
        <v>380</v>
      </c>
      <c r="C1255" s="17">
        <v>0</v>
      </c>
      <c r="D1255" s="17">
        <v>0</v>
      </c>
      <c r="E1255" s="17">
        <v>0</v>
      </c>
      <c r="F1255" s="17"/>
      <c r="G1255" s="17">
        <v>0</v>
      </c>
      <c r="H1255" s="17">
        <v>0</v>
      </c>
      <c r="I1255" s="17">
        <v>0</v>
      </c>
      <c r="J1255" s="17">
        <v>0</v>
      </c>
      <c r="K1255" s="17"/>
      <c r="L1255" s="17" t="s">
        <v>256</v>
      </c>
      <c r="M1255" s="17">
        <v>0</v>
      </c>
      <c r="N1255" s="17">
        <v>0</v>
      </c>
      <c r="O1255" s="17">
        <v>0</v>
      </c>
    </row>
    <row r="1256" spans="2:15" x14ac:dyDescent="0.3">
      <c r="B1256" t="s">
        <v>381</v>
      </c>
      <c r="C1256" s="17">
        <v>0.14268874309570001</v>
      </c>
      <c r="D1256" s="17">
        <v>0</v>
      </c>
      <c r="E1256" s="17">
        <v>0.27074400853133701</v>
      </c>
      <c r="F1256" s="17"/>
      <c r="G1256" s="17">
        <v>0.35444735965331903</v>
      </c>
      <c r="H1256" s="17">
        <v>0</v>
      </c>
      <c r="I1256" s="17">
        <v>0</v>
      </c>
      <c r="J1256" s="17">
        <v>0</v>
      </c>
      <c r="K1256" s="17"/>
      <c r="L1256" s="17" t="s">
        <v>256</v>
      </c>
      <c r="M1256" s="17">
        <v>0</v>
      </c>
      <c r="N1256" s="17">
        <v>0.36538843647528602</v>
      </c>
      <c r="O1256" s="17">
        <v>0</v>
      </c>
    </row>
    <row r="1257" spans="2:15" x14ac:dyDescent="0.3">
      <c r="B1257" t="s">
        <v>382</v>
      </c>
      <c r="C1257" s="17">
        <v>0.47213483666613698</v>
      </c>
      <c r="D1257" s="17">
        <v>0.500034767796811</v>
      </c>
      <c r="E1257" s="17">
        <v>0.44709618954470098</v>
      </c>
      <c r="F1257" s="17"/>
      <c r="G1257" s="17">
        <v>0.15626300324746301</v>
      </c>
      <c r="H1257" s="17">
        <v>0.43025133126419501</v>
      </c>
      <c r="I1257" s="17">
        <v>1</v>
      </c>
      <c r="J1257" s="17">
        <v>0.64623182194726503</v>
      </c>
      <c r="K1257" s="17"/>
      <c r="L1257" s="17" t="s">
        <v>256</v>
      </c>
      <c r="M1257" s="17">
        <v>0.644926540524553</v>
      </c>
      <c r="N1257" s="17">
        <v>0.22832595565799901</v>
      </c>
      <c r="O1257" s="17">
        <v>0.60527704983882802</v>
      </c>
    </row>
    <row r="1258" spans="2:15" x14ac:dyDescent="0.3">
      <c r="B1258" t="s">
        <v>383</v>
      </c>
      <c r="C1258" s="17">
        <v>0.27463374137970697</v>
      </c>
      <c r="D1258" s="17">
        <v>0.26624764248819699</v>
      </c>
      <c r="E1258" s="17">
        <v>0.28215980192396201</v>
      </c>
      <c r="F1258" s="17"/>
      <c r="G1258" s="17">
        <v>0.35533867652290801</v>
      </c>
      <c r="H1258" s="17">
        <v>0.280348038647524</v>
      </c>
      <c r="I1258" s="17">
        <v>0</v>
      </c>
      <c r="J1258" s="17">
        <v>0.35376817805273503</v>
      </c>
      <c r="K1258" s="17"/>
      <c r="L1258" s="17" t="s">
        <v>256</v>
      </c>
      <c r="M1258" s="17">
        <v>0.355073459475447</v>
      </c>
      <c r="N1258" s="17">
        <v>0.26130056554925302</v>
      </c>
      <c r="O1258" s="17">
        <v>0.18311643980359801</v>
      </c>
    </row>
    <row r="1259" spans="2:15" x14ac:dyDescent="0.3">
      <c r="B1259" t="s">
        <v>142</v>
      </c>
      <c r="C1259" s="17">
        <v>0.11054267885845501</v>
      </c>
      <c r="D1259" s="17">
        <v>0.23371758971499201</v>
      </c>
      <c r="E1259" s="17">
        <v>0</v>
      </c>
      <c r="F1259" s="17"/>
      <c r="G1259" s="17">
        <v>0.13395096057630901</v>
      </c>
      <c r="H1259" s="17">
        <v>0.28940063008828099</v>
      </c>
      <c r="I1259" s="17">
        <v>0</v>
      </c>
      <c r="J1259" s="17">
        <v>0</v>
      </c>
      <c r="K1259" s="17"/>
      <c r="L1259" s="17" t="s">
        <v>256</v>
      </c>
      <c r="M1259" s="17">
        <v>0</v>
      </c>
      <c r="N1259" s="17">
        <v>0.14498504231746201</v>
      </c>
      <c r="O1259" s="17">
        <v>0.211606510357574</v>
      </c>
    </row>
    <row r="1260" spans="2:15" x14ac:dyDescent="0.3">
      <c r="B1260" t="s">
        <v>384</v>
      </c>
      <c r="C1260" s="17">
        <v>0.14268874309570001</v>
      </c>
      <c r="D1260" s="17">
        <v>0</v>
      </c>
      <c r="E1260" s="17">
        <v>0.27074400853133701</v>
      </c>
      <c r="F1260" s="17"/>
      <c r="G1260" s="17">
        <v>0.35444735965331903</v>
      </c>
      <c r="H1260" s="17">
        <v>0</v>
      </c>
      <c r="I1260" s="17">
        <v>0</v>
      </c>
      <c r="J1260" s="17">
        <v>0</v>
      </c>
      <c r="K1260" s="17"/>
      <c r="L1260" s="17" t="s">
        <v>256</v>
      </c>
      <c r="M1260" s="17">
        <v>0</v>
      </c>
      <c r="N1260" s="17">
        <v>0.36538843647528602</v>
      </c>
      <c r="O1260" s="17">
        <v>0</v>
      </c>
    </row>
    <row r="1261" spans="2:15" x14ac:dyDescent="0.3">
      <c r="C1261" s="17"/>
      <c r="D1261" s="17"/>
      <c r="E1261" s="17"/>
      <c r="F1261" s="17"/>
      <c r="G1261" s="17"/>
      <c r="H1261" s="17"/>
      <c r="I1261" s="17"/>
      <c r="J1261" s="17"/>
      <c r="K1261" s="17"/>
      <c r="L1261" s="17"/>
      <c r="M1261" s="17"/>
      <c r="N1261" s="17"/>
      <c r="O1261" s="17"/>
    </row>
    <row r="1262" spans="2:15" x14ac:dyDescent="0.3">
      <c r="B1262" s="6" t="s">
        <v>417</v>
      </c>
      <c r="C1262" s="17"/>
      <c r="D1262" s="17"/>
      <c r="E1262" s="17"/>
      <c r="F1262" s="17"/>
      <c r="G1262" s="17"/>
      <c r="H1262" s="17"/>
      <c r="I1262" s="17"/>
      <c r="J1262" s="17"/>
      <c r="K1262" s="17"/>
      <c r="L1262" s="17"/>
      <c r="M1262" s="17"/>
      <c r="N1262" s="17"/>
      <c r="O1262" s="17"/>
    </row>
    <row r="1263" spans="2:15" x14ac:dyDescent="0.3">
      <c r="B1263" s="23" t="s">
        <v>318</v>
      </c>
      <c r="C1263" s="17"/>
      <c r="D1263" s="17"/>
      <c r="E1263" s="17"/>
      <c r="F1263" s="17"/>
      <c r="G1263" s="17"/>
      <c r="H1263" s="17"/>
      <c r="I1263" s="17"/>
      <c r="J1263" s="17"/>
      <c r="K1263" s="17"/>
      <c r="L1263" s="17"/>
      <c r="M1263" s="17"/>
      <c r="N1263" s="17"/>
      <c r="O1263" s="17"/>
    </row>
    <row r="1264" spans="2:15" x14ac:dyDescent="0.3">
      <c r="B1264" t="s">
        <v>380</v>
      </c>
      <c r="C1264" s="17">
        <v>0.411781497289333</v>
      </c>
      <c r="D1264" s="17">
        <v>0.48218398283464597</v>
      </c>
      <c r="E1264" s="17">
        <v>0.335904697953472</v>
      </c>
      <c r="F1264" s="17"/>
      <c r="G1264" s="17">
        <v>0.50880274108642998</v>
      </c>
      <c r="H1264" s="17">
        <v>0.34037355019048399</v>
      </c>
      <c r="I1264" s="17">
        <v>0.37150829891896803</v>
      </c>
      <c r="J1264" s="17">
        <v>0.37989434711532399</v>
      </c>
      <c r="K1264" s="17"/>
      <c r="L1264" s="17">
        <v>0.39429526752080202</v>
      </c>
      <c r="M1264" s="17">
        <v>0.40851308745635401</v>
      </c>
      <c r="N1264" s="17">
        <v>0.42383352211229502</v>
      </c>
      <c r="O1264" s="17">
        <v>0.42199566549546103</v>
      </c>
    </row>
    <row r="1265" spans="2:15" x14ac:dyDescent="0.3">
      <c r="B1265" t="s">
        <v>381</v>
      </c>
      <c r="C1265" s="17">
        <v>0.48036029306904499</v>
      </c>
      <c r="D1265" s="17">
        <v>0.44870115813295303</v>
      </c>
      <c r="E1265" s="17">
        <v>0.51316969294345205</v>
      </c>
      <c r="F1265" s="17"/>
      <c r="G1265" s="17">
        <v>0.39221386475292902</v>
      </c>
      <c r="H1265" s="17">
        <v>0.541932499527082</v>
      </c>
      <c r="I1265" s="17">
        <v>0.53183804107344401</v>
      </c>
      <c r="J1265" s="17">
        <v>0.49903117411395198</v>
      </c>
      <c r="K1265" s="17"/>
      <c r="L1265" s="17">
        <v>0.46183970202222802</v>
      </c>
      <c r="M1265" s="17">
        <v>0.50500549509588399</v>
      </c>
      <c r="N1265" s="17">
        <v>0.44933116822247199</v>
      </c>
      <c r="O1265" s="17">
        <v>0.51135768065980303</v>
      </c>
    </row>
    <row r="1266" spans="2:15" x14ac:dyDescent="0.3">
      <c r="B1266" t="s">
        <v>382</v>
      </c>
      <c r="C1266" s="17">
        <v>9.5706408472229804E-2</v>
      </c>
      <c r="D1266" s="17">
        <v>5.3294332677724501E-2</v>
      </c>
      <c r="E1266" s="17">
        <v>0.1427642948068</v>
      </c>
      <c r="F1266" s="17"/>
      <c r="G1266" s="17">
        <v>8.2931562727530994E-2</v>
      </c>
      <c r="H1266" s="17">
        <v>0.117693950282434</v>
      </c>
      <c r="I1266" s="17">
        <v>8.4837838529588802E-2</v>
      </c>
      <c r="J1266" s="17">
        <v>0.100453712500277</v>
      </c>
      <c r="K1266" s="17"/>
      <c r="L1266" s="17">
        <v>0.135684784251904</v>
      </c>
      <c r="M1266" s="17">
        <v>7.8453387010258502E-2</v>
      </c>
      <c r="N1266" s="17">
        <v>9.7540117943708093E-2</v>
      </c>
      <c r="O1266" s="17">
        <v>6.6646653844736503E-2</v>
      </c>
    </row>
    <row r="1267" spans="2:15" x14ac:dyDescent="0.3">
      <c r="B1267" t="s">
        <v>142</v>
      </c>
      <c r="C1267" s="17">
        <v>1.21518011693925E-2</v>
      </c>
      <c r="D1267" s="17">
        <v>1.5820526354676699E-2</v>
      </c>
      <c r="E1267" s="17">
        <v>8.1613142962749206E-3</v>
      </c>
      <c r="F1267" s="17"/>
      <c r="G1267" s="17">
        <v>1.6051831433109901E-2</v>
      </c>
      <c r="H1267" s="17">
        <v>0</v>
      </c>
      <c r="I1267" s="17">
        <v>1.18158214779983E-2</v>
      </c>
      <c r="J1267" s="17">
        <v>2.0620766270447798E-2</v>
      </c>
      <c r="K1267" s="17"/>
      <c r="L1267" s="17">
        <v>8.1802462050665197E-3</v>
      </c>
      <c r="M1267" s="17">
        <v>8.0280304375028692E-3</v>
      </c>
      <c r="N1267" s="17">
        <v>2.9295191721525098E-2</v>
      </c>
      <c r="O1267" s="17">
        <v>0</v>
      </c>
    </row>
    <row r="1268" spans="2:15" x14ac:dyDescent="0.3">
      <c r="B1268" t="s">
        <v>384</v>
      </c>
      <c r="C1268" s="17">
        <v>0.89214179035837804</v>
      </c>
      <c r="D1268" s="17">
        <v>0.930885140967599</v>
      </c>
      <c r="E1268" s="17">
        <v>0.84907439089692505</v>
      </c>
      <c r="F1268" s="17"/>
      <c r="G1268" s="17">
        <v>0.90101660583935905</v>
      </c>
      <c r="H1268" s="17">
        <v>0.88230604971756599</v>
      </c>
      <c r="I1268" s="17">
        <v>0.90334633999241298</v>
      </c>
      <c r="J1268" s="17">
        <v>0.87892552122927503</v>
      </c>
      <c r="K1268" s="17"/>
      <c r="L1268" s="17">
        <v>0.85613496954303003</v>
      </c>
      <c r="M1268" s="17">
        <v>0.91351858255223894</v>
      </c>
      <c r="N1268" s="17">
        <v>0.87316469033476696</v>
      </c>
      <c r="O1268" s="17">
        <v>0.933353346155263</v>
      </c>
    </row>
    <row r="1269" spans="2:15" x14ac:dyDescent="0.3">
      <c r="C1269" s="17"/>
      <c r="D1269" s="17"/>
      <c r="E1269" s="17"/>
      <c r="F1269" s="17"/>
      <c r="G1269" s="17"/>
      <c r="H1269" s="17"/>
      <c r="I1269" s="17"/>
      <c r="J1269" s="17"/>
      <c r="K1269" s="17"/>
      <c r="L1269" s="17"/>
      <c r="M1269" s="17"/>
      <c r="N1269" s="17"/>
      <c r="O1269" s="17"/>
    </row>
    <row r="1270" spans="2:15" x14ac:dyDescent="0.3">
      <c r="B1270" s="6" t="s">
        <v>418</v>
      </c>
      <c r="C1270" s="17"/>
      <c r="D1270" s="17"/>
      <c r="E1270" s="17"/>
      <c r="F1270" s="17"/>
      <c r="G1270" s="17"/>
      <c r="H1270" s="17"/>
      <c r="I1270" s="17"/>
      <c r="J1270" s="17"/>
      <c r="K1270" s="17"/>
      <c r="L1270" s="17"/>
      <c r="M1270" s="17"/>
      <c r="N1270" s="17"/>
      <c r="O1270" s="17"/>
    </row>
    <row r="1271" spans="2:15" x14ac:dyDescent="0.3">
      <c r="B1271" s="23" t="s">
        <v>318</v>
      </c>
      <c r="C1271" s="17"/>
      <c r="D1271" s="17"/>
      <c r="E1271" s="17"/>
      <c r="F1271" s="17"/>
      <c r="G1271" s="17"/>
      <c r="H1271" s="17"/>
      <c r="I1271" s="17"/>
      <c r="J1271" s="17"/>
      <c r="K1271" s="17"/>
      <c r="L1271" s="17"/>
      <c r="M1271" s="17"/>
      <c r="N1271" s="17"/>
      <c r="O1271" s="17"/>
    </row>
    <row r="1272" spans="2:15" x14ac:dyDescent="0.3">
      <c r="B1272" t="s">
        <v>380</v>
      </c>
      <c r="C1272" s="17">
        <v>0.41789075881244298</v>
      </c>
      <c r="D1272" s="17">
        <v>0.46077612852038302</v>
      </c>
      <c r="E1272" s="17">
        <v>0.37232577210594398</v>
      </c>
      <c r="F1272" s="17"/>
      <c r="G1272" s="17">
        <v>0.52262339905729105</v>
      </c>
      <c r="H1272" s="17">
        <v>0.38636327708447799</v>
      </c>
      <c r="I1272" s="17">
        <v>0.34233858587368499</v>
      </c>
      <c r="J1272" s="17">
        <v>0.36135289462205999</v>
      </c>
      <c r="K1272" s="17"/>
      <c r="L1272" s="17">
        <v>0.35464174967958001</v>
      </c>
      <c r="M1272" s="17">
        <v>0.41672483469490701</v>
      </c>
      <c r="N1272" s="17">
        <v>0.46763751459235098</v>
      </c>
      <c r="O1272" s="17">
        <v>0.43249016154897402</v>
      </c>
    </row>
    <row r="1273" spans="2:15" x14ac:dyDescent="0.3">
      <c r="B1273" t="s">
        <v>381</v>
      </c>
      <c r="C1273" s="17">
        <v>0.47398600296710602</v>
      </c>
      <c r="D1273" s="17">
        <v>0.453028805786579</v>
      </c>
      <c r="E1273" s="17">
        <v>0.49499087599726599</v>
      </c>
      <c r="F1273" s="17"/>
      <c r="G1273" s="17">
        <v>0.38659064434896201</v>
      </c>
      <c r="H1273" s="17">
        <v>0.47659636729418697</v>
      </c>
      <c r="I1273" s="17">
        <v>0.63228392137802003</v>
      </c>
      <c r="J1273" s="17">
        <v>0.46167776785706699</v>
      </c>
      <c r="K1273" s="17"/>
      <c r="L1273" s="17">
        <v>0.522912267329259</v>
      </c>
      <c r="M1273" s="17">
        <v>0.43628757485286701</v>
      </c>
      <c r="N1273" s="17">
        <v>0.41403353305811802</v>
      </c>
      <c r="O1273" s="17">
        <v>0.54255699312848005</v>
      </c>
    </row>
    <row r="1274" spans="2:15" x14ac:dyDescent="0.3">
      <c r="B1274" t="s">
        <v>382</v>
      </c>
      <c r="C1274" s="17">
        <v>9.7645057372919605E-2</v>
      </c>
      <c r="D1274" s="17">
        <v>8.0867667385614198E-2</v>
      </c>
      <c r="E1274" s="17">
        <v>0.116494662385003</v>
      </c>
      <c r="F1274" s="17"/>
      <c r="G1274" s="17">
        <v>6.6385236792335198E-2</v>
      </c>
      <c r="H1274" s="17">
        <v>0.12698677123991101</v>
      </c>
      <c r="I1274" s="17">
        <v>2.53774927482944E-2</v>
      </c>
      <c r="J1274" s="17">
        <v>0.17696933752087199</v>
      </c>
      <c r="K1274" s="17"/>
      <c r="L1274" s="17">
        <v>0.112514864784603</v>
      </c>
      <c r="M1274" s="17">
        <v>0.13959820087326599</v>
      </c>
      <c r="N1274" s="17">
        <v>9.6255151987712007E-2</v>
      </c>
      <c r="O1274" s="17">
        <v>2.4952845322546002E-2</v>
      </c>
    </row>
    <row r="1275" spans="2:15" x14ac:dyDescent="0.3">
      <c r="B1275" t="s">
        <v>142</v>
      </c>
      <c r="C1275" s="17">
        <v>1.04781808475304E-2</v>
      </c>
      <c r="D1275" s="17">
        <v>5.3273983074233399E-3</v>
      </c>
      <c r="E1275" s="17">
        <v>1.6188689511787101E-2</v>
      </c>
      <c r="F1275" s="17"/>
      <c r="G1275" s="17">
        <v>2.4400719801411699E-2</v>
      </c>
      <c r="H1275" s="17">
        <v>1.00535843814238E-2</v>
      </c>
      <c r="I1275" s="17">
        <v>0</v>
      </c>
      <c r="J1275" s="17">
        <v>0</v>
      </c>
      <c r="K1275" s="17"/>
      <c r="L1275" s="17">
        <v>9.9311182065571803E-3</v>
      </c>
      <c r="M1275" s="17">
        <v>7.38938957896027E-3</v>
      </c>
      <c r="N1275" s="17">
        <v>2.2073800361819398E-2</v>
      </c>
      <c r="O1275" s="17">
        <v>0</v>
      </c>
    </row>
    <row r="1276" spans="2:15" x14ac:dyDescent="0.3">
      <c r="B1276" t="s">
        <v>384</v>
      </c>
      <c r="C1276" s="17">
        <v>0.89187676177955</v>
      </c>
      <c r="D1276" s="17">
        <v>0.91380493430696297</v>
      </c>
      <c r="E1276" s="17">
        <v>0.86731664810320996</v>
      </c>
      <c r="F1276" s="17"/>
      <c r="G1276" s="17">
        <v>0.909214043406253</v>
      </c>
      <c r="H1276" s="17">
        <v>0.86295964437866501</v>
      </c>
      <c r="I1276" s="17">
        <v>0.97462250725170596</v>
      </c>
      <c r="J1276" s="17">
        <v>0.82303066247912804</v>
      </c>
      <c r="K1276" s="17"/>
      <c r="L1276" s="17">
        <v>0.87755401700883995</v>
      </c>
      <c r="M1276" s="17">
        <v>0.85301240954777402</v>
      </c>
      <c r="N1276" s="17">
        <v>0.881671047650469</v>
      </c>
      <c r="O1276" s="17">
        <v>0.97504715467745395</v>
      </c>
    </row>
    <row r="1277" spans="2:15" x14ac:dyDescent="0.3">
      <c r="C1277" s="17"/>
      <c r="D1277" s="17"/>
      <c r="E1277" s="17"/>
      <c r="F1277" s="17"/>
      <c r="G1277" s="17"/>
      <c r="H1277" s="17"/>
      <c r="I1277" s="17"/>
      <c r="J1277" s="17"/>
      <c r="K1277" s="17"/>
      <c r="L1277" s="17"/>
      <c r="M1277" s="17"/>
      <c r="N1277" s="17"/>
      <c r="O1277" s="17"/>
    </row>
    <row r="1278" spans="2:15" x14ac:dyDescent="0.3">
      <c r="B1278" s="6" t="s">
        <v>419</v>
      </c>
      <c r="C1278" s="17"/>
      <c r="D1278" s="17"/>
      <c r="E1278" s="17"/>
      <c r="F1278" s="17"/>
      <c r="G1278" s="17"/>
      <c r="H1278" s="17"/>
      <c r="I1278" s="17"/>
      <c r="J1278" s="17"/>
      <c r="K1278" s="17"/>
      <c r="L1278" s="17"/>
      <c r="M1278" s="17"/>
      <c r="N1278" s="17"/>
      <c r="O1278" s="17"/>
    </row>
    <row r="1279" spans="2:15" x14ac:dyDescent="0.3">
      <c r="B1279" s="23" t="s">
        <v>318</v>
      </c>
      <c r="C1279" s="17"/>
      <c r="D1279" s="17"/>
      <c r="E1279" s="17"/>
      <c r="F1279" s="17"/>
      <c r="G1279" s="17"/>
      <c r="H1279" s="17"/>
      <c r="I1279" s="17"/>
      <c r="J1279" s="17"/>
      <c r="K1279" s="17"/>
      <c r="L1279" s="17"/>
      <c r="M1279" s="17"/>
      <c r="N1279" s="17"/>
      <c r="O1279" s="17"/>
    </row>
    <row r="1280" spans="2:15" x14ac:dyDescent="0.3">
      <c r="B1280" t="s">
        <v>380</v>
      </c>
      <c r="C1280" s="17">
        <v>0.34632146607402198</v>
      </c>
      <c r="D1280" s="17">
        <v>0.38642199658897097</v>
      </c>
      <c r="E1280" s="17">
        <v>0.30354110024692599</v>
      </c>
      <c r="F1280" s="17"/>
      <c r="G1280" s="17">
        <v>0.42816199898025697</v>
      </c>
      <c r="H1280" s="17">
        <v>0.32728961416253299</v>
      </c>
      <c r="I1280" s="17">
        <v>0.34366795138572998</v>
      </c>
      <c r="J1280" s="17">
        <v>0.242628731900697</v>
      </c>
      <c r="K1280" s="17"/>
      <c r="L1280" s="17">
        <v>0.40015236387217301</v>
      </c>
      <c r="M1280" s="17">
        <v>0.334145654585635</v>
      </c>
      <c r="N1280" s="17">
        <v>0.34167312512882703</v>
      </c>
      <c r="O1280" s="17">
        <v>0.30180588602952702</v>
      </c>
    </row>
    <row r="1281" spans="2:15" x14ac:dyDescent="0.3">
      <c r="B1281" t="s">
        <v>381</v>
      </c>
      <c r="C1281" s="17">
        <v>0.44177975420707499</v>
      </c>
      <c r="D1281" s="17">
        <v>0.44487977927495898</v>
      </c>
      <c r="E1281" s="17">
        <v>0.43617876225508601</v>
      </c>
      <c r="F1281" s="17"/>
      <c r="G1281" s="17">
        <v>0.44881027114634697</v>
      </c>
      <c r="H1281" s="17">
        <v>0.38954923971345701</v>
      </c>
      <c r="I1281" s="17">
        <v>0.48259301453394698</v>
      </c>
      <c r="J1281" s="17">
        <v>0.458361014471729</v>
      </c>
      <c r="K1281" s="17"/>
      <c r="L1281" s="17">
        <v>0.34609448647262198</v>
      </c>
      <c r="M1281" s="17">
        <v>0.39198162287747701</v>
      </c>
      <c r="N1281" s="17">
        <v>0.50665925390433797</v>
      </c>
      <c r="O1281" s="17">
        <v>0.54171263311941498</v>
      </c>
    </row>
    <row r="1282" spans="2:15" x14ac:dyDescent="0.3">
      <c r="B1282" t="s">
        <v>382</v>
      </c>
      <c r="C1282" s="17">
        <v>0.19759131226805399</v>
      </c>
      <c r="D1282" s="17">
        <v>0.16257783941936399</v>
      </c>
      <c r="E1282" s="17">
        <v>0.23690511641656201</v>
      </c>
      <c r="F1282" s="17"/>
      <c r="G1282" s="17">
        <v>0.110804831722147</v>
      </c>
      <c r="H1282" s="17">
        <v>0.27441884096306901</v>
      </c>
      <c r="I1282" s="17">
        <v>0.161062410011858</v>
      </c>
      <c r="J1282" s="17">
        <v>0.27367901175326897</v>
      </c>
      <c r="K1282" s="17"/>
      <c r="L1282" s="17">
        <v>0.24511733752520301</v>
      </c>
      <c r="M1282" s="17">
        <v>0.26752992527712399</v>
      </c>
      <c r="N1282" s="17">
        <v>0.13678481965720099</v>
      </c>
      <c r="O1282" s="17">
        <v>0.125243508734243</v>
      </c>
    </row>
    <row r="1283" spans="2:15" x14ac:dyDescent="0.3">
      <c r="B1283" t="s">
        <v>142</v>
      </c>
      <c r="C1283" s="17">
        <v>1.4307467450848699E-2</v>
      </c>
      <c r="D1283" s="17">
        <v>6.1203847167069199E-3</v>
      </c>
      <c r="E1283" s="17">
        <v>2.3375021081426001E-2</v>
      </c>
      <c r="F1283" s="17"/>
      <c r="G1283" s="17">
        <v>1.22228981512486E-2</v>
      </c>
      <c r="H1283" s="17">
        <v>8.7423051609404299E-3</v>
      </c>
      <c r="I1283" s="17">
        <v>1.2676624068465E-2</v>
      </c>
      <c r="J1283" s="17">
        <v>2.5331241874304699E-2</v>
      </c>
      <c r="K1283" s="17"/>
      <c r="L1283" s="17">
        <v>8.6358121300015803E-3</v>
      </c>
      <c r="M1283" s="17">
        <v>6.3427972597647599E-3</v>
      </c>
      <c r="N1283" s="17">
        <v>1.48828013096335E-2</v>
      </c>
      <c r="O1283" s="17">
        <v>3.1237972116815699E-2</v>
      </c>
    </row>
    <row r="1284" spans="2:15" x14ac:dyDescent="0.3">
      <c r="B1284" t="s">
        <v>384</v>
      </c>
      <c r="C1284" s="17">
        <v>0.78810122028109697</v>
      </c>
      <c r="D1284" s="17">
        <v>0.83130177586392895</v>
      </c>
      <c r="E1284" s="17">
        <v>0.73971986250201205</v>
      </c>
      <c r="F1284" s="17"/>
      <c r="G1284" s="17">
        <v>0.87697227012660395</v>
      </c>
      <c r="H1284" s="17">
        <v>0.71683885387599</v>
      </c>
      <c r="I1284" s="17">
        <v>0.82626096591967702</v>
      </c>
      <c r="J1284" s="17">
        <v>0.70098974637242595</v>
      </c>
      <c r="K1284" s="17"/>
      <c r="L1284" s="17">
        <v>0.74624685034479499</v>
      </c>
      <c r="M1284" s="17">
        <v>0.72612727746311201</v>
      </c>
      <c r="N1284" s="17">
        <v>0.84833237903316505</v>
      </c>
      <c r="O1284" s="17">
        <v>0.84351851914894205</v>
      </c>
    </row>
    <row r="1285" spans="2:15" x14ac:dyDescent="0.3">
      <c r="C1285" s="17"/>
      <c r="D1285" s="17"/>
      <c r="E1285" s="17"/>
      <c r="F1285" s="17"/>
      <c r="G1285" s="17"/>
      <c r="H1285" s="17"/>
      <c r="I1285" s="17"/>
      <c r="J1285" s="17"/>
      <c r="K1285" s="17"/>
      <c r="L1285" s="17"/>
      <c r="M1285" s="17"/>
      <c r="N1285" s="17"/>
      <c r="O1285" s="17"/>
    </row>
    <row r="1286" spans="2:15" x14ac:dyDescent="0.3">
      <c r="B1286" s="6" t="s">
        <v>420</v>
      </c>
      <c r="C1286" s="17"/>
      <c r="D1286" s="17"/>
      <c r="E1286" s="17"/>
      <c r="F1286" s="17"/>
      <c r="G1286" s="17"/>
      <c r="H1286" s="17"/>
      <c r="I1286" s="17"/>
      <c r="J1286" s="17"/>
      <c r="K1286" s="17"/>
      <c r="L1286" s="17"/>
      <c r="M1286" s="17"/>
      <c r="N1286" s="17"/>
      <c r="O1286" s="17"/>
    </row>
    <row r="1287" spans="2:15" x14ac:dyDescent="0.3">
      <c r="B1287" s="23" t="s">
        <v>318</v>
      </c>
      <c r="C1287" s="17"/>
      <c r="D1287" s="17"/>
      <c r="E1287" s="17"/>
      <c r="F1287" s="17"/>
      <c r="G1287" s="17"/>
      <c r="H1287" s="17"/>
      <c r="I1287" s="17"/>
      <c r="J1287" s="17"/>
      <c r="K1287" s="17"/>
      <c r="L1287" s="17"/>
      <c r="M1287" s="17"/>
      <c r="N1287" s="17"/>
      <c r="O1287" s="17"/>
    </row>
    <row r="1288" spans="2:15" x14ac:dyDescent="0.3">
      <c r="B1288" t="s">
        <v>380</v>
      </c>
      <c r="C1288" s="17">
        <v>0.31580918140577902</v>
      </c>
      <c r="D1288" s="17">
        <v>0.36185353428224798</v>
      </c>
      <c r="E1288" s="17">
        <v>0.26244578991167</v>
      </c>
      <c r="F1288" s="17"/>
      <c r="G1288" s="17">
        <v>0.46230791475163702</v>
      </c>
      <c r="H1288" s="17">
        <v>0.25762268774667701</v>
      </c>
      <c r="I1288" s="17">
        <v>0.26057594467361</v>
      </c>
      <c r="J1288" s="17">
        <v>0.208389248478696</v>
      </c>
      <c r="K1288" s="17"/>
      <c r="L1288" s="17">
        <v>0.33698060940107799</v>
      </c>
      <c r="M1288" s="17">
        <v>0.31248786043457699</v>
      </c>
      <c r="N1288" s="17">
        <v>0.33265771177015502</v>
      </c>
      <c r="O1288" s="17">
        <v>0.271723428887086</v>
      </c>
    </row>
    <row r="1289" spans="2:15" x14ac:dyDescent="0.3">
      <c r="B1289" t="s">
        <v>381</v>
      </c>
      <c r="C1289" s="17">
        <v>0.43303895202397902</v>
      </c>
      <c r="D1289" s="17">
        <v>0.47141018620312802</v>
      </c>
      <c r="E1289" s="17">
        <v>0.39250203341871598</v>
      </c>
      <c r="F1289" s="17"/>
      <c r="G1289" s="17">
        <v>0.38390578382877399</v>
      </c>
      <c r="H1289" s="17">
        <v>0.39814915839703302</v>
      </c>
      <c r="I1289" s="17">
        <v>0.47764499815622502</v>
      </c>
      <c r="J1289" s="17">
        <v>0.50934491505759605</v>
      </c>
      <c r="K1289" s="17"/>
      <c r="L1289" s="17">
        <v>0.41109387850701201</v>
      </c>
      <c r="M1289" s="17">
        <v>0.421564626850297</v>
      </c>
      <c r="N1289" s="17">
        <v>0.43101862401895902</v>
      </c>
      <c r="O1289" s="17">
        <v>0.47830564248384599</v>
      </c>
    </row>
    <row r="1290" spans="2:15" x14ac:dyDescent="0.3">
      <c r="B1290" t="s">
        <v>382</v>
      </c>
      <c r="C1290" s="17">
        <v>0.23751098268903201</v>
      </c>
      <c r="D1290" s="17">
        <v>0.16061589479791599</v>
      </c>
      <c r="E1290" s="17">
        <v>0.32308005580285898</v>
      </c>
      <c r="F1290" s="17"/>
      <c r="G1290" s="17">
        <v>0.142894908817467</v>
      </c>
      <c r="H1290" s="17">
        <v>0.32588503983800199</v>
      </c>
      <c r="I1290" s="17">
        <v>0.24298176646985201</v>
      </c>
      <c r="J1290" s="17">
        <v>0.27443066690255002</v>
      </c>
      <c r="K1290" s="17"/>
      <c r="L1290" s="17">
        <v>0.24268886143444501</v>
      </c>
      <c r="M1290" s="17">
        <v>0.24371021861363201</v>
      </c>
      <c r="N1290" s="17">
        <v>0.230860184015315</v>
      </c>
      <c r="O1290" s="17">
        <v>0.231560620242489</v>
      </c>
    </row>
    <row r="1291" spans="2:15" x14ac:dyDescent="0.3">
      <c r="B1291" t="s">
        <v>142</v>
      </c>
      <c r="C1291" s="17">
        <v>1.36408838812099E-2</v>
      </c>
      <c r="D1291" s="17">
        <v>6.1203847167069199E-3</v>
      </c>
      <c r="E1291" s="17">
        <v>2.19721208667552E-2</v>
      </c>
      <c r="F1291" s="17"/>
      <c r="G1291" s="17">
        <v>1.0891392602121901E-2</v>
      </c>
      <c r="H1291" s="17">
        <v>1.8343114018288E-2</v>
      </c>
      <c r="I1291" s="17">
        <v>1.8797290700312799E-2</v>
      </c>
      <c r="J1291" s="17">
        <v>7.8351695611584005E-3</v>
      </c>
      <c r="K1291" s="17"/>
      <c r="L1291" s="17">
        <v>9.2366506574642297E-3</v>
      </c>
      <c r="M1291" s="17">
        <v>2.2237294101493901E-2</v>
      </c>
      <c r="N1291" s="17">
        <v>5.46348019557121E-3</v>
      </c>
      <c r="O1291" s="17">
        <v>1.8410308386579598E-2</v>
      </c>
    </row>
    <row r="1292" spans="2:15" x14ac:dyDescent="0.3">
      <c r="B1292" t="s">
        <v>384</v>
      </c>
      <c r="C1292" s="17">
        <v>0.74884813342975798</v>
      </c>
      <c r="D1292" s="17">
        <v>0.833263720485377</v>
      </c>
      <c r="E1292" s="17">
        <v>0.65494782333038504</v>
      </c>
      <c r="F1292" s="17"/>
      <c r="G1292" s="17">
        <v>0.84621369858041096</v>
      </c>
      <c r="H1292" s="17">
        <v>0.65577184614370998</v>
      </c>
      <c r="I1292" s="17">
        <v>0.73822094282983497</v>
      </c>
      <c r="J1292" s="17">
        <v>0.71773416353629205</v>
      </c>
      <c r="K1292" s="17"/>
      <c r="L1292" s="17">
        <v>0.74807448790809095</v>
      </c>
      <c r="M1292" s="17">
        <v>0.73405248728487404</v>
      </c>
      <c r="N1292" s="17">
        <v>0.76367633578911398</v>
      </c>
      <c r="O1292" s="17">
        <v>0.750029071370932</v>
      </c>
    </row>
    <row r="1293" spans="2:15" x14ac:dyDescent="0.3">
      <c r="C1293" s="17"/>
      <c r="D1293" s="17"/>
      <c r="E1293" s="17"/>
      <c r="F1293" s="17"/>
      <c r="G1293" s="17"/>
      <c r="H1293" s="17"/>
      <c r="I1293" s="17"/>
      <c r="J1293" s="17"/>
      <c r="K1293" s="17"/>
      <c r="L1293" s="17"/>
      <c r="M1293" s="17"/>
      <c r="N1293" s="17"/>
      <c r="O1293" s="17"/>
    </row>
    <row r="1294" spans="2:15" x14ac:dyDescent="0.3">
      <c r="B1294" s="6" t="s">
        <v>421</v>
      </c>
      <c r="C1294" s="17"/>
      <c r="D1294" s="17"/>
      <c r="E1294" s="17"/>
      <c r="F1294" s="17"/>
      <c r="G1294" s="17"/>
      <c r="H1294" s="17"/>
      <c r="I1294" s="17"/>
      <c r="J1294" s="17"/>
      <c r="K1294" s="17"/>
      <c r="L1294" s="17"/>
      <c r="M1294" s="17"/>
      <c r="N1294" s="17"/>
      <c r="O1294" s="17"/>
    </row>
    <row r="1295" spans="2:15" x14ac:dyDescent="0.3">
      <c r="B1295" s="23" t="s">
        <v>318</v>
      </c>
      <c r="C1295" s="17"/>
      <c r="D1295" s="17"/>
      <c r="E1295" s="17"/>
      <c r="F1295" s="17"/>
      <c r="G1295" s="17"/>
      <c r="H1295" s="17"/>
      <c r="I1295" s="17"/>
      <c r="J1295" s="17"/>
      <c r="K1295" s="17"/>
      <c r="L1295" s="17"/>
      <c r="M1295" s="17"/>
      <c r="N1295" s="17"/>
      <c r="O1295" s="17"/>
    </row>
    <row r="1296" spans="2:15" x14ac:dyDescent="0.3">
      <c r="B1296" t="s">
        <v>380</v>
      </c>
      <c r="C1296" s="17">
        <v>0.37678411321286498</v>
      </c>
      <c r="D1296" s="17">
        <v>0.431543696745183</v>
      </c>
      <c r="E1296" s="17">
        <v>0.31798809727593802</v>
      </c>
      <c r="F1296" s="17"/>
      <c r="G1296" s="17">
        <v>0.481656750751569</v>
      </c>
      <c r="H1296" s="17">
        <v>0.26544335816479703</v>
      </c>
      <c r="I1296" s="17">
        <v>0.40622609278366201</v>
      </c>
      <c r="J1296" s="17">
        <v>0.31513357055593799</v>
      </c>
      <c r="K1296" s="17"/>
      <c r="L1296" s="17">
        <v>0.32636064032255202</v>
      </c>
      <c r="M1296" s="17">
        <v>0.34935856760036899</v>
      </c>
      <c r="N1296" s="17">
        <v>0.46009697329823401</v>
      </c>
      <c r="O1296" s="17">
        <v>0.36627720287368198</v>
      </c>
    </row>
    <row r="1297" spans="2:15" x14ac:dyDescent="0.3">
      <c r="B1297" t="s">
        <v>381</v>
      </c>
      <c r="C1297" s="17">
        <v>0.466122266189332</v>
      </c>
      <c r="D1297" s="17">
        <v>0.44240661252090002</v>
      </c>
      <c r="E1297" s="17">
        <v>0.49013251479823</v>
      </c>
      <c r="F1297" s="17"/>
      <c r="G1297" s="17">
        <v>0.40557573275400199</v>
      </c>
      <c r="H1297" s="17">
        <v>0.547847113447821</v>
      </c>
      <c r="I1297" s="17">
        <v>0.41275838170234302</v>
      </c>
      <c r="J1297" s="17">
        <v>0.51595993308301302</v>
      </c>
      <c r="K1297" s="17"/>
      <c r="L1297" s="17">
        <v>0.46772229815431698</v>
      </c>
      <c r="M1297" s="17">
        <v>0.46019757096201203</v>
      </c>
      <c r="N1297" s="17">
        <v>0.40042035728226799</v>
      </c>
      <c r="O1297" s="17">
        <v>0.55864992340575503</v>
      </c>
    </row>
    <row r="1298" spans="2:15" x14ac:dyDescent="0.3">
      <c r="B1298" t="s">
        <v>382</v>
      </c>
      <c r="C1298" s="17">
        <v>0.130110515670013</v>
      </c>
      <c r="D1298" s="17">
        <v>0.108268309616564</v>
      </c>
      <c r="E1298" s="17">
        <v>0.154662220417906</v>
      </c>
      <c r="F1298" s="17"/>
      <c r="G1298" s="17">
        <v>9.1676057175703499E-2</v>
      </c>
      <c r="H1298" s="17">
        <v>0.15027227195307799</v>
      </c>
      <c r="I1298" s="17">
        <v>0.181015525513996</v>
      </c>
      <c r="J1298" s="17">
        <v>0.119235777915569</v>
      </c>
      <c r="K1298" s="17"/>
      <c r="L1298" s="17">
        <v>0.18780569711150699</v>
      </c>
      <c r="M1298" s="17">
        <v>0.168598418219854</v>
      </c>
      <c r="N1298" s="17">
        <v>8.8814998356819094E-2</v>
      </c>
      <c r="O1298" s="17">
        <v>6.1418605892234301E-2</v>
      </c>
    </row>
    <row r="1299" spans="2:15" x14ac:dyDescent="0.3">
      <c r="B1299" t="s">
        <v>142</v>
      </c>
      <c r="C1299" s="17">
        <v>2.6983104927789301E-2</v>
      </c>
      <c r="D1299" s="17">
        <v>1.7781381117353199E-2</v>
      </c>
      <c r="E1299" s="17">
        <v>3.72171675079251E-2</v>
      </c>
      <c r="F1299" s="17"/>
      <c r="G1299" s="17">
        <v>2.1091459318725001E-2</v>
      </c>
      <c r="H1299" s="17">
        <v>3.6437256434302998E-2</v>
      </c>
      <c r="I1299" s="17">
        <v>0</v>
      </c>
      <c r="J1299" s="17">
        <v>4.9670718445479697E-2</v>
      </c>
      <c r="K1299" s="17"/>
      <c r="L1299" s="17">
        <v>1.8111364411623702E-2</v>
      </c>
      <c r="M1299" s="17">
        <v>2.1845443217765499E-2</v>
      </c>
      <c r="N1299" s="17">
        <v>5.0667671062678998E-2</v>
      </c>
      <c r="O1299" s="17">
        <v>1.3654267828329E-2</v>
      </c>
    </row>
    <row r="1300" spans="2:15" x14ac:dyDescent="0.3">
      <c r="B1300" t="s">
        <v>384</v>
      </c>
      <c r="C1300" s="17">
        <v>0.84290637940219804</v>
      </c>
      <c r="D1300" s="17">
        <v>0.87395030926608297</v>
      </c>
      <c r="E1300" s="17">
        <v>0.80812061207416896</v>
      </c>
      <c r="F1300" s="17"/>
      <c r="G1300" s="17">
        <v>0.88723248350557105</v>
      </c>
      <c r="H1300" s="17">
        <v>0.81329047161261903</v>
      </c>
      <c r="I1300" s="17">
        <v>0.81898447448600398</v>
      </c>
      <c r="J1300" s="17">
        <v>0.83109350363895096</v>
      </c>
      <c r="K1300" s="17"/>
      <c r="L1300" s="17">
        <v>0.79408293847686895</v>
      </c>
      <c r="M1300" s="17">
        <v>0.80955613856238096</v>
      </c>
      <c r="N1300" s="17">
        <v>0.86051733058050195</v>
      </c>
      <c r="O1300" s="17">
        <v>0.92492712627943696</v>
      </c>
    </row>
    <row r="1301" spans="2:15" x14ac:dyDescent="0.3">
      <c r="C1301" s="17"/>
      <c r="D1301" s="17"/>
      <c r="E1301" s="17"/>
      <c r="F1301" s="17"/>
      <c r="G1301" s="17"/>
      <c r="H1301" s="17"/>
      <c r="I1301" s="17"/>
      <c r="J1301" s="17"/>
      <c r="K1301" s="17"/>
      <c r="L1301" s="17"/>
      <c r="M1301" s="17"/>
      <c r="N1301" s="17"/>
      <c r="O1301" s="17"/>
    </row>
    <row r="1302" spans="2:15" x14ac:dyDescent="0.3">
      <c r="B1302" s="6" t="s">
        <v>422</v>
      </c>
      <c r="C1302" s="17"/>
      <c r="D1302" s="17"/>
      <c r="E1302" s="17"/>
      <c r="F1302" s="17"/>
      <c r="G1302" s="17"/>
      <c r="H1302" s="17"/>
      <c r="I1302" s="17"/>
      <c r="J1302" s="17"/>
      <c r="K1302" s="17"/>
      <c r="L1302" s="17"/>
      <c r="M1302" s="17"/>
      <c r="N1302" s="17"/>
      <c r="O1302" s="17"/>
    </row>
    <row r="1303" spans="2:15" x14ac:dyDescent="0.3">
      <c r="B1303" s="23" t="s">
        <v>318</v>
      </c>
      <c r="C1303" s="17"/>
      <c r="D1303" s="17"/>
      <c r="E1303" s="17"/>
      <c r="F1303" s="17"/>
      <c r="G1303" s="17"/>
      <c r="H1303" s="17"/>
      <c r="I1303" s="17"/>
      <c r="J1303" s="17"/>
      <c r="K1303" s="17"/>
      <c r="L1303" s="17"/>
      <c r="M1303" s="17"/>
      <c r="N1303" s="17"/>
      <c r="O1303" s="17"/>
    </row>
    <row r="1304" spans="2:15" x14ac:dyDescent="0.3">
      <c r="B1304" t="s">
        <v>380</v>
      </c>
      <c r="C1304" s="17">
        <v>0.3637006219142</v>
      </c>
      <c r="D1304" s="17">
        <v>0.41138639026247098</v>
      </c>
      <c r="E1304" s="17">
        <v>0.31263939352938103</v>
      </c>
      <c r="F1304" s="17"/>
      <c r="G1304" s="17">
        <v>0.451116247889703</v>
      </c>
      <c r="H1304" s="17">
        <v>0.31211333582012502</v>
      </c>
      <c r="I1304" s="17">
        <v>0.32609296727793202</v>
      </c>
      <c r="J1304" s="17">
        <v>0.32057704851858199</v>
      </c>
      <c r="K1304" s="17"/>
      <c r="L1304" s="17">
        <v>0.326022605962769</v>
      </c>
      <c r="M1304" s="17">
        <v>0.403012210506077</v>
      </c>
      <c r="N1304" s="17">
        <v>0.40065737344505797</v>
      </c>
      <c r="O1304" s="17">
        <v>0.30930482776014501</v>
      </c>
    </row>
    <row r="1305" spans="2:15" x14ac:dyDescent="0.3">
      <c r="B1305" t="s">
        <v>381</v>
      </c>
      <c r="C1305" s="17">
        <v>0.502222964761594</v>
      </c>
      <c r="D1305" s="17">
        <v>0.47064419055130102</v>
      </c>
      <c r="E1305" s="17">
        <v>0.53502963731952402</v>
      </c>
      <c r="F1305" s="17"/>
      <c r="G1305" s="17">
        <v>0.44110030458508198</v>
      </c>
      <c r="H1305" s="17">
        <v>0.53623953154431803</v>
      </c>
      <c r="I1305" s="17">
        <v>0.54051048133317803</v>
      </c>
      <c r="J1305" s="17">
        <v>0.52444768973328804</v>
      </c>
      <c r="K1305" s="17"/>
      <c r="L1305" s="17">
        <v>0.49033411780498498</v>
      </c>
      <c r="M1305" s="17">
        <v>0.43073869270860499</v>
      </c>
      <c r="N1305" s="17">
        <v>0.49327646908591</v>
      </c>
      <c r="O1305" s="17">
        <v>0.62428313177264405</v>
      </c>
    </row>
    <row r="1306" spans="2:15" x14ac:dyDescent="0.3">
      <c r="B1306" t="s">
        <v>382</v>
      </c>
      <c r="C1306" s="17">
        <v>0.10831302458478401</v>
      </c>
      <c r="D1306" s="17">
        <v>9.8040959970096195E-2</v>
      </c>
      <c r="E1306" s="17">
        <v>0.12004410255706099</v>
      </c>
      <c r="F1306" s="17"/>
      <c r="G1306" s="17">
        <v>8.66919882064906E-2</v>
      </c>
      <c r="H1306" s="17">
        <v>0.120106403846716</v>
      </c>
      <c r="I1306" s="17">
        <v>0.105598238704875</v>
      </c>
      <c r="J1306" s="17">
        <v>0.13044519928443499</v>
      </c>
      <c r="K1306" s="17"/>
      <c r="L1306" s="17">
        <v>0.143374262113488</v>
      </c>
      <c r="M1306" s="17">
        <v>0.158859707206358</v>
      </c>
      <c r="N1306" s="17">
        <v>7.7715895060757004E-2</v>
      </c>
      <c r="O1306" s="17">
        <v>3.7543174185535301E-2</v>
      </c>
    </row>
    <row r="1307" spans="2:15" x14ac:dyDescent="0.3">
      <c r="B1307" t="s">
        <v>142</v>
      </c>
      <c r="C1307" s="17">
        <v>2.5763388739422501E-2</v>
      </c>
      <c r="D1307" s="17">
        <v>1.9928459216132399E-2</v>
      </c>
      <c r="E1307" s="17">
        <v>3.2286866594034097E-2</v>
      </c>
      <c r="F1307" s="17"/>
      <c r="G1307" s="17">
        <v>2.1091459318725001E-2</v>
      </c>
      <c r="H1307" s="17">
        <v>3.1540728788841198E-2</v>
      </c>
      <c r="I1307" s="17">
        <v>2.7798312684014899E-2</v>
      </c>
      <c r="J1307" s="17">
        <v>2.4530062463694501E-2</v>
      </c>
      <c r="K1307" s="17"/>
      <c r="L1307" s="17">
        <v>4.0269014118757503E-2</v>
      </c>
      <c r="M1307" s="17">
        <v>7.38938957896027E-3</v>
      </c>
      <c r="N1307" s="17">
        <v>2.8350262408275099E-2</v>
      </c>
      <c r="O1307" s="17">
        <v>2.8868866281675998E-2</v>
      </c>
    </row>
    <row r="1308" spans="2:15" x14ac:dyDescent="0.3">
      <c r="B1308" t="s">
        <v>384</v>
      </c>
      <c r="C1308" s="17">
        <v>0.86592358667579405</v>
      </c>
      <c r="D1308" s="17">
        <v>0.88203058081377095</v>
      </c>
      <c r="E1308" s="17">
        <v>0.84766903084890499</v>
      </c>
      <c r="F1308" s="17"/>
      <c r="G1308" s="17">
        <v>0.89221655247478404</v>
      </c>
      <c r="H1308" s="17">
        <v>0.84835286736444304</v>
      </c>
      <c r="I1308" s="17">
        <v>0.86660344861111005</v>
      </c>
      <c r="J1308" s="17">
        <v>0.84502473825186997</v>
      </c>
      <c r="K1308" s="17"/>
      <c r="L1308" s="17">
        <v>0.81635672376775403</v>
      </c>
      <c r="M1308" s="17">
        <v>0.83375090321468204</v>
      </c>
      <c r="N1308" s="17">
        <v>0.89393384253096797</v>
      </c>
      <c r="O1308" s="17">
        <v>0.93358795953278895</v>
      </c>
    </row>
    <row r="1309" spans="2:15" x14ac:dyDescent="0.3">
      <c r="C1309" s="17"/>
      <c r="D1309" s="17"/>
      <c r="E1309" s="17"/>
      <c r="F1309" s="17"/>
      <c r="G1309" s="17"/>
      <c r="H1309" s="17"/>
      <c r="I1309" s="17"/>
      <c r="J1309" s="17"/>
      <c r="K1309" s="17"/>
      <c r="L1309" s="17"/>
      <c r="M1309" s="17"/>
      <c r="N1309" s="17"/>
      <c r="O1309" s="17"/>
    </row>
    <row r="1310" spans="2:15" x14ac:dyDescent="0.3">
      <c r="B1310" s="6" t="s">
        <v>423</v>
      </c>
      <c r="C1310" s="17"/>
      <c r="D1310" s="17"/>
      <c r="E1310" s="17"/>
      <c r="F1310" s="17"/>
      <c r="G1310" s="17"/>
      <c r="H1310" s="17"/>
      <c r="I1310" s="17"/>
      <c r="J1310" s="17"/>
      <c r="K1310" s="17"/>
      <c r="L1310" s="17"/>
      <c r="M1310" s="17"/>
      <c r="N1310" s="17"/>
      <c r="O1310" s="17"/>
    </row>
    <row r="1311" spans="2:15" x14ac:dyDescent="0.3">
      <c r="B1311" s="23" t="s">
        <v>318</v>
      </c>
      <c r="C1311" s="17"/>
      <c r="D1311" s="17"/>
      <c r="E1311" s="17"/>
      <c r="F1311" s="17"/>
      <c r="G1311" s="17"/>
      <c r="H1311" s="17"/>
      <c r="I1311" s="17"/>
      <c r="J1311" s="17"/>
      <c r="K1311" s="17"/>
      <c r="L1311" s="17"/>
      <c r="M1311" s="17"/>
      <c r="N1311" s="17"/>
      <c r="O1311" s="17"/>
    </row>
    <row r="1312" spans="2:15" x14ac:dyDescent="0.3">
      <c r="B1312" t="s">
        <v>380</v>
      </c>
      <c r="C1312" s="17">
        <v>0.45212426933757699</v>
      </c>
      <c r="D1312" s="17">
        <v>0.55830060982567598</v>
      </c>
      <c r="E1312" s="17">
        <v>0.33702967579443299</v>
      </c>
      <c r="F1312" s="17"/>
      <c r="G1312" s="17">
        <v>0.54302610160611697</v>
      </c>
      <c r="H1312" s="17">
        <v>0.40343291489912703</v>
      </c>
      <c r="I1312" s="17">
        <v>0.45302677698902</v>
      </c>
      <c r="J1312" s="17">
        <v>0.36661219625812302</v>
      </c>
      <c r="K1312" s="17"/>
      <c r="L1312" s="17">
        <v>0.43771549307459301</v>
      </c>
      <c r="M1312" s="17">
        <v>0.46956727118814101</v>
      </c>
      <c r="N1312" s="17">
        <v>0.53184855979068202</v>
      </c>
      <c r="O1312" s="17">
        <v>0.341647362403037</v>
      </c>
    </row>
    <row r="1313" spans="2:15" x14ac:dyDescent="0.3">
      <c r="B1313" t="s">
        <v>381</v>
      </c>
      <c r="C1313" s="17">
        <v>0.47294464424866001</v>
      </c>
      <c r="D1313" s="17">
        <v>0.38466345151591502</v>
      </c>
      <c r="E1313" s="17">
        <v>0.56804838927435297</v>
      </c>
      <c r="F1313" s="17"/>
      <c r="G1313" s="17">
        <v>0.37869112643691599</v>
      </c>
      <c r="H1313" s="17">
        <v>0.50124611669540298</v>
      </c>
      <c r="I1313" s="17">
        <v>0.50496188669688502</v>
      </c>
      <c r="J1313" s="17">
        <v>0.55595621043008503</v>
      </c>
      <c r="K1313" s="17"/>
      <c r="L1313" s="17">
        <v>0.494621922116185</v>
      </c>
      <c r="M1313" s="17">
        <v>0.43317956144580699</v>
      </c>
      <c r="N1313" s="17">
        <v>0.40969062163599801</v>
      </c>
      <c r="O1313" s="17">
        <v>0.58249638735437403</v>
      </c>
    </row>
    <row r="1314" spans="2:15" x14ac:dyDescent="0.3">
      <c r="B1314" t="s">
        <v>382</v>
      </c>
      <c r="C1314" s="17">
        <v>6.1423909071850198E-2</v>
      </c>
      <c r="D1314" s="17">
        <v>5.1708540350985301E-2</v>
      </c>
      <c r="E1314" s="17">
        <v>7.2358381072698194E-2</v>
      </c>
      <c r="F1314" s="17"/>
      <c r="G1314" s="17">
        <v>6.5768355557594693E-2</v>
      </c>
      <c r="H1314" s="17">
        <v>6.6460881894968293E-2</v>
      </c>
      <c r="I1314" s="17">
        <v>4.20113363140944E-2</v>
      </c>
      <c r="J1314" s="17">
        <v>6.7514678558898797E-2</v>
      </c>
      <c r="K1314" s="17"/>
      <c r="L1314" s="17">
        <v>5.6658128917895997E-2</v>
      </c>
      <c r="M1314" s="17">
        <v>8.0959968056651205E-2</v>
      </c>
      <c r="N1314" s="17">
        <v>4.3299042568888099E-2</v>
      </c>
      <c r="O1314" s="17">
        <v>6.5140982454464799E-2</v>
      </c>
    </row>
    <row r="1315" spans="2:15" x14ac:dyDescent="0.3">
      <c r="B1315" t="s">
        <v>142</v>
      </c>
      <c r="C1315" s="17">
        <v>1.35071773419121E-2</v>
      </c>
      <c r="D1315" s="17">
        <v>5.3273983074233399E-3</v>
      </c>
      <c r="E1315" s="17">
        <v>2.25635538585152E-2</v>
      </c>
      <c r="F1315" s="17"/>
      <c r="G1315" s="17">
        <v>1.2514416399372201E-2</v>
      </c>
      <c r="H1315" s="17">
        <v>2.88600865105017E-2</v>
      </c>
      <c r="I1315" s="17">
        <v>0</v>
      </c>
      <c r="J1315" s="17">
        <v>9.9169147528938208E-3</v>
      </c>
      <c r="K1315" s="17"/>
      <c r="L1315" s="17">
        <v>1.10044558913267E-2</v>
      </c>
      <c r="M1315" s="17">
        <v>1.6293199309400298E-2</v>
      </c>
      <c r="N1315" s="17">
        <v>1.5161776004432401E-2</v>
      </c>
      <c r="O1315" s="17">
        <v>1.0715267788124899E-2</v>
      </c>
    </row>
    <row r="1316" spans="2:15" x14ac:dyDescent="0.3">
      <c r="B1316" t="s">
        <v>384</v>
      </c>
      <c r="C1316" s="17">
        <v>0.925068913586238</v>
      </c>
      <c r="D1316" s="17">
        <v>0.94296406134159105</v>
      </c>
      <c r="E1316" s="17">
        <v>0.90507806506878696</v>
      </c>
      <c r="F1316" s="17"/>
      <c r="G1316" s="17">
        <v>0.92171722804303302</v>
      </c>
      <c r="H1316" s="17">
        <v>0.90467903159453</v>
      </c>
      <c r="I1316" s="17">
        <v>0.95798866368590596</v>
      </c>
      <c r="J1316" s="17">
        <v>0.92256840668820705</v>
      </c>
      <c r="K1316" s="17"/>
      <c r="L1316" s="17">
        <v>0.93233741519077695</v>
      </c>
      <c r="M1316" s="17">
        <v>0.90274683263394895</v>
      </c>
      <c r="N1316" s="17">
        <v>0.94153918142667903</v>
      </c>
      <c r="O1316" s="17">
        <v>0.92414374975740998</v>
      </c>
    </row>
    <row r="1317" spans="2:15" x14ac:dyDescent="0.3">
      <c r="C1317" s="17"/>
      <c r="D1317" s="17"/>
      <c r="E1317" s="17"/>
      <c r="F1317" s="17"/>
      <c r="G1317" s="17"/>
      <c r="H1317" s="17"/>
      <c r="I1317" s="17"/>
      <c r="J1317" s="17"/>
      <c r="K1317" s="17"/>
      <c r="L1317" s="17"/>
      <c r="M1317" s="17"/>
      <c r="N1317" s="17"/>
      <c r="O1317" s="17"/>
    </row>
    <row r="1318" spans="2:15" x14ac:dyDescent="0.3">
      <c r="B1318" s="6" t="s">
        <v>424</v>
      </c>
      <c r="C1318" s="17"/>
      <c r="D1318" s="17"/>
      <c r="E1318" s="17"/>
      <c r="F1318" s="17"/>
      <c r="G1318" s="17"/>
      <c r="H1318" s="17"/>
      <c r="I1318" s="17"/>
      <c r="J1318" s="17"/>
      <c r="K1318" s="17"/>
      <c r="L1318" s="17"/>
      <c r="M1318" s="17"/>
      <c r="N1318" s="17"/>
      <c r="O1318" s="17"/>
    </row>
    <row r="1319" spans="2:15" x14ac:dyDescent="0.3">
      <c r="B1319" s="23" t="s">
        <v>318</v>
      </c>
      <c r="C1319" s="17"/>
      <c r="D1319" s="17"/>
      <c r="E1319" s="17"/>
      <c r="F1319" s="17"/>
      <c r="G1319" s="17"/>
      <c r="H1319" s="17"/>
      <c r="I1319" s="17"/>
      <c r="J1319" s="17"/>
      <c r="K1319" s="17"/>
      <c r="L1319" s="17"/>
      <c r="M1319" s="17"/>
      <c r="N1319" s="17"/>
      <c r="O1319" s="17"/>
    </row>
    <row r="1320" spans="2:15" x14ac:dyDescent="0.3">
      <c r="B1320" t="s">
        <v>380</v>
      </c>
      <c r="C1320" s="17">
        <v>0.40859964864491399</v>
      </c>
      <c r="D1320" s="17">
        <v>0.47014379967603098</v>
      </c>
      <c r="E1320" s="17">
        <v>0.33853959766747399</v>
      </c>
      <c r="F1320" s="17"/>
      <c r="G1320" s="17">
        <v>0.48670961068245699</v>
      </c>
      <c r="H1320" s="17">
        <v>0.33979227923629501</v>
      </c>
      <c r="I1320" s="17">
        <v>0.38882274246908799</v>
      </c>
      <c r="J1320" s="17">
        <v>0.38309031182615499</v>
      </c>
      <c r="K1320" s="17"/>
      <c r="L1320" s="17">
        <v>0.41412635515331297</v>
      </c>
      <c r="M1320" s="17">
        <v>0.41292735159314498</v>
      </c>
      <c r="N1320" s="17">
        <v>0.417596515501579</v>
      </c>
      <c r="O1320" s="17">
        <v>0.384090516101875</v>
      </c>
    </row>
    <row r="1321" spans="2:15" x14ac:dyDescent="0.3">
      <c r="B1321" t="s">
        <v>381</v>
      </c>
      <c r="C1321" s="17">
        <v>0.43552888110860499</v>
      </c>
      <c r="D1321" s="17">
        <v>0.39932827615513999</v>
      </c>
      <c r="E1321" s="17">
        <v>0.47708232134779199</v>
      </c>
      <c r="F1321" s="17"/>
      <c r="G1321" s="17">
        <v>0.39213104159947798</v>
      </c>
      <c r="H1321" s="17">
        <v>0.49992259383695697</v>
      </c>
      <c r="I1321" s="17">
        <v>0.44588261619442598</v>
      </c>
      <c r="J1321" s="17">
        <v>0.421690328996915</v>
      </c>
      <c r="K1321" s="17"/>
      <c r="L1321" s="17">
        <v>0.46737345668162</v>
      </c>
      <c r="M1321" s="17">
        <v>0.38024902943543498</v>
      </c>
      <c r="N1321" s="17">
        <v>0.42002478006419303</v>
      </c>
      <c r="O1321" s="17">
        <v>0.49022922768661498</v>
      </c>
    </row>
    <row r="1322" spans="2:15" x14ac:dyDescent="0.3">
      <c r="B1322" t="s">
        <v>382</v>
      </c>
      <c r="C1322" s="17">
        <v>0.14489460550997399</v>
      </c>
      <c r="D1322" s="17">
        <v>0.11672114928437199</v>
      </c>
      <c r="E1322" s="17">
        <v>0.176473033477655</v>
      </c>
      <c r="F1322" s="17"/>
      <c r="G1322" s="17">
        <v>0.101994944431912</v>
      </c>
      <c r="H1322" s="17">
        <v>0.16028512692674801</v>
      </c>
      <c r="I1322" s="17">
        <v>0.15347881985848799</v>
      </c>
      <c r="J1322" s="17">
        <v>0.18451550765937599</v>
      </c>
      <c r="K1322" s="17"/>
      <c r="L1322" s="17">
        <v>0.11850018816506599</v>
      </c>
      <c r="M1322" s="17">
        <v>0.19943422939246</v>
      </c>
      <c r="N1322" s="17">
        <v>0.12908762176994601</v>
      </c>
      <c r="O1322" s="17">
        <v>0.12568025621150999</v>
      </c>
    </row>
    <row r="1323" spans="2:15" x14ac:dyDescent="0.3">
      <c r="B1323" t="s">
        <v>142</v>
      </c>
      <c r="C1323" s="17">
        <v>1.0976864736507301E-2</v>
      </c>
      <c r="D1323" s="17">
        <v>1.3806774884457E-2</v>
      </c>
      <c r="E1323" s="17">
        <v>7.9050475070796804E-3</v>
      </c>
      <c r="F1323" s="17"/>
      <c r="G1323" s="17">
        <v>1.91644032861529E-2</v>
      </c>
      <c r="H1323" s="17">
        <v>0</v>
      </c>
      <c r="I1323" s="17">
        <v>1.18158214779983E-2</v>
      </c>
      <c r="J1323" s="17">
        <v>1.0703851517554E-2</v>
      </c>
      <c r="K1323" s="17"/>
      <c r="L1323" s="17">
        <v>0</v>
      </c>
      <c r="M1323" s="17">
        <v>7.38938957896027E-3</v>
      </c>
      <c r="N1323" s="17">
        <v>3.3291082664281699E-2</v>
      </c>
      <c r="O1323" s="17">
        <v>0</v>
      </c>
    </row>
    <row r="1324" spans="2:15" x14ac:dyDescent="0.3">
      <c r="B1324" t="s">
        <v>384</v>
      </c>
      <c r="C1324" s="17">
        <v>0.84412852975351804</v>
      </c>
      <c r="D1324" s="17">
        <v>0.86947207583117103</v>
      </c>
      <c r="E1324" s="17">
        <v>0.81562191901526604</v>
      </c>
      <c r="F1324" s="17"/>
      <c r="G1324" s="17">
        <v>0.87884065228193498</v>
      </c>
      <c r="H1324" s="17">
        <v>0.83971487307325199</v>
      </c>
      <c r="I1324" s="17">
        <v>0.83470535866351403</v>
      </c>
      <c r="J1324" s="17">
        <v>0.80478064082306999</v>
      </c>
      <c r="K1324" s="17"/>
      <c r="L1324" s="17">
        <v>0.88149981183493398</v>
      </c>
      <c r="M1324" s="17">
        <v>0.79317638102858001</v>
      </c>
      <c r="N1324" s="17">
        <v>0.83762129556577203</v>
      </c>
      <c r="O1324" s="17">
        <v>0.87431974378848998</v>
      </c>
    </row>
    <row r="1325" spans="2:15" x14ac:dyDescent="0.3">
      <c r="C1325" s="17"/>
      <c r="D1325" s="17"/>
      <c r="E1325" s="17"/>
      <c r="F1325" s="17"/>
      <c r="G1325" s="17"/>
      <c r="H1325" s="17"/>
      <c r="I1325" s="17"/>
      <c r="J1325" s="17"/>
      <c r="K1325" s="17"/>
      <c r="L1325" s="17"/>
      <c r="M1325" s="17"/>
      <c r="N1325" s="17"/>
      <c r="O1325" s="17"/>
    </row>
    <row r="1326" spans="2:15" x14ac:dyDescent="0.3">
      <c r="B1326" s="6" t="s">
        <v>432</v>
      </c>
      <c r="C1326" s="17"/>
      <c r="D1326" s="17"/>
      <c r="E1326" s="17"/>
      <c r="F1326" s="17"/>
      <c r="G1326" s="17"/>
      <c r="H1326" s="17"/>
      <c r="I1326" s="17"/>
      <c r="J1326" s="17"/>
      <c r="K1326" s="17"/>
      <c r="L1326" s="17"/>
      <c r="M1326" s="17"/>
      <c r="N1326" s="17"/>
      <c r="O1326" s="17"/>
    </row>
    <row r="1327" spans="2:15" x14ac:dyDescent="0.3">
      <c r="B1327" s="23" t="s">
        <v>318</v>
      </c>
      <c r="C1327" s="17"/>
      <c r="D1327" s="17"/>
      <c r="E1327" s="17"/>
      <c r="F1327" s="17"/>
      <c r="G1327" s="17"/>
      <c r="H1327" s="17"/>
      <c r="I1327" s="17"/>
      <c r="J1327" s="17"/>
      <c r="K1327" s="17"/>
      <c r="L1327" s="17"/>
      <c r="M1327" s="17"/>
      <c r="N1327" s="17"/>
      <c r="O1327" s="17"/>
    </row>
    <row r="1328" spans="2:15" x14ac:dyDescent="0.3">
      <c r="B1328" t="s">
        <v>380</v>
      </c>
      <c r="C1328" s="17">
        <v>0.271463137273043</v>
      </c>
      <c r="D1328" s="17">
        <v>0.31253083562278799</v>
      </c>
      <c r="E1328" s="17">
        <v>0.22732469323123899</v>
      </c>
      <c r="F1328" s="17"/>
      <c r="G1328" s="17">
        <v>0.34984797467884898</v>
      </c>
      <c r="H1328" s="17">
        <v>0.226550583664517</v>
      </c>
      <c r="I1328" s="17">
        <v>0.22492393685082401</v>
      </c>
      <c r="J1328" s="17">
        <v>0.24122063981545999</v>
      </c>
      <c r="K1328" s="17"/>
      <c r="L1328" s="17">
        <v>0.22168246777366499</v>
      </c>
      <c r="M1328" s="17">
        <v>0.25709775063916801</v>
      </c>
      <c r="N1328" s="17">
        <v>0.32574975421497099</v>
      </c>
      <c r="O1328" s="17">
        <v>0.280970732364272</v>
      </c>
    </row>
    <row r="1329" spans="2:15" x14ac:dyDescent="0.3">
      <c r="B1329" t="s">
        <v>381</v>
      </c>
      <c r="C1329" s="17">
        <v>0.49354258484493302</v>
      </c>
      <c r="D1329" s="17">
        <v>0.50079386286670002</v>
      </c>
      <c r="E1329" s="17">
        <v>0.48357530937105803</v>
      </c>
      <c r="F1329" s="17"/>
      <c r="G1329" s="17">
        <v>0.487935332101116</v>
      </c>
      <c r="H1329" s="17">
        <v>0.51059532175292</v>
      </c>
      <c r="I1329" s="17">
        <v>0.62107269198687598</v>
      </c>
      <c r="J1329" s="17">
        <v>0.372127900840036</v>
      </c>
      <c r="K1329" s="17"/>
      <c r="L1329" s="17">
        <v>0.55041347913761596</v>
      </c>
      <c r="M1329" s="17">
        <v>0.47501718576497498</v>
      </c>
      <c r="N1329" s="17">
        <v>0.48641580935265599</v>
      </c>
      <c r="O1329" s="17">
        <v>0.45699734762177102</v>
      </c>
    </row>
    <row r="1330" spans="2:15" x14ac:dyDescent="0.3">
      <c r="B1330" t="s">
        <v>382</v>
      </c>
      <c r="C1330" s="17">
        <v>0.19005799501774601</v>
      </c>
      <c r="D1330" s="17">
        <v>0.150009384580955</v>
      </c>
      <c r="E1330" s="17">
        <v>0.23488439406703701</v>
      </c>
      <c r="F1330" s="17"/>
      <c r="G1330" s="17">
        <v>0.123449923577425</v>
      </c>
      <c r="H1330" s="17">
        <v>0.217579593073816</v>
      </c>
      <c r="I1330" s="17">
        <v>0.124009681739775</v>
      </c>
      <c r="J1330" s="17">
        <v>0.318984293613645</v>
      </c>
      <c r="K1330" s="17"/>
      <c r="L1330" s="17">
        <v>0.21407310973479299</v>
      </c>
      <c r="M1330" s="17">
        <v>0.23011024376199299</v>
      </c>
      <c r="N1330" s="17">
        <v>0.136191472768975</v>
      </c>
      <c r="O1330" s="17">
        <v>0.17770784809523901</v>
      </c>
    </row>
    <row r="1331" spans="2:15" x14ac:dyDescent="0.3">
      <c r="B1331" t="s">
        <v>142</v>
      </c>
      <c r="C1331" s="17">
        <v>4.4936282864278997E-2</v>
      </c>
      <c r="D1331" s="17">
        <v>3.66659169295575E-2</v>
      </c>
      <c r="E1331" s="17">
        <v>5.4215603330666301E-2</v>
      </c>
      <c r="F1331" s="17"/>
      <c r="G1331" s="17">
        <v>3.8766769642610201E-2</v>
      </c>
      <c r="H1331" s="17">
        <v>4.5274501508746998E-2</v>
      </c>
      <c r="I1331" s="17">
        <v>2.9993689422525002E-2</v>
      </c>
      <c r="J1331" s="17">
        <v>6.7667165730858903E-2</v>
      </c>
      <c r="K1331" s="17"/>
      <c r="L1331" s="17">
        <v>1.38309433539266E-2</v>
      </c>
      <c r="M1331" s="17">
        <v>3.7774819833863903E-2</v>
      </c>
      <c r="N1331" s="17">
        <v>5.1642963663398302E-2</v>
      </c>
      <c r="O1331" s="17">
        <v>8.43240719187177E-2</v>
      </c>
    </row>
    <row r="1332" spans="2:15" x14ac:dyDescent="0.3">
      <c r="B1332" t="s">
        <v>384</v>
      </c>
      <c r="C1332" s="17">
        <v>0.76500572211797502</v>
      </c>
      <c r="D1332" s="17">
        <v>0.81332469848948796</v>
      </c>
      <c r="E1332" s="17">
        <v>0.71090000260229702</v>
      </c>
      <c r="F1332" s="17"/>
      <c r="G1332" s="17">
        <v>0.83778330677996504</v>
      </c>
      <c r="H1332" s="17">
        <v>0.73714590541743696</v>
      </c>
      <c r="I1332" s="17">
        <v>0.84599662883769999</v>
      </c>
      <c r="J1332" s="17">
        <v>0.61334854065549604</v>
      </c>
      <c r="K1332" s="17"/>
      <c r="L1332" s="17">
        <v>0.77209594691128003</v>
      </c>
      <c r="M1332" s="17">
        <v>0.73211493640414305</v>
      </c>
      <c r="N1332" s="17">
        <v>0.81216556356762704</v>
      </c>
      <c r="O1332" s="17">
        <v>0.73796807998604297</v>
      </c>
    </row>
    <row r="1333" spans="2:15" x14ac:dyDescent="0.3">
      <c r="C1333" s="17"/>
      <c r="D1333" s="17"/>
      <c r="E1333" s="17"/>
      <c r="F1333" s="17"/>
      <c r="G1333" s="17"/>
      <c r="H1333" s="17"/>
      <c r="I1333" s="17"/>
      <c r="J1333" s="17"/>
      <c r="K1333" s="17"/>
      <c r="L1333" s="17"/>
      <c r="M1333" s="17"/>
      <c r="N1333" s="17"/>
      <c r="O1333" s="17"/>
    </row>
    <row r="1334" spans="2:15" x14ac:dyDescent="0.3">
      <c r="B1334" s="6" t="s">
        <v>433</v>
      </c>
      <c r="C1334" s="17"/>
      <c r="D1334" s="17"/>
      <c r="E1334" s="17"/>
      <c r="F1334" s="17"/>
      <c r="G1334" s="17"/>
      <c r="H1334" s="17"/>
      <c r="I1334" s="17"/>
      <c r="J1334" s="17"/>
      <c r="K1334" s="17"/>
      <c r="L1334" s="17"/>
      <c r="M1334" s="17"/>
      <c r="N1334" s="17"/>
      <c r="O1334" s="17"/>
    </row>
    <row r="1335" spans="2:15" x14ac:dyDescent="0.3">
      <c r="B1335" s="23" t="s">
        <v>318</v>
      </c>
      <c r="C1335" s="17"/>
      <c r="D1335" s="17"/>
      <c r="E1335" s="17"/>
      <c r="F1335" s="17"/>
      <c r="G1335" s="17"/>
      <c r="H1335" s="17"/>
      <c r="I1335" s="17"/>
      <c r="J1335" s="17"/>
      <c r="K1335" s="17"/>
      <c r="L1335" s="17"/>
      <c r="M1335" s="17"/>
      <c r="N1335" s="17"/>
      <c r="O1335" s="17"/>
    </row>
    <row r="1336" spans="2:15" x14ac:dyDescent="0.3">
      <c r="B1336" t="s">
        <v>380</v>
      </c>
      <c r="C1336" s="17">
        <v>0.22521296551155301</v>
      </c>
      <c r="D1336" s="17">
        <v>0.242456823094754</v>
      </c>
      <c r="E1336" s="17">
        <v>0.20711587233137899</v>
      </c>
      <c r="F1336" s="17"/>
      <c r="G1336" s="17">
        <v>0.256807619353424</v>
      </c>
      <c r="H1336" s="17">
        <v>0.20958714097741299</v>
      </c>
      <c r="I1336" s="17">
        <v>0.241222898424474</v>
      </c>
      <c r="J1336" s="17">
        <v>0.17368161383720501</v>
      </c>
      <c r="K1336" s="17"/>
      <c r="L1336" s="17">
        <v>0.246211772559908</v>
      </c>
      <c r="M1336" s="17">
        <v>0.18510380833998399</v>
      </c>
      <c r="N1336" s="17">
        <v>0.237111040568038</v>
      </c>
      <c r="O1336" s="17">
        <v>0.23700930585753999</v>
      </c>
    </row>
    <row r="1337" spans="2:15" x14ac:dyDescent="0.3">
      <c r="B1337" t="s">
        <v>381</v>
      </c>
      <c r="C1337" s="17">
        <v>0.443356147573294</v>
      </c>
      <c r="D1337" s="17">
        <v>0.46768467082383403</v>
      </c>
      <c r="E1337" s="17">
        <v>0.41439530750092102</v>
      </c>
      <c r="F1337" s="17"/>
      <c r="G1337" s="17">
        <v>0.45704984347614203</v>
      </c>
      <c r="H1337" s="17">
        <v>0.432730207280698</v>
      </c>
      <c r="I1337" s="17">
        <v>0.48900402092861101</v>
      </c>
      <c r="J1337" s="17">
        <v>0.39849899851890802</v>
      </c>
      <c r="K1337" s="17"/>
      <c r="L1337" s="17">
        <v>0.45169006815464302</v>
      </c>
      <c r="M1337" s="17">
        <v>0.39287748454087001</v>
      </c>
      <c r="N1337" s="17">
        <v>0.47226498009137802</v>
      </c>
      <c r="O1337" s="17">
        <v>0.46232385577742202</v>
      </c>
    </row>
    <row r="1338" spans="2:15" x14ac:dyDescent="0.3">
      <c r="B1338" t="s">
        <v>382</v>
      </c>
      <c r="C1338" s="17">
        <v>0.26123061556300198</v>
      </c>
      <c r="D1338" s="17">
        <v>0.23432843250017901</v>
      </c>
      <c r="E1338" s="17">
        <v>0.29186592545669898</v>
      </c>
      <c r="F1338" s="17"/>
      <c r="G1338" s="17">
        <v>0.220281352638353</v>
      </c>
      <c r="H1338" s="17">
        <v>0.27465548206812501</v>
      </c>
      <c r="I1338" s="17">
        <v>0.21008514244040599</v>
      </c>
      <c r="J1338" s="17">
        <v>0.35551838124492702</v>
      </c>
      <c r="K1338" s="17"/>
      <c r="L1338" s="17">
        <v>0.24291516130268601</v>
      </c>
      <c r="M1338" s="17">
        <v>0.35708893479146703</v>
      </c>
      <c r="N1338" s="17">
        <v>0.217288308491458</v>
      </c>
      <c r="O1338" s="17">
        <v>0.213865286907479</v>
      </c>
    </row>
    <row r="1339" spans="2:15" x14ac:dyDescent="0.3">
      <c r="B1339" t="s">
        <v>142</v>
      </c>
      <c r="C1339" s="17">
        <v>7.0200271352150595E-2</v>
      </c>
      <c r="D1339" s="17">
        <v>5.5530073581233602E-2</v>
      </c>
      <c r="E1339" s="17">
        <v>8.6622894710999807E-2</v>
      </c>
      <c r="F1339" s="17"/>
      <c r="G1339" s="17">
        <v>6.5861184532080994E-2</v>
      </c>
      <c r="H1339" s="17">
        <v>8.3027169673764001E-2</v>
      </c>
      <c r="I1339" s="17">
        <v>5.9687938206508799E-2</v>
      </c>
      <c r="J1339" s="17">
        <v>7.2301006398960893E-2</v>
      </c>
      <c r="K1339" s="17"/>
      <c r="L1339" s="17">
        <v>5.91829979827624E-2</v>
      </c>
      <c r="M1339" s="17">
        <v>6.49297723276787E-2</v>
      </c>
      <c r="N1339" s="17">
        <v>7.33356708491264E-2</v>
      </c>
      <c r="O1339" s="17">
        <v>8.6801551457559203E-2</v>
      </c>
    </row>
    <row r="1340" spans="2:15" x14ac:dyDescent="0.3">
      <c r="B1340" t="s">
        <v>384</v>
      </c>
      <c r="C1340" s="17">
        <v>0.66856911308484701</v>
      </c>
      <c r="D1340" s="17">
        <v>0.71014149391858805</v>
      </c>
      <c r="E1340" s="17">
        <v>0.62151117983230098</v>
      </c>
      <c r="F1340" s="17"/>
      <c r="G1340" s="17">
        <v>0.71385746282956597</v>
      </c>
      <c r="H1340" s="17">
        <v>0.64231734825811104</v>
      </c>
      <c r="I1340" s="17">
        <v>0.73022691935308504</v>
      </c>
      <c r="J1340" s="17">
        <v>0.57218061235611295</v>
      </c>
      <c r="K1340" s="17"/>
      <c r="L1340" s="17">
        <v>0.69790184071455197</v>
      </c>
      <c r="M1340" s="17">
        <v>0.57798129288085498</v>
      </c>
      <c r="N1340" s="17">
        <v>0.70937602065941596</v>
      </c>
      <c r="O1340" s="17">
        <v>0.69933316163496195</v>
      </c>
    </row>
    <row r="1341" spans="2:15" x14ac:dyDescent="0.3">
      <c r="C1341" s="17"/>
      <c r="D1341" s="17"/>
      <c r="E1341" s="17"/>
      <c r="F1341" s="17"/>
      <c r="G1341" s="17"/>
      <c r="H1341" s="17"/>
      <c r="I1341" s="17"/>
      <c r="J1341" s="17"/>
      <c r="K1341" s="17"/>
      <c r="L1341" s="17"/>
      <c r="M1341" s="17"/>
      <c r="N1341" s="17"/>
      <c r="O1341" s="17"/>
    </row>
    <row r="1342" spans="2:15" x14ac:dyDescent="0.3">
      <c r="B1342" s="6" t="s">
        <v>434</v>
      </c>
      <c r="C1342" s="17"/>
      <c r="D1342" s="17"/>
      <c r="E1342" s="17"/>
      <c r="F1342" s="17"/>
      <c r="G1342" s="17"/>
      <c r="H1342" s="17"/>
      <c r="I1342" s="17"/>
      <c r="J1342" s="17"/>
      <c r="K1342" s="17"/>
      <c r="L1342" s="17"/>
      <c r="M1342" s="17"/>
      <c r="N1342" s="17"/>
      <c r="O1342" s="17"/>
    </row>
    <row r="1343" spans="2:15" x14ac:dyDescent="0.3">
      <c r="B1343" s="23" t="s">
        <v>318</v>
      </c>
      <c r="C1343" s="17"/>
      <c r="D1343" s="17"/>
      <c r="E1343" s="17"/>
      <c r="F1343" s="17"/>
      <c r="G1343" s="17"/>
      <c r="H1343" s="17"/>
      <c r="I1343" s="17"/>
      <c r="J1343" s="17"/>
      <c r="K1343" s="17"/>
      <c r="L1343" s="17"/>
      <c r="M1343" s="17"/>
      <c r="N1343" s="17"/>
      <c r="O1343" s="17"/>
    </row>
    <row r="1344" spans="2:15" x14ac:dyDescent="0.3">
      <c r="B1344" t="s">
        <v>380</v>
      </c>
      <c r="C1344" s="17">
        <v>9.6576325016618503E-2</v>
      </c>
      <c r="D1344" s="17">
        <v>0.10189436491286701</v>
      </c>
      <c r="E1344" s="17">
        <v>9.1101485760000406E-2</v>
      </c>
      <c r="F1344" s="17"/>
      <c r="G1344" s="17">
        <v>0.13386808202735401</v>
      </c>
      <c r="H1344" s="17">
        <v>9.3351653372340401E-2</v>
      </c>
      <c r="I1344" s="17">
        <v>9.8270126861843499E-2</v>
      </c>
      <c r="J1344" s="17">
        <v>4.4644563687384703E-2</v>
      </c>
      <c r="K1344" s="17"/>
      <c r="L1344" s="17">
        <v>7.2655900705097601E-2</v>
      </c>
      <c r="M1344" s="17">
        <v>9.2544443456663905E-2</v>
      </c>
      <c r="N1344" s="17">
        <v>0.10291307990409</v>
      </c>
      <c r="O1344" s="17">
        <v>0.123340862163589</v>
      </c>
    </row>
    <row r="1345" spans="2:15" x14ac:dyDescent="0.3">
      <c r="B1345" t="s">
        <v>381</v>
      </c>
      <c r="C1345" s="17">
        <v>0.297459925821626</v>
      </c>
      <c r="D1345" s="17">
        <v>0.28047847480141902</v>
      </c>
      <c r="E1345" s="17">
        <v>0.31339655747708101</v>
      </c>
      <c r="F1345" s="17"/>
      <c r="G1345" s="17">
        <v>0.27700267796552402</v>
      </c>
      <c r="H1345" s="17">
        <v>0.26048672603509099</v>
      </c>
      <c r="I1345" s="17">
        <v>0.37224368725498702</v>
      </c>
      <c r="J1345" s="17">
        <v>0.30503246032450299</v>
      </c>
      <c r="K1345" s="17"/>
      <c r="L1345" s="17">
        <v>0.31238641121459798</v>
      </c>
      <c r="M1345" s="17">
        <v>0.25913585766062902</v>
      </c>
      <c r="N1345" s="17">
        <v>0.306850826570784</v>
      </c>
      <c r="O1345" s="17">
        <v>0.31772380595379601</v>
      </c>
    </row>
    <row r="1346" spans="2:15" x14ac:dyDescent="0.3">
      <c r="B1346" t="s">
        <v>382</v>
      </c>
      <c r="C1346" s="17">
        <v>0.54551988016668396</v>
      </c>
      <c r="D1346" s="17">
        <v>0.568672660695695</v>
      </c>
      <c r="E1346" s="17">
        <v>0.52217483095112904</v>
      </c>
      <c r="F1346" s="17"/>
      <c r="G1346" s="17">
        <v>0.51928372017063396</v>
      </c>
      <c r="H1346" s="17">
        <v>0.59668251679361295</v>
      </c>
      <c r="I1346" s="17">
        <v>0.47184424024653299</v>
      </c>
      <c r="J1346" s="17">
        <v>0.58814315321880395</v>
      </c>
      <c r="K1346" s="17"/>
      <c r="L1346" s="17">
        <v>0.585217468879356</v>
      </c>
      <c r="M1346" s="17">
        <v>0.56796191359331605</v>
      </c>
      <c r="N1346" s="17">
        <v>0.549838261801741</v>
      </c>
      <c r="O1346" s="17">
        <v>0.46050818931741</v>
      </c>
    </row>
    <row r="1347" spans="2:15" x14ac:dyDescent="0.3">
      <c r="B1347" t="s">
        <v>142</v>
      </c>
      <c r="C1347" s="17">
        <v>6.0443868995071898E-2</v>
      </c>
      <c r="D1347" s="17">
        <v>4.89544995900194E-2</v>
      </c>
      <c r="E1347" s="17">
        <v>7.3327125811789406E-2</v>
      </c>
      <c r="F1347" s="17"/>
      <c r="G1347" s="17">
        <v>6.9845519836488595E-2</v>
      </c>
      <c r="H1347" s="17">
        <v>4.9479103798956002E-2</v>
      </c>
      <c r="I1347" s="17">
        <v>5.7641945636636202E-2</v>
      </c>
      <c r="J1347" s="17">
        <v>6.2179822769309202E-2</v>
      </c>
      <c r="K1347" s="17"/>
      <c r="L1347" s="17">
        <v>2.9740219200949099E-2</v>
      </c>
      <c r="M1347" s="17">
        <v>8.0357785289391206E-2</v>
      </c>
      <c r="N1347" s="17">
        <v>4.0397831723385E-2</v>
      </c>
      <c r="O1347" s="17">
        <v>9.8427142565203796E-2</v>
      </c>
    </row>
    <row r="1348" spans="2:15" x14ac:dyDescent="0.3">
      <c r="B1348" t="s">
        <v>384</v>
      </c>
      <c r="C1348" s="17">
        <v>0.39403625083824401</v>
      </c>
      <c r="D1348" s="17">
        <v>0.38237283971428598</v>
      </c>
      <c r="E1348" s="17">
        <v>0.40449804323708199</v>
      </c>
      <c r="F1348" s="17"/>
      <c r="G1348" s="17">
        <v>0.41087075999287698</v>
      </c>
      <c r="H1348" s="17">
        <v>0.35383837940743101</v>
      </c>
      <c r="I1348" s="17">
        <v>0.47051381411683002</v>
      </c>
      <c r="J1348" s="17">
        <v>0.34967702401188699</v>
      </c>
      <c r="K1348" s="17"/>
      <c r="L1348" s="17">
        <v>0.38504231191969501</v>
      </c>
      <c r="M1348" s="17">
        <v>0.35168030111729298</v>
      </c>
      <c r="N1348" s="17">
        <v>0.40976390647487398</v>
      </c>
      <c r="O1348" s="17">
        <v>0.44106466811738598</v>
      </c>
    </row>
    <row r="1349" spans="2:15" x14ac:dyDescent="0.3">
      <c r="C1349" s="17"/>
      <c r="D1349" s="17"/>
      <c r="E1349" s="17"/>
      <c r="F1349" s="17"/>
      <c r="G1349" s="17"/>
      <c r="H1349" s="17"/>
      <c r="I1349" s="17"/>
      <c r="J1349" s="17"/>
      <c r="K1349" s="17"/>
      <c r="L1349" s="17"/>
      <c r="M1349" s="17"/>
      <c r="N1349" s="17"/>
      <c r="O1349" s="17"/>
    </row>
    <row r="1350" spans="2:15" x14ac:dyDescent="0.3">
      <c r="B1350" s="6" t="s">
        <v>435</v>
      </c>
      <c r="C1350" s="17"/>
      <c r="D1350" s="17"/>
      <c r="E1350" s="17"/>
      <c r="F1350" s="17"/>
      <c r="G1350" s="17"/>
      <c r="H1350" s="17"/>
      <c r="I1350" s="17"/>
      <c r="J1350" s="17"/>
      <c r="K1350" s="17"/>
      <c r="L1350" s="17"/>
      <c r="M1350" s="17"/>
      <c r="N1350" s="17"/>
      <c r="O1350" s="17"/>
    </row>
    <row r="1351" spans="2:15" x14ac:dyDescent="0.3">
      <c r="B1351" s="23" t="s">
        <v>318</v>
      </c>
      <c r="C1351" s="17"/>
      <c r="D1351" s="17"/>
      <c r="E1351" s="17"/>
      <c r="F1351" s="17"/>
      <c r="G1351" s="17"/>
      <c r="H1351" s="17"/>
      <c r="I1351" s="17"/>
      <c r="J1351" s="17"/>
      <c r="K1351" s="17"/>
      <c r="L1351" s="17"/>
      <c r="M1351" s="17"/>
      <c r="N1351" s="17"/>
      <c r="O1351" s="17"/>
    </row>
    <row r="1352" spans="2:15" x14ac:dyDescent="0.3">
      <c r="B1352" t="s">
        <v>380</v>
      </c>
      <c r="C1352" s="17">
        <v>0.42607994767187701</v>
      </c>
      <c r="D1352" s="17">
        <v>0.42463715438480498</v>
      </c>
      <c r="E1352" s="17">
        <v>0.429338707241809</v>
      </c>
      <c r="F1352" s="17"/>
      <c r="G1352" s="17">
        <v>0.53463256612297505</v>
      </c>
      <c r="H1352" s="17">
        <v>0.38639362840114599</v>
      </c>
      <c r="I1352" s="17">
        <v>0.40076829423619198</v>
      </c>
      <c r="J1352" s="17">
        <v>0.327747406006972</v>
      </c>
      <c r="K1352" s="17"/>
      <c r="L1352" s="17">
        <v>0.40885232723652698</v>
      </c>
      <c r="M1352" s="17">
        <v>0.39236160889433402</v>
      </c>
      <c r="N1352" s="17">
        <v>0.47137206626852002</v>
      </c>
      <c r="O1352" s="17">
        <v>0.432834722209617</v>
      </c>
    </row>
    <row r="1353" spans="2:15" x14ac:dyDescent="0.3">
      <c r="B1353" t="s">
        <v>381</v>
      </c>
      <c r="C1353" s="17">
        <v>0.50069713206343203</v>
      </c>
      <c r="D1353" s="17">
        <v>0.51257854541565695</v>
      </c>
      <c r="E1353" s="17">
        <v>0.48566155908117298</v>
      </c>
      <c r="F1353" s="17"/>
      <c r="G1353" s="17">
        <v>0.42162770219710499</v>
      </c>
      <c r="H1353" s="17">
        <v>0.52957186221210795</v>
      </c>
      <c r="I1353" s="17">
        <v>0.53691090122155505</v>
      </c>
      <c r="J1353" s="17">
        <v>0.55712472242421396</v>
      </c>
      <c r="K1353" s="17"/>
      <c r="L1353" s="17">
        <v>0.54110334235701196</v>
      </c>
      <c r="M1353" s="17">
        <v>0.51993415573410195</v>
      </c>
      <c r="N1353" s="17">
        <v>0.44571650201789098</v>
      </c>
      <c r="O1353" s="17">
        <v>0.49724832208424902</v>
      </c>
    </row>
    <row r="1354" spans="2:15" x14ac:dyDescent="0.3">
      <c r="B1354" t="s">
        <v>382</v>
      </c>
      <c r="C1354" s="17">
        <v>6.3717757317331605E-2</v>
      </c>
      <c r="D1354" s="17">
        <v>5.2385580745412101E-2</v>
      </c>
      <c r="E1354" s="17">
        <v>7.64408304497914E-2</v>
      </c>
      <c r="F1354" s="17"/>
      <c r="G1354" s="17">
        <v>2.98095806080661E-2</v>
      </c>
      <c r="H1354" s="17">
        <v>7.3668488140392202E-2</v>
      </c>
      <c r="I1354" s="17">
        <v>5.0504983064254799E-2</v>
      </c>
      <c r="J1354" s="17">
        <v>0.115127871568814</v>
      </c>
      <c r="K1354" s="17"/>
      <c r="L1354" s="17">
        <v>3.98045812360623E-2</v>
      </c>
      <c r="M1354" s="17">
        <v>8.7704235371563397E-2</v>
      </c>
      <c r="N1354" s="17">
        <v>6.3215691333523394E-2</v>
      </c>
      <c r="O1354" s="17">
        <v>6.2059779644469799E-2</v>
      </c>
    </row>
    <row r="1355" spans="2:15" x14ac:dyDescent="0.3">
      <c r="B1355" t="s">
        <v>142</v>
      </c>
      <c r="C1355" s="17">
        <v>9.5051629473593205E-3</v>
      </c>
      <c r="D1355" s="17">
        <v>1.0398719454125601E-2</v>
      </c>
      <c r="E1355" s="17">
        <v>8.5589032272263398E-3</v>
      </c>
      <c r="F1355" s="17"/>
      <c r="G1355" s="17">
        <v>1.3930151071853599E-2</v>
      </c>
      <c r="H1355" s="17">
        <v>1.0366021246353999E-2</v>
      </c>
      <c r="I1355" s="17">
        <v>1.18158214779983E-2</v>
      </c>
      <c r="J1355" s="17">
        <v>0</v>
      </c>
      <c r="K1355" s="17"/>
      <c r="L1355" s="17">
        <v>1.02397491703993E-2</v>
      </c>
      <c r="M1355" s="17">
        <v>0</v>
      </c>
      <c r="N1355" s="17">
        <v>1.9695740380065999E-2</v>
      </c>
      <c r="O1355" s="17">
        <v>7.8571760616642002E-3</v>
      </c>
    </row>
    <row r="1356" spans="2:15" x14ac:dyDescent="0.3">
      <c r="B1356" t="s">
        <v>384</v>
      </c>
      <c r="C1356" s="17">
        <v>0.92677707973530898</v>
      </c>
      <c r="D1356" s="17">
        <v>0.93721569980046204</v>
      </c>
      <c r="E1356" s="17">
        <v>0.91500026632298204</v>
      </c>
      <c r="F1356" s="17"/>
      <c r="G1356" s="17">
        <v>0.95626026832008004</v>
      </c>
      <c r="H1356" s="17">
        <v>0.91596549061325405</v>
      </c>
      <c r="I1356" s="17">
        <v>0.93767919545774703</v>
      </c>
      <c r="J1356" s="17">
        <v>0.88487212843118601</v>
      </c>
      <c r="K1356" s="17"/>
      <c r="L1356" s="17">
        <v>0.94995566959353805</v>
      </c>
      <c r="M1356" s="17">
        <v>0.91229576462843698</v>
      </c>
      <c r="N1356" s="17">
        <v>0.91708856828641105</v>
      </c>
      <c r="O1356" s="17">
        <v>0.93008304429386601</v>
      </c>
    </row>
    <row r="1357" spans="2:15" x14ac:dyDescent="0.3">
      <c r="C1357" s="17"/>
      <c r="D1357" s="17"/>
      <c r="E1357" s="17"/>
      <c r="F1357" s="17"/>
      <c r="G1357" s="17"/>
      <c r="H1357" s="17"/>
      <c r="I1357" s="17"/>
      <c r="J1357" s="17"/>
      <c r="K1357" s="17"/>
      <c r="L1357" s="17"/>
      <c r="M1357" s="17"/>
      <c r="N1357" s="17"/>
      <c r="O1357" s="17"/>
    </row>
    <row r="1358" spans="2:15" x14ac:dyDescent="0.3">
      <c r="B1358" s="6" t="s">
        <v>436</v>
      </c>
      <c r="C1358" s="17"/>
      <c r="D1358" s="17"/>
      <c r="E1358" s="17"/>
      <c r="F1358" s="17"/>
      <c r="G1358" s="17"/>
      <c r="H1358" s="17"/>
      <c r="I1358" s="17"/>
      <c r="J1358" s="17"/>
      <c r="K1358" s="17"/>
      <c r="L1358" s="17"/>
      <c r="M1358" s="17"/>
      <c r="N1358" s="17"/>
      <c r="O1358" s="17"/>
    </row>
    <row r="1359" spans="2:15" x14ac:dyDescent="0.3">
      <c r="B1359" s="23" t="s">
        <v>318</v>
      </c>
      <c r="C1359" s="17"/>
      <c r="D1359" s="17"/>
      <c r="E1359" s="17"/>
      <c r="F1359" s="17"/>
      <c r="G1359" s="17"/>
      <c r="H1359" s="17"/>
      <c r="I1359" s="17"/>
      <c r="J1359" s="17"/>
      <c r="K1359" s="17"/>
      <c r="L1359" s="17"/>
      <c r="M1359" s="17"/>
      <c r="N1359" s="17"/>
      <c r="O1359" s="17"/>
    </row>
    <row r="1360" spans="2:15" x14ac:dyDescent="0.3">
      <c r="B1360" t="s">
        <v>380</v>
      </c>
      <c r="C1360" s="17">
        <v>0.33311465747372498</v>
      </c>
      <c r="D1360" s="17">
        <v>0.33768588468036298</v>
      </c>
      <c r="E1360" s="17">
        <v>0.32938931193041199</v>
      </c>
      <c r="F1360" s="17"/>
      <c r="G1360" s="17">
        <v>0.36305325864967503</v>
      </c>
      <c r="H1360" s="17">
        <v>0.32057430131276898</v>
      </c>
      <c r="I1360" s="17">
        <v>0.36514264821949899</v>
      </c>
      <c r="J1360" s="17">
        <v>0.26714841244540799</v>
      </c>
      <c r="K1360" s="17"/>
      <c r="L1360" s="17">
        <v>0.27730756233810799</v>
      </c>
      <c r="M1360" s="17">
        <v>0.27887327694942299</v>
      </c>
      <c r="N1360" s="17">
        <v>0.41306533818313601</v>
      </c>
      <c r="O1360" s="17">
        <v>0.36955226899253601</v>
      </c>
    </row>
    <row r="1361" spans="2:15" x14ac:dyDescent="0.3">
      <c r="B1361" t="s">
        <v>381</v>
      </c>
      <c r="C1361" s="17">
        <v>0.51943171162266799</v>
      </c>
      <c r="D1361" s="17">
        <v>0.50430240142626404</v>
      </c>
      <c r="E1361" s="17">
        <v>0.53420007429099703</v>
      </c>
      <c r="F1361" s="17"/>
      <c r="G1361" s="17">
        <v>0.499426263401403</v>
      </c>
      <c r="H1361" s="17">
        <v>0.55851649233289002</v>
      </c>
      <c r="I1361" s="17">
        <v>0.495250836744904</v>
      </c>
      <c r="J1361" s="17">
        <v>0.53194008156732497</v>
      </c>
      <c r="K1361" s="17"/>
      <c r="L1361" s="17">
        <v>0.49903303897521201</v>
      </c>
      <c r="M1361" s="17">
        <v>0.591838458817738</v>
      </c>
      <c r="N1361" s="17">
        <v>0.47747109184269299</v>
      </c>
      <c r="O1361" s="17">
        <v>0.50337091286168401</v>
      </c>
    </row>
    <row r="1362" spans="2:15" x14ac:dyDescent="0.3">
      <c r="B1362" t="s">
        <v>382</v>
      </c>
      <c r="C1362" s="17">
        <v>0.10935832031974101</v>
      </c>
      <c r="D1362" s="17">
        <v>0.11736843524891701</v>
      </c>
      <c r="E1362" s="17">
        <v>0.10097045582728</v>
      </c>
      <c r="F1362" s="17"/>
      <c r="G1362" s="17">
        <v>0.11667392372152401</v>
      </c>
      <c r="H1362" s="17">
        <v>8.0200053900502902E-2</v>
      </c>
      <c r="I1362" s="17">
        <v>8.3810695018013706E-2</v>
      </c>
      <c r="J1362" s="17">
        <v>0.15594410891108099</v>
      </c>
      <c r="K1362" s="17"/>
      <c r="L1362" s="17">
        <v>0.178639547889968</v>
      </c>
      <c r="M1362" s="17">
        <v>0.105623063353547</v>
      </c>
      <c r="N1362" s="17">
        <v>5.0692041740274099E-2</v>
      </c>
      <c r="O1362" s="17">
        <v>0.10556537425578701</v>
      </c>
    </row>
    <row r="1363" spans="2:15" x14ac:dyDescent="0.3">
      <c r="B1363" t="s">
        <v>142</v>
      </c>
      <c r="C1363" s="17">
        <v>3.8095310583866199E-2</v>
      </c>
      <c r="D1363" s="17">
        <v>4.0643278644456403E-2</v>
      </c>
      <c r="E1363" s="17">
        <v>3.54401579513106E-2</v>
      </c>
      <c r="F1363" s="17"/>
      <c r="G1363" s="17">
        <v>2.08465542273969E-2</v>
      </c>
      <c r="H1363" s="17">
        <v>4.0709152453838597E-2</v>
      </c>
      <c r="I1363" s="17">
        <v>5.5795820017582397E-2</v>
      </c>
      <c r="J1363" s="17">
        <v>4.4967397076185002E-2</v>
      </c>
      <c r="K1363" s="17"/>
      <c r="L1363" s="17">
        <v>4.50198507967123E-2</v>
      </c>
      <c r="M1363" s="17">
        <v>2.3665200879291901E-2</v>
      </c>
      <c r="N1363" s="17">
        <v>5.8771528233896198E-2</v>
      </c>
      <c r="O1363" s="17">
        <v>2.1511443889993199E-2</v>
      </c>
    </row>
    <row r="1364" spans="2:15" x14ac:dyDescent="0.3">
      <c r="B1364" t="s">
        <v>384</v>
      </c>
      <c r="C1364" s="17">
        <v>0.85254636909639303</v>
      </c>
      <c r="D1364" s="17">
        <v>0.84198828610662702</v>
      </c>
      <c r="E1364" s="17">
        <v>0.86358938622140902</v>
      </c>
      <c r="F1364" s="17"/>
      <c r="G1364" s="17">
        <v>0.86247952205107903</v>
      </c>
      <c r="H1364" s="17">
        <v>0.87909079364565901</v>
      </c>
      <c r="I1364" s="17">
        <v>0.86039348496440404</v>
      </c>
      <c r="J1364" s="17">
        <v>0.79908849401273396</v>
      </c>
      <c r="K1364" s="17"/>
      <c r="L1364" s="17">
        <v>0.77634060131331895</v>
      </c>
      <c r="M1364" s="17">
        <v>0.87071173576716099</v>
      </c>
      <c r="N1364" s="17">
        <v>0.89053643002583005</v>
      </c>
      <c r="O1364" s="17">
        <v>0.87292318185422002</v>
      </c>
    </row>
    <row r="1365" spans="2:15" x14ac:dyDescent="0.3">
      <c r="C1365" s="17"/>
      <c r="D1365" s="17"/>
      <c r="E1365" s="17"/>
      <c r="F1365" s="17"/>
      <c r="G1365" s="17"/>
      <c r="H1365" s="17"/>
      <c r="I1365" s="17"/>
      <c r="J1365" s="17"/>
      <c r="K1365" s="17"/>
      <c r="L1365" s="17"/>
      <c r="M1365" s="17"/>
      <c r="N1365" s="17"/>
      <c r="O1365" s="17"/>
    </row>
    <row r="1366" spans="2:15" x14ac:dyDescent="0.3">
      <c r="B1366" s="6" t="s">
        <v>437</v>
      </c>
      <c r="C1366" s="17"/>
      <c r="D1366" s="17"/>
      <c r="E1366" s="17"/>
      <c r="F1366" s="17"/>
      <c r="G1366" s="17"/>
      <c r="H1366" s="17"/>
      <c r="I1366" s="17"/>
      <c r="J1366" s="17"/>
      <c r="K1366" s="17"/>
      <c r="L1366" s="17"/>
      <c r="M1366" s="17"/>
      <c r="N1366" s="17"/>
      <c r="O1366" s="17"/>
    </row>
    <row r="1367" spans="2:15" x14ac:dyDescent="0.3">
      <c r="B1367" s="23" t="s">
        <v>318</v>
      </c>
      <c r="C1367" s="17"/>
      <c r="D1367" s="17"/>
      <c r="E1367" s="17"/>
      <c r="F1367" s="17"/>
      <c r="G1367" s="17"/>
      <c r="H1367" s="17"/>
      <c r="I1367" s="17"/>
      <c r="J1367" s="17"/>
      <c r="K1367" s="17"/>
      <c r="L1367" s="17"/>
      <c r="M1367" s="17"/>
      <c r="N1367" s="17"/>
      <c r="O1367" s="17"/>
    </row>
    <row r="1368" spans="2:15" x14ac:dyDescent="0.3">
      <c r="B1368" t="s">
        <v>380</v>
      </c>
      <c r="C1368" s="17">
        <v>0.34045859232039399</v>
      </c>
      <c r="D1368" s="17">
        <v>0.35399601485676302</v>
      </c>
      <c r="E1368" s="17">
        <v>0.32689302712636398</v>
      </c>
      <c r="F1368" s="17"/>
      <c r="G1368" s="17">
        <v>0.42265185063746402</v>
      </c>
      <c r="H1368" s="17">
        <v>0.28599429381029601</v>
      </c>
      <c r="I1368" s="17">
        <v>0.34561437385260102</v>
      </c>
      <c r="J1368" s="17">
        <v>0.269339522722222</v>
      </c>
      <c r="K1368" s="17"/>
      <c r="L1368" s="17">
        <v>0.31940239296634798</v>
      </c>
      <c r="M1368" s="17">
        <v>0.317006187862447</v>
      </c>
      <c r="N1368" s="17">
        <v>0.38979964396129002</v>
      </c>
      <c r="O1368" s="17">
        <v>0.33292151015766402</v>
      </c>
    </row>
    <row r="1369" spans="2:15" x14ac:dyDescent="0.3">
      <c r="B1369" t="s">
        <v>381</v>
      </c>
      <c r="C1369" s="17">
        <v>0.51942300582956102</v>
      </c>
      <c r="D1369" s="17">
        <v>0.51354845676517902</v>
      </c>
      <c r="E1369" s="17">
        <v>0.52400469668154404</v>
      </c>
      <c r="F1369" s="17"/>
      <c r="G1369" s="17">
        <v>0.46083802396595402</v>
      </c>
      <c r="H1369" s="17">
        <v>0.54939287976156204</v>
      </c>
      <c r="I1369" s="17">
        <v>0.54898569123805196</v>
      </c>
      <c r="J1369" s="17">
        <v>0.55057689215280503</v>
      </c>
      <c r="K1369" s="17"/>
      <c r="L1369" s="17">
        <v>0.527210646651467</v>
      </c>
      <c r="M1369" s="17">
        <v>0.52453135959097796</v>
      </c>
      <c r="N1369" s="17">
        <v>0.48369270347353799</v>
      </c>
      <c r="O1369" s="17">
        <v>0.55001597868763596</v>
      </c>
    </row>
    <row r="1370" spans="2:15" x14ac:dyDescent="0.3">
      <c r="B1370" t="s">
        <v>382</v>
      </c>
      <c r="C1370" s="17">
        <v>0.124924142724555</v>
      </c>
      <c r="D1370" s="17">
        <v>0.11835194451148601</v>
      </c>
      <c r="E1370" s="17">
        <v>0.13264794224135701</v>
      </c>
      <c r="F1370" s="17"/>
      <c r="G1370" s="17">
        <v>9.15590427479957E-2</v>
      </c>
      <c r="H1370" s="17">
        <v>0.13646553952132201</v>
      </c>
      <c r="I1370" s="17">
        <v>0.105399934909347</v>
      </c>
      <c r="J1370" s="17">
        <v>0.18008358512497299</v>
      </c>
      <c r="K1370" s="17"/>
      <c r="L1370" s="17">
        <v>0.12320476284229</v>
      </c>
      <c r="M1370" s="17">
        <v>0.15846245254657501</v>
      </c>
      <c r="N1370" s="17">
        <v>0.11412057914561601</v>
      </c>
      <c r="O1370" s="17">
        <v>9.6499911122211096E-2</v>
      </c>
    </row>
    <row r="1371" spans="2:15" x14ac:dyDescent="0.3">
      <c r="B1371" t="s">
        <v>142</v>
      </c>
      <c r="C1371" s="17">
        <v>1.5194259125489201E-2</v>
      </c>
      <c r="D1371" s="17">
        <v>1.41035838665716E-2</v>
      </c>
      <c r="E1371" s="17">
        <v>1.6454333950734801E-2</v>
      </c>
      <c r="F1371" s="17"/>
      <c r="G1371" s="17">
        <v>2.4951082648585501E-2</v>
      </c>
      <c r="H1371" s="17">
        <v>2.8147286906820501E-2</v>
      </c>
      <c r="I1371" s="17">
        <v>0</v>
      </c>
      <c r="J1371" s="17">
        <v>0</v>
      </c>
      <c r="K1371" s="17"/>
      <c r="L1371" s="17">
        <v>3.0182197539894699E-2</v>
      </c>
      <c r="M1371" s="17">
        <v>0</v>
      </c>
      <c r="N1371" s="17">
        <v>1.2387073419555699E-2</v>
      </c>
      <c r="O1371" s="17">
        <v>2.0562600032488599E-2</v>
      </c>
    </row>
    <row r="1372" spans="2:15" x14ac:dyDescent="0.3">
      <c r="B1372" t="s">
        <v>384</v>
      </c>
      <c r="C1372" s="17">
        <v>0.85988159814995502</v>
      </c>
      <c r="D1372" s="17">
        <v>0.86754447162194204</v>
      </c>
      <c r="E1372" s="17">
        <v>0.85089772380790796</v>
      </c>
      <c r="F1372" s="17"/>
      <c r="G1372" s="17">
        <v>0.88348987460341899</v>
      </c>
      <c r="H1372" s="17">
        <v>0.83538717357185799</v>
      </c>
      <c r="I1372" s="17">
        <v>0.89460006509065304</v>
      </c>
      <c r="J1372" s="17">
        <v>0.81991641487502698</v>
      </c>
      <c r="K1372" s="17"/>
      <c r="L1372" s="17">
        <v>0.84661303961781498</v>
      </c>
      <c r="M1372" s="17">
        <v>0.84153754745342502</v>
      </c>
      <c r="N1372" s="17">
        <v>0.87349234743482795</v>
      </c>
      <c r="O1372" s="17">
        <v>0.88293748884529999</v>
      </c>
    </row>
    <row r="1373" spans="2:15" x14ac:dyDescent="0.3">
      <c r="C1373" s="17"/>
      <c r="D1373" s="17"/>
      <c r="E1373" s="17"/>
      <c r="F1373" s="17"/>
      <c r="G1373" s="17"/>
      <c r="H1373" s="17"/>
      <c r="I1373" s="17"/>
      <c r="J1373" s="17"/>
      <c r="K1373" s="17"/>
      <c r="L1373" s="17"/>
      <c r="M1373" s="17"/>
      <c r="N1373" s="17"/>
      <c r="O1373" s="17"/>
    </row>
    <row r="1374" spans="2:15" x14ac:dyDescent="0.3">
      <c r="B1374" s="6" t="s">
        <v>438</v>
      </c>
      <c r="C1374" s="17"/>
      <c r="D1374" s="17"/>
      <c r="E1374" s="17"/>
      <c r="F1374" s="17"/>
      <c r="G1374" s="17"/>
      <c r="H1374" s="17"/>
      <c r="I1374" s="17"/>
      <c r="J1374" s="17"/>
      <c r="K1374" s="17"/>
      <c r="L1374" s="17"/>
      <c r="M1374" s="17"/>
      <c r="N1374" s="17"/>
      <c r="O1374" s="17"/>
    </row>
    <row r="1375" spans="2:15" x14ac:dyDescent="0.3">
      <c r="B1375" s="23" t="s">
        <v>318</v>
      </c>
      <c r="C1375" s="17"/>
      <c r="D1375" s="17"/>
      <c r="E1375" s="17"/>
      <c r="F1375" s="17"/>
      <c r="G1375" s="17"/>
      <c r="H1375" s="17"/>
      <c r="I1375" s="17"/>
      <c r="J1375" s="17"/>
      <c r="K1375" s="17"/>
      <c r="L1375" s="17"/>
      <c r="M1375" s="17"/>
      <c r="N1375" s="17"/>
      <c r="O1375" s="17"/>
    </row>
    <row r="1376" spans="2:15" x14ac:dyDescent="0.3">
      <c r="B1376" t="s">
        <v>380</v>
      </c>
      <c r="C1376" s="17">
        <v>0.172183705663744</v>
      </c>
      <c r="D1376" s="17">
        <v>0.179164322720058</v>
      </c>
      <c r="E1376" s="17">
        <v>0.16517534352510199</v>
      </c>
      <c r="F1376" s="17"/>
      <c r="G1376" s="17">
        <v>0.202117327989944</v>
      </c>
      <c r="H1376" s="17">
        <v>0.138670870473492</v>
      </c>
      <c r="I1376" s="17">
        <v>0.20973627630461</v>
      </c>
      <c r="J1376" s="17">
        <v>0.123347097868579</v>
      </c>
      <c r="K1376" s="17"/>
      <c r="L1376" s="17">
        <v>0.19945617974327501</v>
      </c>
      <c r="M1376" s="17">
        <v>0.12343979383192499</v>
      </c>
      <c r="N1376" s="17">
        <v>0.204673048524704</v>
      </c>
      <c r="O1376" s="17">
        <v>0.160575520826264</v>
      </c>
    </row>
    <row r="1377" spans="2:15" x14ac:dyDescent="0.3">
      <c r="B1377" t="s">
        <v>381</v>
      </c>
      <c r="C1377" s="17">
        <v>0.41648252873515801</v>
      </c>
      <c r="D1377" s="17">
        <v>0.43360833834663998</v>
      </c>
      <c r="E1377" s="17">
        <v>0.39926535123939899</v>
      </c>
      <c r="F1377" s="17"/>
      <c r="G1377" s="17">
        <v>0.45529474281152799</v>
      </c>
      <c r="H1377" s="17">
        <v>0.39176884090761599</v>
      </c>
      <c r="I1377" s="17">
        <v>0.40309827180158198</v>
      </c>
      <c r="J1377" s="17">
        <v>0.40371012178745902</v>
      </c>
      <c r="K1377" s="17"/>
      <c r="L1377" s="17">
        <v>0.35819043681950802</v>
      </c>
      <c r="M1377" s="17">
        <v>0.39437283815048502</v>
      </c>
      <c r="N1377" s="17">
        <v>0.48693115700814998</v>
      </c>
      <c r="O1377" s="17">
        <v>0.42561098630509597</v>
      </c>
    </row>
    <row r="1378" spans="2:15" x14ac:dyDescent="0.3">
      <c r="B1378" t="s">
        <v>382</v>
      </c>
      <c r="C1378" s="17">
        <v>0.36992433510235001</v>
      </c>
      <c r="D1378" s="17">
        <v>0.35103802798049399</v>
      </c>
      <c r="E1378" s="17">
        <v>0.39216283346046299</v>
      </c>
      <c r="F1378" s="17"/>
      <c r="G1378" s="17">
        <v>0.27557565717252702</v>
      </c>
      <c r="H1378" s="17">
        <v>0.44424992404910602</v>
      </c>
      <c r="I1378" s="17">
        <v>0.36836816119349503</v>
      </c>
      <c r="J1378" s="17">
        <v>0.43015045973032201</v>
      </c>
      <c r="K1378" s="17"/>
      <c r="L1378" s="17">
        <v>0.40174836630058702</v>
      </c>
      <c r="M1378" s="17">
        <v>0.45127872960561899</v>
      </c>
      <c r="N1378" s="17">
        <v>0.29021634910173899</v>
      </c>
      <c r="O1378" s="17">
        <v>0.326757415669375</v>
      </c>
    </row>
    <row r="1379" spans="2:15" x14ac:dyDescent="0.3">
      <c r="B1379" t="s">
        <v>142</v>
      </c>
      <c r="C1379" s="17">
        <v>4.1409430498748102E-2</v>
      </c>
      <c r="D1379" s="17">
        <v>3.6189310952807099E-2</v>
      </c>
      <c r="E1379" s="17">
        <v>4.3396471775036097E-2</v>
      </c>
      <c r="F1379" s="17"/>
      <c r="G1379" s="17">
        <v>6.7012272026001102E-2</v>
      </c>
      <c r="H1379" s="17">
        <v>2.5310364569785301E-2</v>
      </c>
      <c r="I1379" s="17">
        <v>1.8797290700312799E-2</v>
      </c>
      <c r="J1379" s="17">
        <v>4.2792320613639502E-2</v>
      </c>
      <c r="K1379" s="17"/>
      <c r="L1379" s="17">
        <v>4.0605017136630499E-2</v>
      </c>
      <c r="M1379" s="17">
        <v>3.09086384119708E-2</v>
      </c>
      <c r="N1379" s="17">
        <v>1.8179445365407099E-2</v>
      </c>
      <c r="O1379" s="17">
        <v>8.70560771992646E-2</v>
      </c>
    </row>
    <row r="1380" spans="2:15" x14ac:dyDescent="0.3">
      <c r="B1380" t="s">
        <v>384</v>
      </c>
      <c r="C1380" s="17">
        <v>0.58866623439890198</v>
      </c>
      <c r="D1380" s="17">
        <v>0.61277266106669903</v>
      </c>
      <c r="E1380" s="17">
        <v>0.56444069476450098</v>
      </c>
      <c r="F1380" s="17"/>
      <c r="G1380" s="17">
        <v>0.65741207080147201</v>
      </c>
      <c r="H1380" s="17">
        <v>0.53043971138110901</v>
      </c>
      <c r="I1380" s="17">
        <v>0.61283454810619298</v>
      </c>
      <c r="J1380" s="17">
        <v>0.52705721965603802</v>
      </c>
      <c r="K1380" s="17"/>
      <c r="L1380" s="17">
        <v>0.55764661656278303</v>
      </c>
      <c r="M1380" s="17">
        <v>0.51781263198241001</v>
      </c>
      <c r="N1380" s="17">
        <v>0.69160420553285396</v>
      </c>
      <c r="O1380" s="17">
        <v>0.58618650713136</v>
      </c>
    </row>
    <row r="1381" spans="2:15" x14ac:dyDescent="0.3">
      <c r="C1381" s="17"/>
      <c r="D1381" s="17"/>
      <c r="E1381" s="17"/>
      <c r="F1381" s="17"/>
      <c r="G1381" s="17"/>
      <c r="H1381" s="17"/>
      <c r="I1381" s="17"/>
      <c r="J1381" s="17"/>
      <c r="K1381" s="17"/>
      <c r="L1381" s="17"/>
      <c r="M1381" s="17"/>
      <c r="N1381" s="17"/>
      <c r="O1381" s="17"/>
    </row>
    <row r="1382" spans="2:15" x14ac:dyDescent="0.3">
      <c r="B1382" s="6" t="s">
        <v>443</v>
      </c>
      <c r="C1382" s="17"/>
      <c r="D1382" s="17"/>
      <c r="E1382" s="17"/>
      <c r="F1382" s="17"/>
      <c r="G1382" s="17"/>
      <c r="H1382" s="17"/>
      <c r="I1382" s="17"/>
      <c r="J1382" s="17"/>
      <c r="K1382" s="17"/>
      <c r="L1382" s="17"/>
      <c r="M1382" s="17"/>
      <c r="N1382" s="17"/>
      <c r="O1382" s="17"/>
    </row>
    <row r="1383" spans="2:15" x14ac:dyDescent="0.3">
      <c r="B1383" s="23" t="s">
        <v>241</v>
      </c>
      <c r="C1383" s="17"/>
      <c r="D1383" s="17"/>
      <c r="E1383" s="17"/>
      <c r="F1383" s="17"/>
      <c r="G1383" s="17"/>
      <c r="H1383" s="17"/>
      <c r="I1383" s="17"/>
      <c r="J1383" s="17"/>
      <c r="K1383" s="17"/>
      <c r="L1383" s="17"/>
      <c r="M1383" s="17"/>
      <c r="N1383" s="17"/>
      <c r="O1383" s="17"/>
    </row>
    <row r="1384" spans="2:15" x14ac:dyDescent="0.3">
      <c r="B1384" t="s">
        <v>439</v>
      </c>
      <c r="C1384" s="17">
        <v>5.3266772075753199E-2</v>
      </c>
      <c r="D1384" s="17">
        <v>3.2358245457833501E-2</v>
      </c>
      <c r="E1384" s="17">
        <v>7.4398470330963098E-2</v>
      </c>
      <c r="F1384" s="17"/>
      <c r="G1384" s="17">
        <v>2.62401798851018E-2</v>
      </c>
      <c r="H1384" s="17">
        <v>7.6440908991049203E-2</v>
      </c>
      <c r="I1384" s="17">
        <v>3.0164647546956601E-2</v>
      </c>
      <c r="J1384" s="17">
        <v>8.3453460298034798E-2</v>
      </c>
      <c r="K1384" s="17"/>
      <c r="L1384" s="17">
        <v>3.8764289886306702E-2</v>
      </c>
      <c r="M1384" s="17">
        <v>4.7433011151511502E-2</v>
      </c>
      <c r="N1384" s="17">
        <v>6.69291177389819E-2</v>
      </c>
      <c r="O1384" s="17">
        <v>5.9220560590800497E-2</v>
      </c>
    </row>
    <row r="1385" spans="2:15" x14ac:dyDescent="0.3">
      <c r="B1385" t="s">
        <v>333</v>
      </c>
      <c r="C1385" s="17">
        <v>7.2909195346685204E-2</v>
      </c>
      <c r="D1385" s="17">
        <v>5.36661096466882E-2</v>
      </c>
      <c r="E1385" s="17">
        <v>8.8174922033460099E-2</v>
      </c>
      <c r="F1385" s="17"/>
      <c r="G1385" s="17">
        <v>6.8636445461040696E-2</v>
      </c>
      <c r="H1385" s="17">
        <v>6.6189315886098499E-2</v>
      </c>
      <c r="I1385" s="17">
        <v>6.1925153084362201E-2</v>
      </c>
      <c r="J1385" s="17">
        <v>9.6489160452840103E-2</v>
      </c>
      <c r="K1385" s="17"/>
      <c r="L1385" s="17">
        <v>6.5000059321457401E-2</v>
      </c>
      <c r="M1385" s="17">
        <v>7.9079118105105595E-2</v>
      </c>
      <c r="N1385" s="17">
        <v>6.8389810886789998E-2</v>
      </c>
      <c r="O1385" s="17">
        <v>7.9023624973991402E-2</v>
      </c>
    </row>
    <row r="1386" spans="2:15" x14ac:dyDescent="0.3">
      <c r="B1386" t="s">
        <v>334</v>
      </c>
      <c r="C1386" s="17">
        <v>0.12990624835042</v>
      </c>
      <c r="D1386" s="17">
        <v>0.13372437437065701</v>
      </c>
      <c r="E1386" s="17">
        <v>0.12706764828992101</v>
      </c>
      <c r="F1386" s="17"/>
      <c r="G1386" s="17">
        <v>0.106431033075509</v>
      </c>
      <c r="H1386" s="17">
        <v>0.17156469444313399</v>
      </c>
      <c r="I1386" s="17">
        <v>0.103161137676506</v>
      </c>
      <c r="J1386" s="17">
        <v>0.138579758459487</v>
      </c>
      <c r="K1386" s="17"/>
      <c r="L1386" s="17">
        <v>0.113226407393639</v>
      </c>
      <c r="M1386" s="17">
        <v>0.16908714004463199</v>
      </c>
      <c r="N1386" s="17">
        <v>0.114200726775954</v>
      </c>
      <c r="O1386" s="17">
        <v>0.12110820108371199</v>
      </c>
    </row>
    <row r="1387" spans="2:15" x14ac:dyDescent="0.3">
      <c r="B1387" t="s">
        <v>335</v>
      </c>
      <c r="C1387" s="17">
        <v>0.263737723928053</v>
      </c>
      <c r="D1387" s="17">
        <v>0.25462215523958398</v>
      </c>
      <c r="E1387" s="17">
        <v>0.27470799461302298</v>
      </c>
      <c r="F1387" s="17"/>
      <c r="G1387" s="17">
        <v>0.18791022992178899</v>
      </c>
      <c r="H1387" s="17">
        <v>0.264322243166425</v>
      </c>
      <c r="I1387" s="17">
        <v>0.34932631603722403</v>
      </c>
      <c r="J1387" s="17">
        <v>0.28626430021772897</v>
      </c>
      <c r="K1387" s="17"/>
      <c r="L1387" s="17">
        <v>0.267316448036022</v>
      </c>
      <c r="M1387" s="17">
        <v>0.28787278990408799</v>
      </c>
      <c r="N1387" s="17">
        <v>0.19475907548607299</v>
      </c>
      <c r="O1387" s="17">
        <v>0.30898649012326701</v>
      </c>
    </row>
    <row r="1388" spans="2:15" x14ac:dyDescent="0.3">
      <c r="B1388" t="s">
        <v>440</v>
      </c>
      <c r="C1388" s="17">
        <v>0.24876623498014899</v>
      </c>
      <c r="D1388" s="17">
        <v>0.24090008064370699</v>
      </c>
      <c r="E1388" s="17">
        <v>0.25543805202102798</v>
      </c>
      <c r="F1388" s="17"/>
      <c r="G1388" s="17">
        <v>0.32371961452447701</v>
      </c>
      <c r="H1388" s="17">
        <v>0.24524735519980201</v>
      </c>
      <c r="I1388" s="17">
        <v>0.183962031998537</v>
      </c>
      <c r="J1388" s="17">
        <v>0.216002358493178</v>
      </c>
      <c r="K1388" s="17"/>
      <c r="L1388" s="17">
        <v>0.26578153369246399</v>
      </c>
      <c r="M1388" s="17">
        <v>0.197833045421661</v>
      </c>
      <c r="N1388" s="17">
        <v>0.29843294290324601</v>
      </c>
      <c r="O1388" s="17">
        <v>0.23305054252396401</v>
      </c>
    </row>
    <row r="1389" spans="2:15" x14ac:dyDescent="0.3">
      <c r="B1389" t="s">
        <v>441</v>
      </c>
      <c r="C1389" s="17">
        <v>0.13294901866403699</v>
      </c>
      <c r="D1389" s="17">
        <v>0.15454690737368401</v>
      </c>
      <c r="E1389" s="17">
        <v>0.11249408311074099</v>
      </c>
      <c r="F1389" s="17"/>
      <c r="G1389" s="17">
        <v>0.17453796799112101</v>
      </c>
      <c r="H1389" s="17">
        <v>0.112150645471607</v>
      </c>
      <c r="I1389" s="17">
        <v>0.148166811997164</v>
      </c>
      <c r="J1389" s="17">
        <v>8.98044109958024E-2</v>
      </c>
      <c r="K1389" s="17"/>
      <c r="L1389" s="17">
        <v>0.15138957158066199</v>
      </c>
      <c r="M1389" s="17">
        <v>0.119309118287121</v>
      </c>
      <c r="N1389" s="17">
        <v>0.145648925434916</v>
      </c>
      <c r="O1389" s="17">
        <v>0.115531292716928</v>
      </c>
    </row>
    <row r="1390" spans="2:15" x14ac:dyDescent="0.3">
      <c r="B1390" t="s">
        <v>442</v>
      </c>
      <c r="C1390" s="17">
        <v>9.84648066549033E-2</v>
      </c>
      <c r="D1390" s="17">
        <v>0.130182127267846</v>
      </c>
      <c r="E1390" s="17">
        <v>6.7718829600864394E-2</v>
      </c>
      <c r="F1390" s="17"/>
      <c r="G1390" s="17">
        <v>0.112524529140962</v>
      </c>
      <c r="H1390" s="17">
        <v>6.4084836841884305E-2</v>
      </c>
      <c r="I1390" s="17">
        <v>0.123293901659251</v>
      </c>
      <c r="J1390" s="17">
        <v>8.9406551082928595E-2</v>
      </c>
      <c r="K1390" s="17"/>
      <c r="L1390" s="17">
        <v>9.8521690089448097E-2</v>
      </c>
      <c r="M1390" s="17">
        <v>9.9385777085881297E-2</v>
      </c>
      <c r="N1390" s="17">
        <v>0.111639400774039</v>
      </c>
      <c r="O1390" s="17">
        <v>8.3079287987336395E-2</v>
      </c>
    </row>
    <row r="1391" spans="2:15" x14ac:dyDescent="0.3">
      <c r="C1391" s="17"/>
      <c r="D1391" s="17"/>
      <c r="E1391" s="17"/>
      <c r="F1391" s="17"/>
      <c r="G1391" s="17"/>
      <c r="H1391" s="17"/>
      <c r="I1391" s="17"/>
      <c r="J1391" s="17"/>
      <c r="K1391" s="17"/>
      <c r="L1391" s="17"/>
      <c r="M1391" s="17"/>
      <c r="N1391" s="17"/>
      <c r="O1391" s="17"/>
    </row>
    <row r="1392" spans="2:15" x14ac:dyDescent="0.3">
      <c r="B1392" s="6" t="s">
        <v>446</v>
      </c>
      <c r="C1392" s="17"/>
      <c r="D1392" s="17"/>
      <c r="E1392" s="17"/>
      <c r="F1392" s="17"/>
      <c r="G1392" s="17"/>
      <c r="H1392" s="17"/>
      <c r="I1392" s="17"/>
      <c r="J1392" s="17"/>
      <c r="K1392" s="17"/>
      <c r="L1392" s="17"/>
      <c r="M1392" s="17"/>
      <c r="N1392" s="17"/>
      <c r="O1392" s="17"/>
    </row>
    <row r="1393" spans="2:15" x14ac:dyDescent="0.3">
      <c r="B1393" s="23" t="s">
        <v>46</v>
      </c>
      <c r="C1393" s="17"/>
      <c r="D1393" s="17"/>
      <c r="E1393" s="17"/>
      <c r="F1393" s="17"/>
      <c r="G1393" s="17"/>
      <c r="H1393" s="17"/>
      <c r="I1393" s="17"/>
      <c r="J1393" s="17"/>
      <c r="K1393" s="17"/>
      <c r="L1393" s="17"/>
      <c r="M1393" s="17"/>
      <c r="N1393" s="17"/>
      <c r="O1393" s="17"/>
    </row>
    <row r="1394" spans="2:15" x14ac:dyDescent="0.3">
      <c r="B1394" t="s">
        <v>444</v>
      </c>
      <c r="C1394" s="17">
        <v>4.9831718076484302E-2</v>
      </c>
      <c r="D1394" s="17">
        <v>3.0930265089744401E-2</v>
      </c>
      <c r="E1394" s="17">
        <v>6.4729190948662599E-2</v>
      </c>
      <c r="F1394" s="17"/>
      <c r="G1394" s="17">
        <v>2.74835060474195E-2</v>
      </c>
      <c r="H1394" s="17">
        <v>6.6502673953263494E-2</v>
      </c>
      <c r="I1394" s="17">
        <v>6.33606770413353E-2</v>
      </c>
      <c r="J1394" s="17">
        <v>4.8047167590921702E-2</v>
      </c>
      <c r="K1394" s="17"/>
      <c r="L1394" s="17">
        <v>1.6693734725077E-2</v>
      </c>
      <c r="M1394" s="17">
        <v>6.0313119899796201E-2</v>
      </c>
      <c r="N1394" s="17">
        <v>2.4469414798279701E-2</v>
      </c>
      <c r="O1394" s="17">
        <v>9.9170082563292794E-2</v>
      </c>
    </row>
    <row r="1395" spans="2:15" x14ac:dyDescent="0.3">
      <c r="B1395" t="s">
        <v>333</v>
      </c>
      <c r="C1395" s="17">
        <v>2.9671283551178901E-2</v>
      </c>
      <c r="D1395" s="17">
        <v>1.8370906227035199E-2</v>
      </c>
      <c r="E1395" s="17">
        <v>4.1175025073001602E-2</v>
      </c>
      <c r="F1395" s="17"/>
      <c r="G1395" s="17">
        <v>1.51426801035514E-2</v>
      </c>
      <c r="H1395" s="17">
        <v>2.4217990440839901E-2</v>
      </c>
      <c r="I1395" s="17">
        <v>3.0538031811156999E-2</v>
      </c>
      <c r="J1395" s="17">
        <v>5.4214541743442403E-2</v>
      </c>
      <c r="K1395" s="17"/>
      <c r="L1395" s="17">
        <v>1.8383533672556001E-2</v>
      </c>
      <c r="M1395" s="17">
        <v>4.1414461442877297E-2</v>
      </c>
      <c r="N1395" s="17">
        <v>4.47826507552712E-2</v>
      </c>
      <c r="O1395" s="17">
        <v>1.1955573044905099E-2</v>
      </c>
    </row>
    <row r="1396" spans="2:15" x14ac:dyDescent="0.3">
      <c r="B1396" t="s">
        <v>334</v>
      </c>
      <c r="C1396" s="17">
        <v>6.7689805275773798E-2</v>
      </c>
      <c r="D1396" s="17">
        <v>6.8383067543018206E-2</v>
      </c>
      <c r="E1396" s="17">
        <v>6.74906061807201E-2</v>
      </c>
      <c r="F1396" s="17"/>
      <c r="G1396" s="17">
        <v>3.1031753368918301E-2</v>
      </c>
      <c r="H1396" s="17">
        <v>6.5635922242818098E-2</v>
      </c>
      <c r="I1396" s="17">
        <v>8.2942152992732193E-2</v>
      </c>
      <c r="J1396" s="17">
        <v>0.10435088894294201</v>
      </c>
      <c r="K1396" s="17"/>
      <c r="L1396" s="17">
        <v>7.9913687477159601E-2</v>
      </c>
      <c r="M1396" s="17">
        <v>6.0273840516294003E-2</v>
      </c>
      <c r="N1396" s="17">
        <v>7.01378792704654E-2</v>
      </c>
      <c r="O1396" s="17">
        <v>6.0791623185033797E-2</v>
      </c>
    </row>
    <row r="1397" spans="2:15" x14ac:dyDescent="0.3">
      <c r="B1397" t="s">
        <v>335</v>
      </c>
      <c r="C1397" s="17">
        <v>0.16720741622830701</v>
      </c>
      <c r="D1397" s="17">
        <v>0.15337564605578</v>
      </c>
      <c r="E1397" s="17">
        <v>0.18224193393671401</v>
      </c>
      <c r="F1397" s="17"/>
      <c r="G1397" s="17">
        <v>0.100404647877274</v>
      </c>
      <c r="H1397" s="17">
        <v>0.18403645575848501</v>
      </c>
      <c r="I1397" s="17">
        <v>0.234953102074206</v>
      </c>
      <c r="J1397" s="17">
        <v>0.174556741390586</v>
      </c>
      <c r="K1397" s="17"/>
      <c r="L1397" s="17">
        <v>0.210555171095413</v>
      </c>
      <c r="M1397" s="17">
        <v>0.17535737291298101</v>
      </c>
      <c r="N1397" s="17">
        <v>0.10571611190041599</v>
      </c>
      <c r="O1397" s="17">
        <v>0.18170786340411399</v>
      </c>
    </row>
    <row r="1398" spans="2:15" x14ac:dyDescent="0.3">
      <c r="B1398" t="s">
        <v>440</v>
      </c>
      <c r="C1398" s="17">
        <v>0.24980377040201701</v>
      </c>
      <c r="D1398" s="17">
        <v>0.244699606746104</v>
      </c>
      <c r="E1398" s="17">
        <v>0.25672251514661798</v>
      </c>
      <c r="F1398" s="17"/>
      <c r="G1398" s="17">
        <v>0.22181374770307299</v>
      </c>
      <c r="H1398" s="17">
        <v>0.28184322909616299</v>
      </c>
      <c r="I1398" s="17">
        <v>0.24447527189275101</v>
      </c>
      <c r="J1398" s="17">
        <v>0.25671495237114</v>
      </c>
      <c r="K1398" s="17"/>
      <c r="L1398" s="17">
        <v>0.21013263072987601</v>
      </c>
      <c r="M1398" s="17">
        <v>0.238213135515534</v>
      </c>
      <c r="N1398" s="17">
        <v>0.29202422651277699</v>
      </c>
      <c r="O1398" s="17">
        <v>0.25620479590780998</v>
      </c>
    </row>
    <row r="1399" spans="2:15" x14ac:dyDescent="0.3">
      <c r="B1399" t="s">
        <v>441</v>
      </c>
      <c r="C1399" s="17">
        <v>0.19898543185686701</v>
      </c>
      <c r="D1399" s="17">
        <v>0.20050352400283999</v>
      </c>
      <c r="E1399" s="17">
        <v>0.19891912895838601</v>
      </c>
      <c r="F1399" s="17"/>
      <c r="G1399" s="17">
        <v>0.29926327423077798</v>
      </c>
      <c r="H1399" s="17">
        <v>0.18099012110599599</v>
      </c>
      <c r="I1399" s="17">
        <v>0.12283996592309</v>
      </c>
      <c r="J1399" s="17">
        <v>0.15996037345335201</v>
      </c>
      <c r="K1399" s="17"/>
      <c r="L1399" s="17">
        <v>0.20790619130065799</v>
      </c>
      <c r="M1399" s="17">
        <v>0.20139331902316199</v>
      </c>
      <c r="N1399" s="17">
        <v>0.18908418192443199</v>
      </c>
      <c r="O1399" s="17">
        <v>0.19820072364583399</v>
      </c>
    </row>
    <row r="1400" spans="2:15" x14ac:dyDescent="0.3">
      <c r="B1400" t="s">
        <v>445</v>
      </c>
      <c r="C1400" s="17">
        <v>0.23681057460937199</v>
      </c>
      <c r="D1400" s="17">
        <v>0.283736984335478</v>
      </c>
      <c r="E1400" s="17">
        <v>0.188721599755899</v>
      </c>
      <c r="F1400" s="17"/>
      <c r="G1400" s="17">
        <v>0.30486039066898601</v>
      </c>
      <c r="H1400" s="17">
        <v>0.19677360740243399</v>
      </c>
      <c r="I1400" s="17">
        <v>0.22089079826472899</v>
      </c>
      <c r="J1400" s="17">
        <v>0.202155334507616</v>
      </c>
      <c r="K1400" s="17"/>
      <c r="L1400" s="17">
        <v>0.25641505099925999</v>
      </c>
      <c r="M1400" s="17">
        <v>0.22303475068935399</v>
      </c>
      <c r="N1400" s="17">
        <v>0.27378553483835899</v>
      </c>
      <c r="O1400" s="17">
        <v>0.191969338249011</v>
      </c>
    </row>
    <row r="1401" spans="2:15" x14ac:dyDescent="0.3">
      <c r="C1401" s="17"/>
      <c r="D1401" s="17"/>
      <c r="E1401" s="17"/>
      <c r="F1401" s="17"/>
      <c r="G1401" s="17"/>
      <c r="H1401" s="17"/>
      <c r="I1401" s="17"/>
      <c r="J1401" s="17"/>
      <c r="K1401" s="17"/>
      <c r="L1401" s="17"/>
      <c r="M1401" s="17"/>
      <c r="N1401" s="17"/>
      <c r="O1401" s="17"/>
    </row>
    <row r="1402" spans="2:15" x14ac:dyDescent="0.3">
      <c r="B1402" s="6" t="s">
        <v>449</v>
      </c>
      <c r="C1402" s="17"/>
      <c r="D1402" s="17"/>
      <c r="E1402" s="17"/>
      <c r="F1402" s="17"/>
      <c r="G1402" s="17"/>
      <c r="H1402" s="17"/>
      <c r="I1402" s="17"/>
      <c r="J1402" s="17"/>
      <c r="K1402" s="17"/>
      <c r="L1402" s="17"/>
      <c r="M1402" s="17"/>
      <c r="N1402" s="17"/>
      <c r="O1402" s="17"/>
    </row>
    <row r="1403" spans="2:15" x14ac:dyDescent="0.3">
      <c r="B1403" s="23" t="s">
        <v>46</v>
      </c>
      <c r="C1403" s="17"/>
      <c r="D1403" s="17"/>
      <c r="E1403" s="17"/>
      <c r="F1403" s="17"/>
      <c r="G1403" s="17"/>
      <c r="H1403" s="17"/>
      <c r="I1403" s="17"/>
      <c r="J1403" s="17"/>
      <c r="K1403" s="17"/>
      <c r="L1403" s="17"/>
      <c r="M1403" s="17"/>
      <c r="N1403" s="17"/>
      <c r="O1403" s="17"/>
    </row>
    <row r="1404" spans="2:15" x14ac:dyDescent="0.3">
      <c r="B1404" t="s">
        <v>447</v>
      </c>
      <c r="C1404" s="17">
        <v>6.8923020166600596E-2</v>
      </c>
      <c r="D1404" s="17">
        <v>5.6847150788337401E-2</v>
      </c>
      <c r="E1404" s="17">
        <v>7.7141799820875406E-2</v>
      </c>
      <c r="F1404" s="17"/>
      <c r="G1404" s="17">
        <v>2.8838884616657599E-2</v>
      </c>
      <c r="H1404" s="17">
        <v>0.10301335338773999</v>
      </c>
      <c r="I1404" s="17">
        <v>7.5432778763967104E-2</v>
      </c>
      <c r="J1404" s="17">
        <v>7.7009523445609601E-2</v>
      </c>
      <c r="K1404" s="17"/>
      <c r="L1404" s="17">
        <v>4.8310709411231403E-2</v>
      </c>
      <c r="M1404" s="17">
        <v>9.3263389126184704E-2</v>
      </c>
      <c r="N1404" s="17">
        <v>3.5787524443460297E-2</v>
      </c>
      <c r="O1404" s="17">
        <v>9.92477816503647E-2</v>
      </c>
    </row>
    <row r="1405" spans="2:15" x14ac:dyDescent="0.3">
      <c r="B1405" t="s">
        <v>333</v>
      </c>
      <c r="C1405" s="17">
        <v>6.6854687646208402E-2</v>
      </c>
      <c r="D1405" s="17">
        <v>5.2090107532022797E-2</v>
      </c>
      <c r="E1405" s="17">
        <v>8.2089655797672204E-2</v>
      </c>
      <c r="F1405" s="17"/>
      <c r="G1405" s="17">
        <v>5.8012440882851797E-2</v>
      </c>
      <c r="H1405" s="17">
        <v>8.1331791778474993E-2</v>
      </c>
      <c r="I1405" s="17">
        <v>3.8845374162931101E-2</v>
      </c>
      <c r="J1405" s="17">
        <v>8.8023655983945195E-2</v>
      </c>
      <c r="K1405" s="17"/>
      <c r="L1405" s="17">
        <v>7.5315005434030205E-2</v>
      </c>
      <c r="M1405" s="17">
        <v>6.0287176962380298E-2</v>
      </c>
      <c r="N1405" s="17">
        <v>7.8373854499587101E-2</v>
      </c>
      <c r="O1405" s="17">
        <v>5.2980321805889997E-2</v>
      </c>
    </row>
    <row r="1406" spans="2:15" x14ac:dyDescent="0.3">
      <c r="B1406" t="s">
        <v>334</v>
      </c>
      <c r="C1406" s="17">
        <v>7.55969563059017E-2</v>
      </c>
      <c r="D1406" s="17">
        <v>7.1574511515907005E-2</v>
      </c>
      <c r="E1406" s="17">
        <v>8.0165719882622596E-2</v>
      </c>
      <c r="F1406" s="17"/>
      <c r="G1406" s="17">
        <v>3.7982319150466001E-2</v>
      </c>
      <c r="H1406" s="17">
        <v>8.3714134617041899E-2</v>
      </c>
      <c r="I1406" s="17">
        <v>7.6073385212712494E-2</v>
      </c>
      <c r="J1406" s="17">
        <v>0.11550643169864901</v>
      </c>
      <c r="K1406" s="17"/>
      <c r="L1406" s="17">
        <v>6.6949884854081099E-2</v>
      </c>
      <c r="M1406" s="17">
        <v>5.7796029697033499E-2</v>
      </c>
      <c r="N1406" s="17">
        <v>8.3295760387386397E-2</v>
      </c>
      <c r="O1406" s="17">
        <v>9.5053138324441899E-2</v>
      </c>
    </row>
    <row r="1407" spans="2:15" x14ac:dyDescent="0.3">
      <c r="B1407" t="s">
        <v>335</v>
      </c>
      <c r="C1407" s="17">
        <v>0.205749847107145</v>
      </c>
      <c r="D1407" s="17">
        <v>0.18116961485966401</v>
      </c>
      <c r="E1407" s="17">
        <v>0.23180146561131601</v>
      </c>
      <c r="F1407" s="17"/>
      <c r="G1407" s="17">
        <v>0.14364537027771301</v>
      </c>
      <c r="H1407" s="17">
        <v>0.23065109859343</v>
      </c>
      <c r="I1407" s="17">
        <v>0.21568721747686201</v>
      </c>
      <c r="J1407" s="17">
        <v>0.25088331295302402</v>
      </c>
      <c r="K1407" s="17"/>
      <c r="L1407" s="17">
        <v>0.198234733722121</v>
      </c>
      <c r="M1407" s="17">
        <v>0.20580359588948799</v>
      </c>
      <c r="N1407" s="17">
        <v>0.23448988273150201</v>
      </c>
      <c r="O1407" s="17">
        <v>0.18207210123932199</v>
      </c>
    </row>
    <row r="1408" spans="2:15" x14ac:dyDescent="0.3">
      <c r="B1408" t="s">
        <v>440</v>
      </c>
      <c r="C1408" s="17">
        <v>0.27423031087658001</v>
      </c>
      <c r="D1408" s="17">
        <v>0.27002514459104998</v>
      </c>
      <c r="E1408" s="17">
        <v>0.28042908416448098</v>
      </c>
      <c r="F1408" s="17"/>
      <c r="G1408" s="17">
        <v>0.29687710024075697</v>
      </c>
      <c r="H1408" s="17">
        <v>0.25029754690217498</v>
      </c>
      <c r="I1408" s="17">
        <v>0.32559700660378399</v>
      </c>
      <c r="J1408" s="17">
        <v>0.22721551863682099</v>
      </c>
      <c r="K1408" s="17"/>
      <c r="L1408" s="17">
        <v>0.27331101660558699</v>
      </c>
      <c r="M1408" s="17">
        <v>0.27600752504096498</v>
      </c>
      <c r="N1408" s="17">
        <v>0.22276764046256201</v>
      </c>
      <c r="O1408" s="17">
        <v>0.32898897982834402</v>
      </c>
    </row>
    <row r="1409" spans="2:15" x14ac:dyDescent="0.3">
      <c r="B1409" t="s">
        <v>441</v>
      </c>
      <c r="C1409" s="17">
        <v>0.151792471956358</v>
      </c>
      <c r="D1409" s="17">
        <v>0.18474503052654201</v>
      </c>
      <c r="E1409" s="17">
        <v>0.117041897080046</v>
      </c>
      <c r="F1409" s="17"/>
      <c r="G1409" s="17">
        <v>0.208133751981183</v>
      </c>
      <c r="H1409" s="17">
        <v>0.12384478855565</v>
      </c>
      <c r="I1409" s="17">
        <v>0.137019717278584</v>
      </c>
      <c r="J1409" s="17">
        <v>0.124866228218817</v>
      </c>
      <c r="K1409" s="17"/>
      <c r="L1409" s="17">
        <v>0.130335798880714</v>
      </c>
      <c r="M1409" s="17">
        <v>0.17067429881429599</v>
      </c>
      <c r="N1409" s="17">
        <v>0.19914626267116001</v>
      </c>
      <c r="O1409" s="17">
        <v>0.10163693680439601</v>
      </c>
    </row>
    <row r="1410" spans="2:15" x14ac:dyDescent="0.3">
      <c r="B1410" t="s">
        <v>448</v>
      </c>
      <c r="C1410" s="17">
        <v>0.15685270594120701</v>
      </c>
      <c r="D1410" s="17">
        <v>0.18354844018647601</v>
      </c>
      <c r="E1410" s="17">
        <v>0.131330377642987</v>
      </c>
      <c r="F1410" s="17"/>
      <c r="G1410" s="17">
        <v>0.226510132850372</v>
      </c>
      <c r="H1410" s="17">
        <v>0.12714728616548801</v>
      </c>
      <c r="I1410" s="17">
        <v>0.131344520501158</v>
      </c>
      <c r="J1410" s="17">
        <v>0.11649532906313501</v>
      </c>
      <c r="K1410" s="17"/>
      <c r="L1410" s="17">
        <v>0.207542851092235</v>
      </c>
      <c r="M1410" s="17">
        <v>0.136167984469653</v>
      </c>
      <c r="N1410" s="17">
        <v>0.14613907480434199</v>
      </c>
      <c r="O1410" s="17">
        <v>0.14002074034724099</v>
      </c>
    </row>
    <row r="1411" spans="2:15" x14ac:dyDescent="0.3">
      <c r="C1411" s="17"/>
      <c r="D1411" s="17"/>
      <c r="E1411" s="17"/>
      <c r="F1411" s="17"/>
      <c r="G1411" s="17"/>
      <c r="H1411" s="17"/>
      <c r="I1411" s="17"/>
      <c r="J1411" s="17"/>
      <c r="K1411" s="17"/>
      <c r="L1411" s="17"/>
      <c r="M1411" s="17"/>
      <c r="N1411" s="17"/>
      <c r="O1411" s="17"/>
    </row>
    <row r="1412" spans="2:15" x14ac:dyDescent="0.3">
      <c r="B1412" s="6" t="s">
        <v>450</v>
      </c>
      <c r="C1412" s="17"/>
      <c r="D1412" s="17"/>
      <c r="E1412" s="17"/>
      <c r="F1412" s="17"/>
      <c r="G1412" s="17"/>
      <c r="H1412" s="17"/>
      <c r="I1412" s="17"/>
      <c r="J1412" s="17"/>
      <c r="K1412" s="17"/>
      <c r="L1412" s="17"/>
      <c r="M1412" s="17"/>
      <c r="N1412" s="17"/>
      <c r="O1412" s="17"/>
    </row>
    <row r="1413" spans="2:15" x14ac:dyDescent="0.3">
      <c r="B1413" s="23" t="s">
        <v>46</v>
      </c>
      <c r="C1413" s="17"/>
      <c r="D1413" s="17"/>
      <c r="E1413" s="17"/>
      <c r="F1413" s="17"/>
      <c r="G1413" s="17"/>
      <c r="H1413" s="17"/>
      <c r="I1413" s="17"/>
      <c r="J1413" s="17"/>
      <c r="K1413" s="17"/>
      <c r="L1413" s="17"/>
      <c r="M1413" s="17"/>
      <c r="N1413" s="17"/>
      <c r="O1413" s="17"/>
    </row>
    <row r="1414" spans="2:15" x14ac:dyDescent="0.3">
      <c r="B1414" t="s">
        <v>447</v>
      </c>
      <c r="C1414" s="17">
        <v>1.7328811350995101E-2</v>
      </c>
      <c r="D1414" s="17">
        <v>1.41997747423886E-2</v>
      </c>
      <c r="E1414" s="17">
        <v>2.0580567280345598E-2</v>
      </c>
      <c r="F1414" s="17"/>
      <c r="G1414" s="17">
        <v>1.9951305865122899E-2</v>
      </c>
      <c r="H1414" s="17">
        <v>1.9200947921323101E-2</v>
      </c>
      <c r="I1414" s="17">
        <v>1.0025231234775001E-2</v>
      </c>
      <c r="J1414" s="17">
        <v>1.8593314670902999E-2</v>
      </c>
      <c r="K1414" s="17"/>
      <c r="L1414" s="17">
        <v>1.2772170462206E-2</v>
      </c>
      <c r="M1414" s="17">
        <v>3.7893931832589198E-2</v>
      </c>
      <c r="N1414" s="17">
        <v>1.18274746974814E-2</v>
      </c>
      <c r="O1414" s="17">
        <v>5.7221494599821498E-3</v>
      </c>
    </row>
    <row r="1415" spans="2:15" x14ac:dyDescent="0.3">
      <c r="B1415" t="s">
        <v>333</v>
      </c>
      <c r="C1415" s="17">
        <v>1.2206228361138599E-2</v>
      </c>
      <c r="D1415" s="17">
        <v>3.4717899601701E-3</v>
      </c>
      <c r="E1415" s="17">
        <v>2.1019678046487699E-2</v>
      </c>
      <c r="F1415" s="17"/>
      <c r="G1415" s="17">
        <v>1.0271767794472799E-2</v>
      </c>
      <c r="H1415" s="17">
        <v>2.6051424620250702E-2</v>
      </c>
      <c r="I1415" s="17">
        <v>1.12279185479534E-2</v>
      </c>
      <c r="J1415" s="17">
        <v>0</v>
      </c>
      <c r="K1415" s="17"/>
      <c r="L1415" s="17">
        <v>3.2012613403685698E-2</v>
      </c>
      <c r="M1415" s="17">
        <v>4.5500133304441602E-3</v>
      </c>
      <c r="N1415" s="17">
        <v>1.2793374182206101E-2</v>
      </c>
      <c r="O1415" s="17">
        <v>0</v>
      </c>
    </row>
    <row r="1416" spans="2:15" x14ac:dyDescent="0.3">
      <c r="B1416" t="s">
        <v>334</v>
      </c>
      <c r="C1416" s="17">
        <v>3.5044600257279297E-2</v>
      </c>
      <c r="D1416" s="17">
        <v>2.7741925249866101E-2</v>
      </c>
      <c r="E1416" s="17">
        <v>4.2594345271355201E-2</v>
      </c>
      <c r="F1416" s="17"/>
      <c r="G1416" s="17">
        <v>2.2649410062319599E-2</v>
      </c>
      <c r="H1416" s="17">
        <v>3.9934801794775203E-2</v>
      </c>
      <c r="I1416" s="17">
        <v>1.9642651597035699E-2</v>
      </c>
      <c r="J1416" s="17">
        <v>5.9960956253058702E-2</v>
      </c>
      <c r="K1416" s="17"/>
      <c r="L1416" s="17">
        <v>5.1460451550893599E-2</v>
      </c>
      <c r="M1416" s="17">
        <v>4.1585075025855699E-2</v>
      </c>
      <c r="N1416" s="17">
        <v>2.6911163960900999E-2</v>
      </c>
      <c r="O1416" s="17">
        <v>2.04040063367276E-2</v>
      </c>
    </row>
    <row r="1417" spans="2:15" x14ac:dyDescent="0.3">
      <c r="B1417" t="s">
        <v>335</v>
      </c>
      <c r="C1417" s="17">
        <v>0.11317076328704601</v>
      </c>
      <c r="D1417" s="17">
        <v>0.114507406614377</v>
      </c>
      <c r="E1417" s="17">
        <v>0.112660347538602</v>
      </c>
      <c r="F1417" s="17"/>
      <c r="G1417" s="17">
        <v>6.8811062233965797E-2</v>
      </c>
      <c r="H1417" s="17">
        <v>0.120261151949534</v>
      </c>
      <c r="I1417" s="17">
        <v>0.146954174835673</v>
      </c>
      <c r="J1417" s="17">
        <v>0.13292715472935299</v>
      </c>
      <c r="K1417" s="17"/>
      <c r="L1417" s="17">
        <v>0.13334906680969599</v>
      </c>
      <c r="M1417" s="17">
        <v>9.1660922329355604E-2</v>
      </c>
      <c r="N1417" s="17">
        <v>0.12770903037275799</v>
      </c>
      <c r="O1417" s="17">
        <v>0.100382044785115</v>
      </c>
    </row>
    <row r="1418" spans="2:15" x14ac:dyDescent="0.3">
      <c r="B1418" t="s">
        <v>440</v>
      </c>
      <c r="C1418" s="17">
        <v>0.20934694067617399</v>
      </c>
      <c r="D1418" s="17">
        <v>0.21087029119657399</v>
      </c>
      <c r="E1418" s="17">
        <v>0.209350892564207</v>
      </c>
      <c r="F1418" s="17"/>
      <c r="G1418" s="17">
        <v>0.16742948222550699</v>
      </c>
      <c r="H1418" s="17">
        <v>0.210807036584825</v>
      </c>
      <c r="I1418" s="17">
        <v>0.196760788479972</v>
      </c>
      <c r="J1418" s="17">
        <v>0.27539379336334102</v>
      </c>
      <c r="K1418" s="17"/>
      <c r="L1418" s="17">
        <v>0.18825685359025199</v>
      </c>
      <c r="M1418" s="17">
        <v>0.24186809406743201</v>
      </c>
      <c r="N1418" s="17">
        <v>0.18103195198827601</v>
      </c>
      <c r="O1418" s="17">
        <v>0.22612672170763201</v>
      </c>
    </row>
    <row r="1419" spans="2:15" x14ac:dyDescent="0.3">
      <c r="B1419" t="s">
        <v>441</v>
      </c>
      <c r="C1419" s="17">
        <v>0.24752436697930899</v>
      </c>
      <c r="D1419" s="17">
        <v>0.25882281207542901</v>
      </c>
      <c r="E1419" s="17">
        <v>0.23510089023697001</v>
      </c>
      <c r="F1419" s="17"/>
      <c r="G1419" s="17">
        <v>0.31146438627525103</v>
      </c>
      <c r="H1419" s="17">
        <v>0.25314593389088802</v>
      </c>
      <c r="I1419" s="17">
        <v>0.26709110784881501</v>
      </c>
      <c r="J1419" s="17">
        <v>0.142030087794525</v>
      </c>
      <c r="K1419" s="17"/>
      <c r="L1419" s="17">
        <v>0.24997357651268701</v>
      </c>
      <c r="M1419" s="17">
        <v>0.22847598054009699</v>
      </c>
      <c r="N1419" s="17">
        <v>0.25073506304092902</v>
      </c>
      <c r="O1419" s="17">
        <v>0.262088349397116</v>
      </c>
    </row>
    <row r="1420" spans="2:15" x14ac:dyDescent="0.3">
      <c r="B1420" t="s">
        <v>448</v>
      </c>
      <c r="C1420" s="17">
        <v>0.36537828908805903</v>
      </c>
      <c r="D1420" s="17">
        <v>0.37038600016119499</v>
      </c>
      <c r="E1420" s="17">
        <v>0.35869327906203302</v>
      </c>
      <c r="F1420" s="17"/>
      <c r="G1420" s="17">
        <v>0.39942258554336102</v>
      </c>
      <c r="H1420" s="17">
        <v>0.33059870323840501</v>
      </c>
      <c r="I1420" s="17">
        <v>0.34829812745577599</v>
      </c>
      <c r="J1420" s="17">
        <v>0.37109469318881899</v>
      </c>
      <c r="K1420" s="17"/>
      <c r="L1420" s="17">
        <v>0.33217526767057898</v>
      </c>
      <c r="M1420" s="17">
        <v>0.35396598287422598</v>
      </c>
      <c r="N1420" s="17">
        <v>0.388991941757448</v>
      </c>
      <c r="O1420" s="17">
        <v>0.38527672831342802</v>
      </c>
    </row>
    <row r="1421" spans="2:15" x14ac:dyDescent="0.3">
      <c r="C1421" s="17"/>
      <c r="D1421" s="17"/>
      <c r="E1421" s="17"/>
      <c r="F1421" s="17"/>
      <c r="G1421" s="17"/>
      <c r="H1421" s="17"/>
      <c r="I1421" s="17"/>
      <c r="J1421" s="17"/>
      <c r="K1421" s="17"/>
      <c r="L1421" s="17"/>
      <c r="M1421" s="17"/>
      <c r="N1421" s="17"/>
      <c r="O1421" s="17"/>
    </row>
    <row r="1422" spans="2:15" x14ac:dyDescent="0.3">
      <c r="B1422" s="6" t="s">
        <v>453</v>
      </c>
      <c r="C1422" s="17"/>
      <c r="D1422" s="17"/>
      <c r="E1422" s="17"/>
      <c r="F1422" s="17"/>
      <c r="G1422" s="17"/>
      <c r="H1422" s="17"/>
      <c r="I1422" s="17"/>
      <c r="J1422" s="17"/>
      <c r="K1422" s="17"/>
      <c r="L1422" s="17"/>
      <c r="M1422" s="17"/>
      <c r="N1422" s="17"/>
      <c r="O1422" s="17"/>
    </row>
    <row r="1423" spans="2:15" x14ac:dyDescent="0.3">
      <c r="B1423" s="23" t="s">
        <v>46</v>
      </c>
      <c r="C1423" s="17"/>
      <c r="D1423" s="17"/>
      <c r="E1423" s="17"/>
      <c r="F1423" s="17"/>
      <c r="G1423" s="17"/>
      <c r="H1423" s="17"/>
      <c r="I1423" s="17"/>
      <c r="J1423" s="17"/>
      <c r="K1423" s="17"/>
      <c r="L1423" s="17"/>
      <c r="M1423" s="17"/>
      <c r="N1423" s="17"/>
      <c r="O1423" s="17"/>
    </row>
    <row r="1424" spans="2:15" x14ac:dyDescent="0.3">
      <c r="B1424" t="s">
        <v>451</v>
      </c>
      <c r="C1424" s="17">
        <v>5.7689381283147101E-2</v>
      </c>
      <c r="D1424" s="17">
        <v>4.5846009130872598E-2</v>
      </c>
      <c r="E1424" s="17">
        <v>6.9939675381046396E-2</v>
      </c>
      <c r="F1424" s="17"/>
      <c r="G1424" s="17">
        <v>1.33657562152512E-2</v>
      </c>
      <c r="H1424" s="17">
        <v>9.68929948289141E-2</v>
      </c>
      <c r="I1424" s="17">
        <v>6.4308889394157701E-2</v>
      </c>
      <c r="J1424" s="17">
        <v>6.5301200994137207E-2</v>
      </c>
      <c r="K1424" s="17"/>
      <c r="L1424" s="17">
        <v>3.7779964435824001E-2</v>
      </c>
      <c r="M1424" s="17">
        <v>6.8718789327004898E-2</v>
      </c>
      <c r="N1424" s="17">
        <v>4.1747207642693802E-2</v>
      </c>
      <c r="O1424" s="17">
        <v>8.3004516981659504E-2</v>
      </c>
    </row>
    <row r="1425" spans="2:15" x14ac:dyDescent="0.3">
      <c r="B1425" t="s">
        <v>333</v>
      </c>
      <c r="C1425" s="17">
        <v>5.2090358502488103E-2</v>
      </c>
      <c r="D1425" s="17">
        <v>4.0863476207810799E-2</v>
      </c>
      <c r="E1425" s="17">
        <v>5.9338452875256097E-2</v>
      </c>
      <c r="F1425" s="17"/>
      <c r="G1425" s="17">
        <v>1.9064303050594599E-2</v>
      </c>
      <c r="H1425" s="17">
        <v>5.3090564860306499E-2</v>
      </c>
      <c r="I1425" s="17">
        <v>9.2276210206103104E-2</v>
      </c>
      <c r="J1425" s="17">
        <v>5.7680284947934202E-2</v>
      </c>
      <c r="K1425" s="17"/>
      <c r="L1425" s="17">
        <v>5.5278297681892803E-2</v>
      </c>
      <c r="M1425" s="17">
        <v>5.9691638182304899E-2</v>
      </c>
      <c r="N1425" s="17">
        <v>5.0880120573873699E-2</v>
      </c>
      <c r="O1425" s="17">
        <v>4.2036376211400703E-2</v>
      </c>
    </row>
    <row r="1426" spans="2:15" x14ac:dyDescent="0.3">
      <c r="B1426" t="s">
        <v>334</v>
      </c>
      <c r="C1426" s="17">
        <v>7.2038789605801901E-2</v>
      </c>
      <c r="D1426" s="17">
        <v>4.0100055561245199E-2</v>
      </c>
      <c r="E1426" s="17">
        <v>0.10446614728648999</v>
      </c>
      <c r="F1426" s="17"/>
      <c r="G1426" s="17">
        <v>8.5723880691115001E-2</v>
      </c>
      <c r="H1426" s="17">
        <v>7.4685222896292203E-2</v>
      </c>
      <c r="I1426" s="17">
        <v>6.9579056925002297E-2</v>
      </c>
      <c r="J1426" s="17">
        <v>5.4039513825225399E-2</v>
      </c>
      <c r="K1426" s="17"/>
      <c r="L1426" s="17">
        <v>8.6987862882998299E-2</v>
      </c>
      <c r="M1426" s="17">
        <v>4.63160491413908E-2</v>
      </c>
      <c r="N1426" s="17">
        <v>7.0386113937634998E-2</v>
      </c>
      <c r="O1426" s="17">
        <v>8.6551547892955605E-2</v>
      </c>
    </row>
    <row r="1427" spans="2:15" x14ac:dyDescent="0.3">
      <c r="B1427" t="s">
        <v>335</v>
      </c>
      <c r="C1427" s="17">
        <v>0.14077528355910601</v>
      </c>
      <c r="D1427" s="17">
        <v>0.114566483023105</v>
      </c>
      <c r="E1427" s="17">
        <v>0.16798012961617501</v>
      </c>
      <c r="F1427" s="17"/>
      <c r="G1427" s="17">
        <v>6.5614272653204797E-2</v>
      </c>
      <c r="H1427" s="17">
        <v>0.14151389178585899</v>
      </c>
      <c r="I1427" s="17">
        <v>0.109841771892042</v>
      </c>
      <c r="J1427" s="17">
        <v>0.267108729708329</v>
      </c>
      <c r="K1427" s="17"/>
      <c r="L1427" s="17">
        <v>0.16738342022810701</v>
      </c>
      <c r="M1427" s="17">
        <v>0.126028890496624</v>
      </c>
      <c r="N1427" s="17">
        <v>0.121198659924886</v>
      </c>
      <c r="O1427" s="17">
        <v>0.15123869987923899</v>
      </c>
    </row>
    <row r="1428" spans="2:15" x14ac:dyDescent="0.3">
      <c r="B1428" t="s">
        <v>440</v>
      </c>
      <c r="C1428" s="17">
        <v>0.18161958337021</v>
      </c>
      <c r="D1428" s="17">
        <v>0.175118444908515</v>
      </c>
      <c r="E1428" s="17">
        <v>0.18943683630095701</v>
      </c>
      <c r="F1428" s="17"/>
      <c r="G1428" s="17">
        <v>0.18658261687887001</v>
      </c>
      <c r="H1428" s="17">
        <v>0.179729770034462</v>
      </c>
      <c r="I1428" s="17">
        <v>0.18534333073826101</v>
      </c>
      <c r="J1428" s="17">
        <v>0.17534710035934001</v>
      </c>
      <c r="K1428" s="17"/>
      <c r="L1428" s="17">
        <v>0.14529282774083599</v>
      </c>
      <c r="M1428" s="17">
        <v>0.225243525016975</v>
      </c>
      <c r="N1428" s="17">
        <v>0.19198041371490601</v>
      </c>
      <c r="O1428" s="17">
        <v>0.15979332041525099</v>
      </c>
    </row>
    <row r="1429" spans="2:15" x14ac:dyDescent="0.3">
      <c r="B1429" t="s">
        <v>441</v>
      </c>
      <c r="C1429" s="17">
        <v>0.183403538540584</v>
      </c>
      <c r="D1429" s="17">
        <v>0.207603617833332</v>
      </c>
      <c r="E1429" s="17">
        <v>0.15762584211479899</v>
      </c>
      <c r="F1429" s="17"/>
      <c r="G1429" s="17">
        <v>0.225608653660652</v>
      </c>
      <c r="H1429" s="17">
        <v>0.174182499054544</v>
      </c>
      <c r="I1429" s="17">
        <v>0.153917139251914</v>
      </c>
      <c r="J1429" s="17">
        <v>0.167300549498066</v>
      </c>
      <c r="K1429" s="17"/>
      <c r="L1429" s="17">
        <v>0.141484471696528</v>
      </c>
      <c r="M1429" s="17">
        <v>0.169381350092391</v>
      </c>
      <c r="N1429" s="17">
        <v>0.20155878408365599</v>
      </c>
      <c r="O1429" s="17">
        <v>0.220738898164825</v>
      </c>
    </row>
    <row r="1430" spans="2:15" x14ac:dyDescent="0.3">
      <c r="B1430" t="s">
        <v>452</v>
      </c>
      <c r="C1430" s="17">
        <v>0.31238306513866299</v>
      </c>
      <c r="D1430" s="17">
        <v>0.37590191333511902</v>
      </c>
      <c r="E1430" s="17">
        <v>0.25121291642527599</v>
      </c>
      <c r="F1430" s="17"/>
      <c r="G1430" s="17">
        <v>0.404040516850313</v>
      </c>
      <c r="H1430" s="17">
        <v>0.279905056539622</v>
      </c>
      <c r="I1430" s="17">
        <v>0.32473360159252002</v>
      </c>
      <c r="J1430" s="17">
        <v>0.21322262066696801</v>
      </c>
      <c r="K1430" s="17"/>
      <c r="L1430" s="17">
        <v>0.36579315533381401</v>
      </c>
      <c r="M1430" s="17">
        <v>0.30461975774330902</v>
      </c>
      <c r="N1430" s="17">
        <v>0.32224870012235002</v>
      </c>
      <c r="O1430" s="17">
        <v>0.256636640454669</v>
      </c>
    </row>
    <row r="1431" spans="2:15" x14ac:dyDescent="0.3">
      <c r="C1431" s="17"/>
      <c r="D1431" s="17"/>
      <c r="E1431" s="17"/>
      <c r="F1431" s="17"/>
      <c r="G1431" s="17"/>
      <c r="H1431" s="17"/>
      <c r="I1431" s="17"/>
      <c r="J1431" s="17"/>
      <c r="K1431" s="17"/>
      <c r="L1431" s="17"/>
      <c r="M1431" s="17"/>
      <c r="N1431" s="17"/>
      <c r="O1431" s="17"/>
    </row>
    <row r="1432" spans="2:15" x14ac:dyDescent="0.3">
      <c r="B1432" s="6" t="s">
        <v>459</v>
      </c>
      <c r="C1432" s="17"/>
      <c r="D1432" s="17"/>
      <c r="E1432" s="17"/>
      <c r="F1432" s="17"/>
      <c r="G1432" s="17"/>
      <c r="H1432" s="17"/>
      <c r="I1432" s="17"/>
      <c r="J1432" s="17"/>
      <c r="K1432" s="17"/>
      <c r="L1432" s="17"/>
      <c r="M1432" s="17"/>
      <c r="N1432" s="17"/>
      <c r="O1432" s="17"/>
    </row>
    <row r="1433" spans="2:15" x14ac:dyDescent="0.3">
      <c r="B1433" s="23" t="s">
        <v>46</v>
      </c>
      <c r="C1433" s="17"/>
      <c r="D1433" s="17"/>
      <c r="E1433" s="17"/>
      <c r="F1433" s="17"/>
      <c r="G1433" s="17"/>
      <c r="H1433" s="17"/>
      <c r="I1433" s="17"/>
      <c r="J1433" s="17"/>
      <c r="K1433" s="17"/>
      <c r="L1433" s="17"/>
      <c r="M1433" s="17"/>
      <c r="N1433" s="17"/>
      <c r="O1433" s="17"/>
    </row>
    <row r="1434" spans="2:15" x14ac:dyDescent="0.3">
      <c r="B1434" t="s">
        <v>137</v>
      </c>
      <c r="C1434" s="17">
        <v>5.09655330065596E-2</v>
      </c>
      <c r="D1434" s="17">
        <v>4.2876840206364002E-2</v>
      </c>
      <c r="E1434" s="17">
        <v>5.9416421643285401E-2</v>
      </c>
      <c r="F1434" s="17"/>
      <c r="G1434" s="17">
        <v>4.3613340651529803E-2</v>
      </c>
      <c r="H1434" s="17">
        <v>6.4330230404432906E-2</v>
      </c>
      <c r="I1434" s="17">
        <v>4.9412701623737801E-2</v>
      </c>
      <c r="J1434" s="17">
        <v>4.7187809960059703E-2</v>
      </c>
      <c r="K1434" s="17"/>
      <c r="L1434" s="17">
        <v>2.68196667089446E-2</v>
      </c>
      <c r="M1434" s="17">
        <v>4.4929721319719999E-2</v>
      </c>
      <c r="N1434" s="17">
        <v>7.1316533088621001E-2</v>
      </c>
      <c r="O1434" s="17">
        <v>5.9557552696572098E-2</v>
      </c>
    </row>
    <row r="1435" spans="2:15" x14ac:dyDescent="0.3">
      <c r="B1435" t="s">
        <v>138</v>
      </c>
      <c r="C1435" s="17">
        <v>0.19970748871674299</v>
      </c>
      <c r="D1435" s="17">
        <v>0.18788072379441301</v>
      </c>
      <c r="E1435" s="17">
        <v>0.21297611966786201</v>
      </c>
      <c r="F1435" s="17"/>
      <c r="G1435" s="17">
        <v>0.16754230058195299</v>
      </c>
      <c r="H1435" s="17">
        <v>0.239187770670443</v>
      </c>
      <c r="I1435" s="17">
        <v>0.16120457850804901</v>
      </c>
      <c r="J1435" s="17">
        <v>0.23348503364742301</v>
      </c>
      <c r="K1435" s="17"/>
      <c r="L1435" s="17">
        <v>0.207728141108494</v>
      </c>
      <c r="M1435" s="17">
        <v>0.12418270305375</v>
      </c>
      <c r="N1435" s="17">
        <v>0.204079076945889</v>
      </c>
      <c r="O1435" s="17">
        <v>0.26819730941117997</v>
      </c>
    </row>
    <row r="1436" spans="2:15" x14ac:dyDescent="0.3">
      <c r="B1436" t="s">
        <v>139</v>
      </c>
      <c r="C1436" s="17">
        <v>0.24822146708777401</v>
      </c>
      <c r="D1436" s="17">
        <v>0.240307973207326</v>
      </c>
      <c r="E1436" s="17">
        <v>0.25793481465259699</v>
      </c>
      <c r="F1436" s="17"/>
      <c r="G1436" s="17">
        <v>0.17709825626049</v>
      </c>
      <c r="H1436" s="17">
        <v>0.21696721153717299</v>
      </c>
      <c r="I1436" s="17">
        <v>0.344943945181587</v>
      </c>
      <c r="J1436" s="17">
        <v>0.28996502893970599</v>
      </c>
      <c r="K1436" s="17"/>
      <c r="L1436" s="17">
        <v>0.25290740660327898</v>
      </c>
      <c r="M1436" s="17">
        <v>0.24351149540353501</v>
      </c>
      <c r="N1436" s="17">
        <v>0.266558062135273</v>
      </c>
      <c r="O1436" s="17">
        <v>0.228737670658403</v>
      </c>
    </row>
    <row r="1437" spans="2:15" x14ac:dyDescent="0.3">
      <c r="B1437" t="s">
        <v>140</v>
      </c>
      <c r="C1437" s="17">
        <v>0.32609785542365599</v>
      </c>
      <c r="D1437" s="17">
        <v>0.35126972646379201</v>
      </c>
      <c r="E1437" s="17">
        <v>0.30038932595844398</v>
      </c>
      <c r="F1437" s="17"/>
      <c r="G1437" s="17">
        <v>0.39289793867142098</v>
      </c>
      <c r="H1437" s="17">
        <v>0.31362223241404102</v>
      </c>
      <c r="I1437" s="17">
        <v>0.30507377145346798</v>
      </c>
      <c r="J1437" s="17">
        <v>0.26715472086506098</v>
      </c>
      <c r="K1437" s="17"/>
      <c r="L1437" s="17">
        <v>0.30819731400109102</v>
      </c>
      <c r="M1437" s="17">
        <v>0.41575987175941498</v>
      </c>
      <c r="N1437" s="17">
        <v>0.29363573681247201</v>
      </c>
      <c r="O1437" s="17">
        <v>0.28271109867744398</v>
      </c>
    </row>
    <row r="1438" spans="2:15" x14ac:dyDescent="0.3">
      <c r="B1438" t="s">
        <v>141</v>
      </c>
      <c r="C1438" s="17">
        <v>0.14535890816657501</v>
      </c>
      <c r="D1438" s="17">
        <v>0.16253823150676999</v>
      </c>
      <c r="E1438" s="17">
        <v>0.12491279387448</v>
      </c>
      <c r="F1438" s="17"/>
      <c r="G1438" s="17">
        <v>0.202151987206906</v>
      </c>
      <c r="H1438" s="17">
        <v>0.122297168116786</v>
      </c>
      <c r="I1438" s="17">
        <v>0.117655999666754</v>
      </c>
      <c r="J1438" s="17">
        <v>0.124048165582818</v>
      </c>
      <c r="K1438" s="17"/>
      <c r="L1438" s="17">
        <v>0.15672703732919099</v>
      </c>
      <c r="M1438" s="17">
        <v>0.13839130868167601</v>
      </c>
      <c r="N1438" s="17">
        <v>0.14905727223955001</v>
      </c>
      <c r="O1438" s="17">
        <v>0.13747966585562499</v>
      </c>
    </row>
    <row r="1439" spans="2:15" x14ac:dyDescent="0.3">
      <c r="B1439" t="s">
        <v>142</v>
      </c>
      <c r="C1439" s="17">
        <v>2.96487475986934E-2</v>
      </c>
      <c r="D1439" s="17">
        <v>1.51265048213354E-2</v>
      </c>
      <c r="E1439" s="17">
        <v>4.4370524203332297E-2</v>
      </c>
      <c r="F1439" s="17"/>
      <c r="G1439" s="17">
        <v>1.6696176627700302E-2</v>
      </c>
      <c r="H1439" s="17">
        <v>4.3595386857124503E-2</v>
      </c>
      <c r="I1439" s="17">
        <v>2.1709003566404601E-2</v>
      </c>
      <c r="J1439" s="17">
        <v>3.8159241004931697E-2</v>
      </c>
      <c r="K1439" s="17"/>
      <c r="L1439" s="17">
        <v>4.7620434249001198E-2</v>
      </c>
      <c r="M1439" s="17">
        <v>3.3224899781904099E-2</v>
      </c>
      <c r="N1439" s="17">
        <v>1.5353318778193899E-2</v>
      </c>
      <c r="O1439" s="17">
        <v>2.3316702700775901E-2</v>
      </c>
    </row>
    <row r="1440" spans="2:15" x14ac:dyDescent="0.3">
      <c r="B1440" t="s">
        <v>143</v>
      </c>
      <c r="C1440" s="17">
        <v>0.25067302172330203</v>
      </c>
      <c r="D1440" s="17">
        <v>0.23075756400077699</v>
      </c>
      <c r="E1440" s="17">
        <v>0.27239254131114699</v>
      </c>
      <c r="F1440" s="17"/>
      <c r="G1440" s="17">
        <v>0.21115564123348299</v>
      </c>
      <c r="H1440" s="17">
        <v>0.30351800107487598</v>
      </c>
      <c r="I1440" s="17">
        <v>0.21061728013178699</v>
      </c>
      <c r="J1440" s="17">
        <v>0.28067284360748301</v>
      </c>
      <c r="K1440" s="17"/>
      <c r="L1440" s="17">
        <v>0.234547807817438</v>
      </c>
      <c r="M1440" s="17">
        <v>0.16911242437346999</v>
      </c>
      <c r="N1440" s="17">
        <v>0.27539561003451002</v>
      </c>
      <c r="O1440" s="17">
        <v>0.32775486210775301</v>
      </c>
    </row>
    <row r="1441" spans="2:15" x14ac:dyDescent="0.3">
      <c r="B1441" t="s">
        <v>144</v>
      </c>
      <c r="C1441" s="17">
        <v>0.47145676359022998</v>
      </c>
      <c r="D1441" s="17">
        <v>0.513807957970562</v>
      </c>
      <c r="E1441" s="17">
        <v>0.42530211983292399</v>
      </c>
      <c r="F1441" s="17"/>
      <c r="G1441" s="17">
        <v>0.59504992587832695</v>
      </c>
      <c r="H1441" s="17">
        <v>0.43591940053082701</v>
      </c>
      <c r="I1441" s="17">
        <v>0.42272977112022198</v>
      </c>
      <c r="J1441" s="17">
        <v>0.39120288644787898</v>
      </c>
      <c r="K1441" s="17"/>
      <c r="L1441" s="17">
        <v>0.46492435133028198</v>
      </c>
      <c r="M1441" s="17">
        <v>0.55415118044109102</v>
      </c>
      <c r="N1441" s="17">
        <v>0.44269300905202302</v>
      </c>
      <c r="O1441" s="17">
        <v>0.42019076453306903</v>
      </c>
    </row>
    <row r="1442" spans="2:15" x14ac:dyDescent="0.3">
      <c r="C1442" s="17"/>
      <c r="D1442" s="17"/>
      <c r="E1442" s="17"/>
      <c r="F1442" s="17"/>
      <c r="G1442" s="17"/>
      <c r="H1442" s="17"/>
      <c r="I1442" s="17"/>
      <c r="J1442" s="17"/>
      <c r="K1442" s="17"/>
      <c r="L1442" s="17"/>
      <c r="M1442" s="17"/>
      <c r="N1442" s="17"/>
      <c r="O1442" s="17"/>
    </row>
    <row r="1443" spans="2:15" x14ac:dyDescent="0.3">
      <c r="B1443" s="6" t="s">
        <v>460</v>
      </c>
      <c r="C1443" s="17"/>
      <c r="D1443" s="17"/>
      <c r="E1443" s="17"/>
      <c r="F1443" s="17"/>
      <c r="G1443" s="17"/>
      <c r="H1443" s="17"/>
      <c r="I1443" s="17"/>
      <c r="J1443" s="17"/>
      <c r="K1443" s="17"/>
      <c r="L1443" s="17"/>
      <c r="M1443" s="17"/>
      <c r="N1443" s="17"/>
      <c r="O1443" s="17"/>
    </row>
    <row r="1444" spans="2:15" x14ac:dyDescent="0.3">
      <c r="B1444" s="23" t="s">
        <v>46</v>
      </c>
      <c r="C1444" s="17"/>
      <c r="D1444" s="17"/>
      <c r="E1444" s="17"/>
      <c r="F1444" s="17"/>
      <c r="G1444" s="17"/>
      <c r="H1444" s="17"/>
      <c r="I1444" s="17"/>
      <c r="J1444" s="17"/>
      <c r="K1444" s="17"/>
      <c r="L1444" s="17"/>
      <c r="M1444" s="17"/>
      <c r="N1444" s="17"/>
      <c r="O1444" s="17"/>
    </row>
    <row r="1445" spans="2:15" x14ac:dyDescent="0.3">
      <c r="B1445" t="s">
        <v>137</v>
      </c>
      <c r="C1445" s="17">
        <v>3.2706066687863397E-2</v>
      </c>
      <c r="D1445" s="17">
        <v>2.5193447735199499E-2</v>
      </c>
      <c r="E1445" s="17">
        <v>4.0448475212803703E-2</v>
      </c>
      <c r="F1445" s="17"/>
      <c r="G1445" s="17">
        <v>2.76473373443007E-2</v>
      </c>
      <c r="H1445" s="17">
        <v>5.3216523724237602E-2</v>
      </c>
      <c r="I1445" s="17">
        <v>2.1576687138647299E-2</v>
      </c>
      <c r="J1445" s="17">
        <v>2.6427796300053201E-2</v>
      </c>
      <c r="K1445" s="17"/>
      <c r="L1445" s="17">
        <v>2.3335246253267199E-2</v>
      </c>
      <c r="M1445" s="17">
        <v>1.0877596766025101E-2</v>
      </c>
      <c r="N1445" s="17">
        <v>6.1130329971007799E-2</v>
      </c>
      <c r="O1445" s="17">
        <v>3.4766077118000401E-2</v>
      </c>
    </row>
    <row r="1446" spans="2:15" x14ac:dyDescent="0.3">
      <c r="B1446" t="s">
        <v>138</v>
      </c>
      <c r="C1446" s="17">
        <v>0.13090459466552001</v>
      </c>
      <c r="D1446" s="17">
        <v>0.11768545457659201</v>
      </c>
      <c r="E1446" s="17">
        <v>0.14506263070851999</v>
      </c>
      <c r="F1446" s="17"/>
      <c r="G1446" s="17">
        <v>0.123280627413264</v>
      </c>
      <c r="H1446" s="17">
        <v>0.16188757275708399</v>
      </c>
      <c r="I1446" s="17">
        <v>0.123321483266739</v>
      </c>
      <c r="J1446" s="17">
        <v>0.113621897484054</v>
      </c>
      <c r="K1446" s="17"/>
      <c r="L1446" s="17">
        <v>0.15636321926399199</v>
      </c>
      <c r="M1446" s="17">
        <v>0.141969573173959</v>
      </c>
      <c r="N1446" s="17">
        <v>0.119757727940574</v>
      </c>
      <c r="O1446" s="17">
        <v>0.105618507896359</v>
      </c>
    </row>
    <row r="1447" spans="2:15" x14ac:dyDescent="0.3">
      <c r="B1447" t="s">
        <v>139</v>
      </c>
      <c r="C1447" s="17">
        <v>0.251507693566346</v>
      </c>
      <c r="D1447" s="17">
        <v>0.238318611861813</v>
      </c>
      <c r="E1447" s="17">
        <v>0.26651457353036301</v>
      </c>
      <c r="F1447" s="17"/>
      <c r="G1447" s="17">
        <v>0.17543589653375299</v>
      </c>
      <c r="H1447" s="17">
        <v>0.24274330366826899</v>
      </c>
      <c r="I1447" s="17">
        <v>0.29783171477009002</v>
      </c>
      <c r="J1447" s="17">
        <v>0.32018615883405699</v>
      </c>
      <c r="K1447" s="17"/>
      <c r="L1447" s="17">
        <v>0.22203527295655401</v>
      </c>
      <c r="M1447" s="17">
        <v>0.22819437601371401</v>
      </c>
      <c r="N1447" s="17">
        <v>0.25966196439341099</v>
      </c>
      <c r="O1447" s="17">
        <v>0.29722579875343802</v>
      </c>
    </row>
    <row r="1448" spans="2:15" x14ac:dyDescent="0.3">
      <c r="B1448" t="s">
        <v>140</v>
      </c>
      <c r="C1448" s="17">
        <v>0.35530692363744298</v>
      </c>
      <c r="D1448" s="17">
        <v>0.36030784280520101</v>
      </c>
      <c r="E1448" s="17">
        <v>0.34995924816873297</v>
      </c>
      <c r="F1448" s="17"/>
      <c r="G1448" s="17">
        <v>0.42619847544221401</v>
      </c>
      <c r="H1448" s="17">
        <v>0.328400580994062</v>
      </c>
      <c r="I1448" s="17">
        <v>0.32760577181246903</v>
      </c>
      <c r="J1448" s="17">
        <v>0.31374178931336799</v>
      </c>
      <c r="K1448" s="17"/>
      <c r="L1448" s="17">
        <v>0.332656295795975</v>
      </c>
      <c r="M1448" s="17">
        <v>0.36816619374444498</v>
      </c>
      <c r="N1448" s="17">
        <v>0.32811730500567599</v>
      </c>
      <c r="O1448" s="17">
        <v>0.39357951442700301</v>
      </c>
    </row>
    <row r="1449" spans="2:15" x14ac:dyDescent="0.3">
      <c r="B1449" t="s">
        <v>141</v>
      </c>
      <c r="C1449" s="17">
        <v>0.194836125031005</v>
      </c>
      <c r="D1449" s="17">
        <v>0.23160775245743301</v>
      </c>
      <c r="E1449" s="17">
        <v>0.155180554787062</v>
      </c>
      <c r="F1449" s="17"/>
      <c r="G1449" s="17">
        <v>0.23592749200829899</v>
      </c>
      <c r="H1449" s="17">
        <v>0.17094986195549</v>
      </c>
      <c r="I1449" s="17">
        <v>0.175271655828796</v>
      </c>
      <c r="J1449" s="17">
        <v>0.18786311706353601</v>
      </c>
      <c r="K1449" s="17"/>
      <c r="L1449" s="17">
        <v>0.215946820892299</v>
      </c>
      <c r="M1449" s="17">
        <v>0.20325921708081601</v>
      </c>
      <c r="N1449" s="17">
        <v>0.21478307230488999</v>
      </c>
      <c r="O1449" s="17">
        <v>0.143055031205779</v>
      </c>
    </row>
    <row r="1450" spans="2:15" x14ac:dyDescent="0.3">
      <c r="B1450" t="s">
        <v>142</v>
      </c>
      <c r="C1450" s="17">
        <v>3.4738596411822899E-2</v>
      </c>
      <c r="D1450" s="17">
        <v>2.6886890563761E-2</v>
      </c>
      <c r="E1450" s="17">
        <v>4.2834517592517503E-2</v>
      </c>
      <c r="F1450" s="17"/>
      <c r="G1450" s="17">
        <v>1.15101712581696E-2</v>
      </c>
      <c r="H1450" s="17">
        <v>4.28021569008568E-2</v>
      </c>
      <c r="I1450" s="17">
        <v>5.4392687183259202E-2</v>
      </c>
      <c r="J1450" s="17">
        <v>3.8159241004931697E-2</v>
      </c>
      <c r="K1450" s="17"/>
      <c r="L1450" s="17">
        <v>4.9663144837911802E-2</v>
      </c>
      <c r="M1450" s="17">
        <v>4.7533043221041002E-2</v>
      </c>
      <c r="N1450" s="17">
        <v>1.6549600384440599E-2</v>
      </c>
      <c r="O1450" s="17">
        <v>2.5755070599421E-2</v>
      </c>
    </row>
    <row r="1451" spans="2:15" x14ac:dyDescent="0.3">
      <c r="B1451" t="s">
        <v>143</v>
      </c>
      <c r="C1451" s="17">
        <v>0.16361066135338401</v>
      </c>
      <c r="D1451" s="17">
        <v>0.14287890231179201</v>
      </c>
      <c r="E1451" s="17">
        <v>0.185511105921324</v>
      </c>
      <c r="F1451" s="17"/>
      <c r="G1451" s="17">
        <v>0.15092796475756501</v>
      </c>
      <c r="H1451" s="17">
        <v>0.21510409648132101</v>
      </c>
      <c r="I1451" s="17">
        <v>0.144898170405386</v>
      </c>
      <c r="J1451" s="17">
        <v>0.140049693784108</v>
      </c>
      <c r="K1451" s="17"/>
      <c r="L1451" s="17">
        <v>0.17969846551725899</v>
      </c>
      <c r="M1451" s="17">
        <v>0.15284716993998401</v>
      </c>
      <c r="N1451" s="17">
        <v>0.180888057911582</v>
      </c>
      <c r="O1451" s="17">
        <v>0.14038458501435899</v>
      </c>
    </row>
    <row r="1452" spans="2:15" x14ac:dyDescent="0.3">
      <c r="B1452" t="s">
        <v>144</v>
      </c>
      <c r="C1452" s="17">
        <v>0.55014304866844699</v>
      </c>
      <c r="D1452" s="17">
        <v>0.59191559526263404</v>
      </c>
      <c r="E1452" s="17">
        <v>0.50513980295579597</v>
      </c>
      <c r="F1452" s="17"/>
      <c r="G1452" s="17">
        <v>0.662125967450513</v>
      </c>
      <c r="H1452" s="17">
        <v>0.499350442949553</v>
      </c>
      <c r="I1452" s="17">
        <v>0.50287742764126497</v>
      </c>
      <c r="J1452" s="17">
        <v>0.50160490637690403</v>
      </c>
      <c r="K1452" s="17"/>
      <c r="L1452" s="17">
        <v>0.548603116688274</v>
      </c>
      <c r="M1452" s="17">
        <v>0.57142541082526199</v>
      </c>
      <c r="N1452" s="17">
        <v>0.54290037731056595</v>
      </c>
      <c r="O1452" s="17">
        <v>0.53663454563278201</v>
      </c>
    </row>
    <row r="1453" spans="2:15" x14ac:dyDescent="0.3">
      <c r="C1453" s="17"/>
      <c r="D1453" s="17"/>
      <c r="E1453" s="17"/>
      <c r="F1453" s="17"/>
      <c r="G1453" s="17"/>
      <c r="H1453" s="17"/>
      <c r="I1453" s="17"/>
      <c r="J1453" s="17"/>
      <c r="K1453" s="17"/>
      <c r="L1453" s="17"/>
      <c r="M1453" s="17"/>
      <c r="N1453" s="17"/>
      <c r="O1453" s="17"/>
    </row>
    <row r="1454" spans="2:15" x14ac:dyDescent="0.3">
      <c r="B1454" s="6" t="s">
        <v>461</v>
      </c>
      <c r="C1454" s="17"/>
      <c r="D1454" s="17"/>
      <c r="E1454" s="17"/>
      <c r="F1454" s="17"/>
      <c r="G1454" s="17"/>
      <c r="H1454" s="17"/>
      <c r="I1454" s="17"/>
      <c r="J1454" s="17"/>
      <c r="K1454" s="17"/>
      <c r="L1454" s="17"/>
      <c r="M1454" s="17"/>
      <c r="N1454" s="17"/>
      <c r="O1454" s="17"/>
    </row>
    <row r="1455" spans="2:15" x14ac:dyDescent="0.3">
      <c r="B1455" s="23" t="s">
        <v>46</v>
      </c>
      <c r="C1455" s="17"/>
      <c r="D1455" s="17"/>
      <c r="E1455" s="17"/>
      <c r="F1455" s="17"/>
      <c r="G1455" s="17"/>
      <c r="H1455" s="17"/>
      <c r="I1455" s="17"/>
      <c r="J1455" s="17"/>
      <c r="K1455" s="17"/>
      <c r="L1455" s="17"/>
      <c r="M1455" s="17"/>
      <c r="N1455" s="17"/>
      <c r="O1455" s="17"/>
    </row>
    <row r="1456" spans="2:15" x14ac:dyDescent="0.3">
      <c r="B1456" t="s">
        <v>137</v>
      </c>
      <c r="C1456" s="17">
        <v>5.4240221394931502E-2</v>
      </c>
      <c r="D1456" s="17">
        <v>4.0779198738432103E-2</v>
      </c>
      <c r="E1456" s="17">
        <v>6.8081190299541502E-2</v>
      </c>
      <c r="F1456" s="17"/>
      <c r="G1456" s="17">
        <v>4.0695996087483199E-2</v>
      </c>
      <c r="H1456" s="17">
        <v>7.5182767284554905E-2</v>
      </c>
      <c r="I1456" s="17">
        <v>4.1631362510398902E-2</v>
      </c>
      <c r="J1456" s="17">
        <v>6.0036784347253999E-2</v>
      </c>
      <c r="K1456" s="17"/>
      <c r="L1456" s="17">
        <v>6.5993737464557403E-2</v>
      </c>
      <c r="M1456" s="17">
        <v>5.5380175251838602E-2</v>
      </c>
      <c r="N1456" s="17">
        <v>5.4951800744477398E-2</v>
      </c>
      <c r="O1456" s="17">
        <v>4.0489513699049198E-2</v>
      </c>
    </row>
    <row r="1457" spans="2:15" x14ac:dyDescent="0.3">
      <c r="B1457" t="s">
        <v>138</v>
      </c>
      <c r="C1457" s="17">
        <v>0.181622367224822</v>
      </c>
      <c r="D1457" s="17">
        <v>0.18721995671330299</v>
      </c>
      <c r="E1457" s="17">
        <v>0.17735467957451101</v>
      </c>
      <c r="F1457" s="17"/>
      <c r="G1457" s="17">
        <v>0.15497509799704001</v>
      </c>
      <c r="H1457" s="17">
        <v>0.200552338057224</v>
      </c>
      <c r="I1457" s="17">
        <v>0.151284667129399</v>
      </c>
      <c r="J1457" s="17">
        <v>0.22394678495944201</v>
      </c>
      <c r="K1457" s="17"/>
      <c r="L1457" s="17">
        <v>0.191203219583436</v>
      </c>
      <c r="M1457" s="17">
        <v>0.163389637609654</v>
      </c>
      <c r="N1457" s="17">
        <v>0.16428746722331999</v>
      </c>
      <c r="O1457" s="17">
        <v>0.21043498687808901</v>
      </c>
    </row>
    <row r="1458" spans="2:15" x14ac:dyDescent="0.3">
      <c r="B1458" t="s">
        <v>139</v>
      </c>
      <c r="C1458" s="17">
        <v>0.280082632881889</v>
      </c>
      <c r="D1458" s="17">
        <v>0.269492070211308</v>
      </c>
      <c r="E1458" s="17">
        <v>0.292702184131374</v>
      </c>
      <c r="F1458" s="17"/>
      <c r="G1458" s="17">
        <v>0.26881660785457001</v>
      </c>
      <c r="H1458" s="17">
        <v>0.24096220439403701</v>
      </c>
      <c r="I1458" s="17">
        <v>0.31404949107901198</v>
      </c>
      <c r="J1458" s="17">
        <v>0.31036952924080802</v>
      </c>
      <c r="K1458" s="17"/>
      <c r="L1458" s="17">
        <v>0.26055123460187601</v>
      </c>
      <c r="M1458" s="17">
        <v>0.278065629896939</v>
      </c>
      <c r="N1458" s="17">
        <v>0.28276174146780297</v>
      </c>
      <c r="O1458" s="17">
        <v>0.29888146976854801</v>
      </c>
    </row>
    <row r="1459" spans="2:15" x14ac:dyDescent="0.3">
      <c r="B1459" t="s">
        <v>140</v>
      </c>
      <c r="C1459" s="17">
        <v>0.29643349892335402</v>
      </c>
      <c r="D1459" s="17">
        <v>0.31004746747127299</v>
      </c>
      <c r="E1459" s="17">
        <v>0.27770793816665301</v>
      </c>
      <c r="F1459" s="17"/>
      <c r="G1459" s="17">
        <v>0.348907390899521</v>
      </c>
      <c r="H1459" s="17">
        <v>0.260058808475853</v>
      </c>
      <c r="I1459" s="17">
        <v>0.30568898565053898</v>
      </c>
      <c r="J1459" s="17">
        <v>0.255392878352389</v>
      </c>
      <c r="K1459" s="17"/>
      <c r="L1459" s="17">
        <v>0.293285623739657</v>
      </c>
      <c r="M1459" s="17">
        <v>0.32911470202491599</v>
      </c>
      <c r="N1459" s="17">
        <v>0.27060402673684703</v>
      </c>
      <c r="O1459" s="17">
        <v>0.29240625048772401</v>
      </c>
    </row>
    <row r="1460" spans="2:15" x14ac:dyDescent="0.3">
      <c r="B1460" t="s">
        <v>141</v>
      </c>
      <c r="C1460" s="17">
        <v>0.15189327826049401</v>
      </c>
      <c r="D1460" s="17">
        <v>0.17246728436455699</v>
      </c>
      <c r="E1460" s="17">
        <v>0.13244957149974501</v>
      </c>
      <c r="F1460" s="17"/>
      <c r="G1460" s="17">
        <v>0.17367815212021601</v>
      </c>
      <c r="H1460" s="17">
        <v>0.166310758226167</v>
      </c>
      <c r="I1460" s="17">
        <v>0.13598430589386901</v>
      </c>
      <c r="J1460" s="17">
        <v>0.122899139903228</v>
      </c>
      <c r="K1460" s="17"/>
      <c r="L1460" s="17">
        <v>0.154225541578351</v>
      </c>
      <c r="M1460" s="17">
        <v>0.15164136326369701</v>
      </c>
      <c r="N1460" s="17">
        <v>0.19899128468777799</v>
      </c>
      <c r="O1460" s="17">
        <v>9.8809174112662795E-2</v>
      </c>
    </row>
    <row r="1461" spans="2:15" x14ac:dyDescent="0.3">
      <c r="B1461" t="s">
        <v>142</v>
      </c>
      <c r="C1461" s="17">
        <v>3.57280013145099E-2</v>
      </c>
      <c r="D1461" s="17">
        <v>1.9994022501126099E-2</v>
      </c>
      <c r="E1461" s="17">
        <v>5.1704436328175701E-2</v>
      </c>
      <c r="F1461" s="17"/>
      <c r="G1461" s="17">
        <v>1.29267550411695E-2</v>
      </c>
      <c r="H1461" s="17">
        <v>5.6933123562164803E-2</v>
      </c>
      <c r="I1461" s="17">
        <v>5.13611877367815E-2</v>
      </c>
      <c r="J1461" s="17">
        <v>2.7354883196878399E-2</v>
      </c>
      <c r="K1461" s="17"/>
      <c r="L1461" s="17">
        <v>3.4740643032122598E-2</v>
      </c>
      <c r="M1461" s="17">
        <v>2.2408491952955301E-2</v>
      </c>
      <c r="N1461" s="17">
        <v>2.84036791397753E-2</v>
      </c>
      <c r="O1461" s="17">
        <v>5.8978605053926103E-2</v>
      </c>
    </row>
    <row r="1462" spans="2:15" x14ac:dyDescent="0.3">
      <c r="B1462" t="s">
        <v>143</v>
      </c>
      <c r="C1462" s="17">
        <v>0.23586258861975301</v>
      </c>
      <c r="D1462" s="17">
        <v>0.22799915545173599</v>
      </c>
      <c r="E1462" s="17">
        <v>0.245435869874052</v>
      </c>
      <c r="F1462" s="17"/>
      <c r="G1462" s="17">
        <v>0.19567109408452299</v>
      </c>
      <c r="H1462" s="17">
        <v>0.27573510534177897</v>
      </c>
      <c r="I1462" s="17">
        <v>0.19291602963979801</v>
      </c>
      <c r="J1462" s="17">
        <v>0.28398356930669599</v>
      </c>
      <c r="K1462" s="17"/>
      <c r="L1462" s="17">
        <v>0.257196957047994</v>
      </c>
      <c r="M1462" s="17">
        <v>0.218769812861493</v>
      </c>
      <c r="N1462" s="17">
        <v>0.219239267967797</v>
      </c>
      <c r="O1462" s="17">
        <v>0.250924500577139</v>
      </c>
    </row>
    <row r="1463" spans="2:15" x14ac:dyDescent="0.3">
      <c r="B1463" t="s">
        <v>144</v>
      </c>
      <c r="C1463" s="17">
        <v>0.448326777183848</v>
      </c>
      <c r="D1463" s="17">
        <v>0.48251475183582998</v>
      </c>
      <c r="E1463" s="17">
        <v>0.41015750966639802</v>
      </c>
      <c r="F1463" s="17"/>
      <c r="G1463" s="17">
        <v>0.52258554301973703</v>
      </c>
      <c r="H1463" s="17">
        <v>0.42636956670201998</v>
      </c>
      <c r="I1463" s="17">
        <v>0.44167329154440799</v>
      </c>
      <c r="J1463" s="17">
        <v>0.37829201825561798</v>
      </c>
      <c r="K1463" s="17"/>
      <c r="L1463" s="17">
        <v>0.447511165318008</v>
      </c>
      <c r="M1463" s="17">
        <v>0.48075606528861298</v>
      </c>
      <c r="N1463" s="17">
        <v>0.46959531142462502</v>
      </c>
      <c r="O1463" s="17">
        <v>0.391215424600387</v>
      </c>
    </row>
    <row r="1464" spans="2:15" x14ac:dyDescent="0.3">
      <c r="C1464" s="17"/>
      <c r="D1464" s="17"/>
      <c r="E1464" s="17"/>
      <c r="F1464" s="17"/>
      <c r="G1464" s="17"/>
      <c r="H1464" s="17"/>
      <c r="I1464" s="17"/>
      <c r="J1464" s="17"/>
      <c r="K1464" s="17"/>
      <c r="L1464" s="17"/>
      <c r="M1464" s="17"/>
      <c r="N1464" s="17"/>
      <c r="O1464" s="17"/>
    </row>
    <row r="1465" spans="2:15" x14ac:dyDescent="0.3">
      <c r="B1465" s="6" t="s">
        <v>462</v>
      </c>
      <c r="C1465" s="17"/>
      <c r="D1465" s="17"/>
      <c r="E1465" s="17"/>
      <c r="F1465" s="17"/>
      <c r="G1465" s="17"/>
      <c r="H1465" s="17"/>
      <c r="I1465" s="17"/>
      <c r="J1465" s="17"/>
      <c r="K1465" s="17"/>
      <c r="L1465" s="17"/>
      <c r="M1465" s="17"/>
      <c r="N1465" s="17"/>
      <c r="O1465" s="17"/>
    </row>
    <row r="1466" spans="2:15" x14ac:dyDescent="0.3">
      <c r="B1466" s="23" t="s">
        <v>46</v>
      </c>
      <c r="C1466" s="17"/>
      <c r="D1466" s="17"/>
      <c r="E1466" s="17"/>
      <c r="F1466" s="17"/>
      <c r="G1466" s="17"/>
      <c r="H1466" s="17"/>
      <c r="I1466" s="17"/>
      <c r="J1466" s="17"/>
      <c r="K1466" s="17"/>
      <c r="L1466" s="17"/>
      <c r="M1466" s="17"/>
      <c r="N1466" s="17"/>
      <c r="O1466" s="17"/>
    </row>
    <row r="1467" spans="2:15" x14ac:dyDescent="0.3">
      <c r="B1467" t="s">
        <v>137</v>
      </c>
      <c r="C1467" s="17">
        <v>7.0570026030224706E-2</v>
      </c>
      <c r="D1467" s="17">
        <v>4.7769638043931598E-2</v>
      </c>
      <c r="E1467" s="17">
        <v>8.9513123102873599E-2</v>
      </c>
      <c r="F1467" s="17"/>
      <c r="G1467" s="17">
        <v>6.4179696424513599E-2</v>
      </c>
      <c r="H1467" s="17">
        <v>8.6689225101192299E-2</v>
      </c>
      <c r="I1467" s="17">
        <v>7.4350236560261296E-2</v>
      </c>
      <c r="J1467" s="17">
        <v>5.7702802004604703E-2</v>
      </c>
      <c r="K1467" s="17"/>
      <c r="L1467" s="17">
        <v>4.9115156571058402E-2</v>
      </c>
      <c r="M1467" s="17">
        <v>7.7018905853537198E-2</v>
      </c>
      <c r="N1467" s="17">
        <v>7.0508436581747602E-2</v>
      </c>
      <c r="O1467" s="17">
        <v>8.5154186066829299E-2</v>
      </c>
    </row>
    <row r="1468" spans="2:15" x14ac:dyDescent="0.3">
      <c r="B1468" t="s">
        <v>138</v>
      </c>
      <c r="C1468" s="17">
        <v>0.15642662213310099</v>
      </c>
      <c r="D1468" s="17">
        <v>0.180543186482854</v>
      </c>
      <c r="E1468" s="17">
        <v>0.13347742391536399</v>
      </c>
      <c r="F1468" s="17"/>
      <c r="G1468" s="17">
        <v>0.12432755592064</v>
      </c>
      <c r="H1468" s="17">
        <v>0.14992389953051899</v>
      </c>
      <c r="I1468" s="17">
        <v>0.166714821895667</v>
      </c>
      <c r="J1468" s="17">
        <v>0.197437222953014</v>
      </c>
      <c r="K1468" s="17"/>
      <c r="L1468" s="17">
        <v>0.171368051736625</v>
      </c>
      <c r="M1468" s="17">
        <v>0.140331942013116</v>
      </c>
      <c r="N1468" s="17">
        <v>0.154526418762861</v>
      </c>
      <c r="O1468" s="17">
        <v>0.16085772024914</v>
      </c>
    </row>
    <row r="1469" spans="2:15" x14ac:dyDescent="0.3">
      <c r="B1469" t="s">
        <v>139</v>
      </c>
      <c r="C1469" s="17">
        <v>0.225068169469722</v>
      </c>
      <c r="D1469" s="17">
        <v>0.176964953504929</v>
      </c>
      <c r="E1469" s="17">
        <v>0.27181511641792</v>
      </c>
      <c r="F1469" s="17"/>
      <c r="G1469" s="17">
        <v>0.21554161131719499</v>
      </c>
      <c r="H1469" s="17">
        <v>0.224866850490724</v>
      </c>
      <c r="I1469" s="17">
        <v>0.23714874156173901</v>
      </c>
      <c r="J1469" s="17">
        <v>0.22845652261788699</v>
      </c>
      <c r="K1469" s="17"/>
      <c r="L1469" s="17">
        <v>0.247645053472449</v>
      </c>
      <c r="M1469" s="17">
        <v>0.19236255044438999</v>
      </c>
      <c r="N1469" s="17">
        <v>0.237140089693365</v>
      </c>
      <c r="O1469" s="17">
        <v>0.224596689327724</v>
      </c>
    </row>
    <row r="1470" spans="2:15" x14ac:dyDescent="0.3">
      <c r="B1470" t="s">
        <v>140</v>
      </c>
      <c r="C1470" s="17">
        <v>0.32960102989309098</v>
      </c>
      <c r="D1470" s="17">
        <v>0.32850271570918599</v>
      </c>
      <c r="E1470" s="17">
        <v>0.33309998807832503</v>
      </c>
      <c r="F1470" s="17"/>
      <c r="G1470" s="17">
        <v>0.32674123725710702</v>
      </c>
      <c r="H1470" s="17">
        <v>0.33449889017502998</v>
      </c>
      <c r="I1470" s="17">
        <v>0.28007995053122497</v>
      </c>
      <c r="J1470" s="17">
        <v>0.36763925074767201</v>
      </c>
      <c r="K1470" s="17"/>
      <c r="L1470" s="17">
        <v>0.346587050918857</v>
      </c>
      <c r="M1470" s="17">
        <v>0.321747949068939</v>
      </c>
      <c r="N1470" s="17">
        <v>0.30706039071051999</v>
      </c>
      <c r="O1470" s="17">
        <v>0.34548204583806202</v>
      </c>
    </row>
    <row r="1471" spans="2:15" x14ac:dyDescent="0.3">
      <c r="B1471" t="s">
        <v>141</v>
      </c>
      <c r="C1471" s="17">
        <v>0.19727383922514399</v>
      </c>
      <c r="D1471" s="17">
        <v>0.24799657369120701</v>
      </c>
      <c r="E1471" s="17">
        <v>0.148046410876125</v>
      </c>
      <c r="F1471" s="17"/>
      <c r="G1471" s="17">
        <v>0.26533528036427401</v>
      </c>
      <c r="H1471" s="17">
        <v>0.169096623451128</v>
      </c>
      <c r="I1471" s="17">
        <v>0.23282598482675801</v>
      </c>
      <c r="J1471" s="17">
        <v>0.109788692066924</v>
      </c>
      <c r="K1471" s="17"/>
      <c r="L1471" s="17">
        <v>0.167450745629102</v>
      </c>
      <c r="M1471" s="17">
        <v>0.247386550496899</v>
      </c>
      <c r="N1471" s="17">
        <v>0.20374812475154899</v>
      </c>
      <c r="O1471" s="17">
        <v>0.166173994708569</v>
      </c>
    </row>
    <row r="1472" spans="2:15" x14ac:dyDescent="0.3">
      <c r="B1472" t="s">
        <v>142</v>
      </c>
      <c r="C1472" s="17">
        <v>2.1060313248717499E-2</v>
      </c>
      <c r="D1472" s="17">
        <v>1.82229325678918E-2</v>
      </c>
      <c r="E1472" s="17">
        <v>2.4047937609392299E-2</v>
      </c>
      <c r="F1472" s="17"/>
      <c r="G1472" s="17">
        <v>3.8746187162700101E-3</v>
      </c>
      <c r="H1472" s="17">
        <v>3.4924511251407102E-2</v>
      </c>
      <c r="I1472" s="17">
        <v>8.8802646243490296E-3</v>
      </c>
      <c r="J1472" s="17">
        <v>3.8975509609898602E-2</v>
      </c>
      <c r="K1472" s="17"/>
      <c r="L1472" s="17">
        <v>1.7833941671908601E-2</v>
      </c>
      <c r="M1472" s="17">
        <v>2.1152102123119399E-2</v>
      </c>
      <c r="N1472" s="17">
        <v>2.7016539499957401E-2</v>
      </c>
      <c r="O1472" s="17">
        <v>1.7735363809675199E-2</v>
      </c>
    </row>
    <row r="1473" spans="2:15" x14ac:dyDescent="0.3">
      <c r="B1473" t="s">
        <v>143</v>
      </c>
      <c r="C1473" s="17">
        <v>0.22699664816332599</v>
      </c>
      <c r="D1473" s="17">
        <v>0.228312824526786</v>
      </c>
      <c r="E1473" s="17">
        <v>0.22299054701823801</v>
      </c>
      <c r="F1473" s="17"/>
      <c r="G1473" s="17">
        <v>0.188507252345154</v>
      </c>
      <c r="H1473" s="17">
        <v>0.236613124631711</v>
      </c>
      <c r="I1473" s="17">
        <v>0.24106505845592799</v>
      </c>
      <c r="J1473" s="17">
        <v>0.255140024957619</v>
      </c>
      <c r="K1473" s="17"/>
      <c r="L1473" s="17">
        <v>0.220483208307683</v>
      </c>
      <c r="M1473" s="17">
        <v>0.21735084786665401</v>
      </c>
      <c r="N1473" s="17">
        <v>0.22503485534460901</v>
      </c>
      <c r="O1473" s="17">
        <v>0.246011906315969</v>
      </c>
    </row>
    <row r="1474" spans="2:15" x14ac:dyDescent="0.3">
      <c r="B1474" t="s">
        <v>144</v>
      </c>
      <c r="C1474" s="17">
        <v>0.526874869118234</v>
      </c>
      <c r="D1474" s="17">
        <v>0.57649928940039297</v>
      </c>
      <c r="E1474" s="17">
        <v>0.48114639895444999</v>
      </c>
      <c r="F1474" s="17"/>
      <c r="G1474" s="17">
        <v>0.59207651762138103</v>
      </c>
      <c r="H1474" s="17">
        <v>0.50359551362615795</v>
      </c>
      <c r="I1474" s="17">
        <v>0.51290593535798301</v>
      </c>
      <c r="J1474" s="17">
        <v>0.477427942814596</v>
      </c>
      <c r="K1474" s="17"/>
      <c r="L1474" s="17">
        <v>0.514037796547959</v>
      </c>
      <c r="M1474" s="17">
        <v>0.56913449956583695</v>
      </c>
      <c r="N1474" s="17">
        <v>0.51080851546206896</v>
      </c>
      <c r="O1474" s="17">
        <v>0.51165604054663105</v>
      </c>
    </row>
    <row r="1475" spans="2:15" x14ac:dyDescent="0.3">
      <c r="C1475" s="17"/>
      <c r="D1475" s="17"/>
      <c r="E1475" s="17"/>
      <c r="F1475" s="17"/>
      <c r="G1475" s="17"/>
      <c r="H1475" s="17"/>
      <c r="I1475" s="17"/>
      <c r="J1475" s="17"/>
      <c r="K1475" s="17"/>
      <c r="L1475" s="17"/>
      <c r="M1475" s="17"/>
      <c r="N1475" s="17"/>
      <c r="O1475" s="17"/>
    </row>
    <row r="1476" spans="2:15" x14ac:dyDescent="0.3">
      <c r="B1476" s="6" t="s">
        <v>475</v>
      </c>
      <c r="C1476" s="17"/>
      <c r="D1476" s="17"/>
      <c r="E1476" s="17"/>
      <c r="F1476" s="17"/>
      <c r="G1476" s="17"/>
      <c r="H1476" s="17"/>
      <c r="I1476" s="17"/>
      <c r="J1476" s="17"/>
      <c r="K1476" s="17"/>
      <c r="L1476" s="17"/>
      <c r="M1476" s="17"/>
      <c r="N1476" s="17"/>
      <c r="O1476" s="17"/>
    </row>
    <row r="1477" spans="2:15" x14ac:dyDescent="0.3">
      <c r="B1477" s="23" t="s">
        <v>474</v>
      </c>
      <c r="C1477" s="17"/>
      <c r="D1477" s="17"/>
      <c r="E1477" s="17"/>
      <c r="F1477" s="17"/>
      <c r="G1477" s="17"/>
      <c r="H1477" s="17"/>
      <c r="I1477" s="17"/>
      <c r="J1477" s="17"/>
      <c r="K1477" s="17"/>
      <c r="L1477" s="17"/>
      <c r="M1477" s="17"/>
      <c r="N1477" s="17"/>
      <c r="O1477" s="17"/>
    </row>
    <row r="1478" spans="2:15" x14ac:dyDescent="0.3">
      <c r="B1478" t="s">
        <v>380</v>
      </c>
      <c r="C1478" s="17">
        <v>0.14300646904338199</v>
      </c>
      <c r="D1478" s="17">
        <v>0.137514402055359</v>
      </c>
      <c r="E1478" s="17">
        <v>0.13823793852514099</v>
      </c>
      <c r="F1478" s="17"/>
      <c r="G1478" s="17">
        <v>0.114988667278441</v>
      </c>
      <c r="H1478" s="17">
        <v>0.14542821440089501</v>
      </c>
      <c r="I1478" s="17">
        <v>0.119653413588479</v>
      </c>
      <c r="J1478" s="17">
        <v>0.186050801381444</v>
      </c>
      <c r="K1478" s="17"/>
      <c r="L1478" s="17">
        <v>0.104733731428353</v>
      </c>
      <c r="M1478" s="17">
        <v>0.23652482457649601</v>
      </c>
      <c r="N1478" s="17">
        <v>0.17270638662053001</v>
      </c>
      <c r="O1478" s="17">
        <v>0.101641269082358</v>
      </c>
    </row>
    <row r="1479" spans="2:15" x14ac:dyDescent="0.3">
      <c r="B1479" t="s">
        <v>381</v>
      </c>
      <c r="C1479" s="17">
        <v>0.33588300488862999</v>
      </c>
      <c r="D1479" s="17">
        <v>0.358429674960137</v>
      </c>
      <c r="E1479" s="17">
        <v>0.32519308808656</v>
      </c>
      <c r="F1479" s="17"/>
      <c r="G1479" s="17">
        <v>0.30913686154880099</v>
      </c>
      <c r="H1479" s="17">
        <v>0.35473674068097599</v>
      </c>
      <c r="I1479" s="17">
        <v>0.31852292804263399</v>
      </c>
      <c r="J1479" s="17">
        <v>0.35886117068504603</v>
      </c>
      <c r="K1479" s="17"/>
      <c r="L1479" s="17">
        <v>0.26476959539789602</v>
      </c>
      <c r="M1479" s="17">
        <v>0.39065086721547698</v>
      </c>
      <c r="N1479" s="17">
        <v>0.34174263318775899</v>
      </c>
      <c r="O1479" s="17">
        <v>0.33945879967648102</v>
      </c>
    </row>
    <row r="1480" spans="2:15" x14ac:dyDescent="0.3">
      <c r="B1480" t="s">
        <v>382</v>
      </c>
      <c r="C1480" s="17">
        <v>0.21681112095021801</v>
      </c>
      <c r="D1480" s="17">
        <v>0.20651431545509499</v>
      </c>
      <c r="E1480" s="17">
        <v>0.229039730543218</v>
      </c>
      <c r="F1480" s="17"/>
      <c r="G1480" s="17">
        <v>0.17623503968242499</v>
      </c>
      <c r="H1480" s="17">
        <v>0.19825788838299499</v>
      </c>
      <c r="I1480" s="17">
        <v>0.35966920420647902</v>
      </c>
      <c r="J1480" s="17">
        <v>0.15705176945506899</v>
      </c>
      <c r="K1480" s="17"/>
      <c r="L1480" s="17">
        <v>0.30599531163622801</v>
      </c>
      <c r="M1480" s="17">
        <v>0.176229788344655</v>
      </c>
      <c r="N1480" s="17">
        <v>0.279403224840577</v>
      </c>
      <c r="O1480" s="17">
        <v>0.15368380992359501</v>
      </c>
    </row>
    <row r="1481" spans="2:15" x14ac:dyDescent="0.3">
      <c r="B1481" t="s">
        <v>383</v>
      </c>
      <c r="C1481" s="17">
        <v>0.22862955891857201</v>
      </c>
      <c r="D1481" s="17">
        <v>0.23978999121314001</v>
      </c>
      <c r="E1481" s="17">
        <v>0.224575850890605</v>
      </c>
      <c r="F1481" s="17"/>
      <c r="G1481" s="17">
        <v>0.36714317654726802</v>
      </c>
      <c r="H1481" s="17">
        <v>0.23132364809818801</v>
      </c>
      <c r="I1481" s="17">
        <v>0.12907458780339301</v>
      </c>
      <c r="J1481" s="17">
        <v>0.17485047179986599</v>
      </c>
      <c r="K1481" s="17"/>
      <c r="L1481" s="17">
        <v>0.292514524708959</v>
      </c>
      <c r="M1481" s="17">
        <v>0.162750668328739</v>
      </c>
      <c r="N1481" s="17">
        <v>0.14368836586947201</v>
      </c>
      <c r="O1481" s="17">
        <v>0.28618016304567301</v>
      </c>
    </row>
    <row r="1482" spans="2:15" x14ac:dyDescent="0.3">
      <c r="B1482" t="s">
        <v>142</v>
      </c>
      <c r="C1482" s="17">
        <v>7.5669846199198407E-2</v>
      </c>
      <c r="D1482" s="17">
        <v>5.7751616316269197E-2</v>
      </c>
      <c r="E1482" s="17">
        <v>8.2953391954476499E-2</v>
      </c>
      <c r="F1482" s="17"/>
      <c r="G1482" s="17">
        <v>3.2496254943064698E-2</v>
      </c>
      <c r="H1482" s="17">
        <v>7.0253508436945694E-2</v>
      </c>
      <c r="I1482" s="17">
        <v>7.3079866359015297E-2</v>
      </c>
      <c r="J1482" s="17">
        <v>0.12318578667857601</v>
      </c>
      <c r="K1482" s="17"/>
      <c r="L1482" s="17">
        <v>3.1986836828563597E-2</v>
      </c>
      <c r="M1482" s="17">
        <v>3.3843851534632999E-2</v>
      </c>
      <c r="N1482" s="17">
        <v>6.2459389481661701E-2</v>
      </c>
      <c r="O1482" s="17">
        <v>0.11903595827189301</v>
      </c>
    </row>
    <row r="1483" spans="2:15" x14ac:dyDescent="0.3">
      <c r="B1483" t="s">
        <v>384</v>
      </c>
      <c r="C1483" s="17">
        <v>0.47888947393201098</v>
      </c>
      <c r="D1483" s="17">
        <v>0.49594407701549498</v>
      </c>
      <c r="E1483" s="17">
        <v>0.46343102661169999</v>
      </c>
      <c r="F1483" s="17"/>
      <c r="G1483" s="17">
        <v>0.42412552882724203</v>
      </c>
      <c r="H1483" s="17">
        <v>0.50016495508187098</v>
      </c>
      <c r="I1483" s="17">
        <v>0.43817634163111202</v>
      </c>
      <c r="J1483" s="17">
        <v>0.544911972066489</v>
      </c>
      <c r="K1483" s="17"/>
      <c r="L1483" s="17">
        <v>0.36950332682624898</v>
      </c>
      <c r="M1483" s="17">
        <v>0.62717569179197297</v>
      </c>
      <c r="N1483" s="17">
        <v>0.51444901980828905</v>
      </c>
      <c r="O1483" s="17">
        <v>0.441100068758839</v>
      </c>
    </row>
    <row r="1484" spans="2:15" x14ac:dyDescent="0.3">
      <c r="C1484" s="17"/>
      <c r="D1484" s="17"/>
      <c r="E1484" s="17"/>
      <c r="F1484" s="17"/>
      <c r="G1484" s="17"/>
      <c r="H1484" s="17"/>
      <c r="I1484" s="17"/>
      <c r="J1484" s="17"/>
      <c r="K1484" s="17"/>
      <c r="L1484" s="17"/>
      <c r="M1484" s="17"/>
      <c r="N1484" s="17"/>
      <c r="O1484" s="17"/>
    </row>
    <row r="1485" spans="2:15" x14ac:dyDescent="0.3">
      <c r="B1485" s="6" t="s">
        <v>476</v>
      </c>
      <c r="C1485" s="17"/>
      <c r="D1485" s="17"/>
      <c r="E1485" s="17"/>
      <c r="F1485" s="17"/>
      <c r="G1485" s="17"/>
      <c r="H1485" s="17"/>
      <c r="I1485" s="17"/>
      <c r="J1485" s="17"/>
      <c r="K1485" s="17"/>
      <c r="L1485" s="17"/>
      <c r="M1485" s="17"/>
      <c r="N1485" s="17"/>
      <c r="O1485" s="17"/>
    </row>
    <row r="1486" spans="2:15" x14ac:dyDescent="0.3">
      <c r="B1486" s="23" t="s">
        <v>474</v>
      </c>
      <c r="C1486" s="17"/>
      <c r="D1486" s="17"/>
      <c r="E1486" s="17"/>
      <c r="F1486" s="17"/>
      <c r="G1486" s="17"/>
      <c r="H1486" s="17"/>
      <c r="I1486" s="17"/>
      <c r="J1486" s="17"/>
      <c r="K1486" s="17"/>
      <c r="L1486" s="17"/>
      <c r="M1486" s="17"/>
      <c r="N1486" s="17"/>
      <c r="O1486" s="17"/>
    </row>
    <row r="1487" spans="2:15" x14ac:dyDescent="0.3">
      <c r="B1487" t="s">
        <v>380</v>
      </c>
      <c r="C1487" s="17">
        <v>8.64635588949655E-2</v>
      </c>
      <c r="D1487" s="17">
        <v>9.4057075808264001E-2</v>
      </c>
      <c r="E1487" s="17">
        <v>7.0500229582008897E-2</v>
      </c>
      <c r="F1487" s="17"/>
      <c r="G1487" s="17">
        <v>0.10884022823454</v>
      </c>
      <c r="H1487" s="17">
        <v>4.7246836403735698E-2</v>
      </c>
      <c r="I1487" s="17">
        <v>0.115572627893307</v>
      </c>
      <c r="J1487" s="17">
        <v>7.56889198541493E-2</v>
      </c>
      <c r="K1487" s="17"/>
      <c r="L1487" s="17">
        <v>2.0297056540724299E-2</v>
      </c>
      <c r="M1487" s="17">
        <v>6.6808185268709297E-2</v>
      </c>
      <c r="N1487" s="17">
        <v>0.17430217665223299</v>
      </c>
      <c r="O1487" s="17">
        <v>6.1580079458986602E-2</v>
      </c>
    </row>
    <row r="1488" spans="2:15" x14ac:dyDescent="0.3">
      <c r="B1488" t="s">
        <v>381</v>
      </c>
      <c r="C1488" s="17">
        <v>0.31266185588887002</v>
      </c>
      <c r="D1488" s="17">
        <v>0.33663024405504199</v>
      </c>
      <c r="E1488" s="17">
        <v>0.30041674287199799</v>
      </c>
      <c r="F1488" s="17"/>
      <c r="G1488" s="17">
        <v>0.31141071772856799</v>
      </c>
      <c r="H1488" s="17">
        <v>0.29995587409834001</v>
      </c>
      <c r="I1488" s="17">
        <v>0.152442743625158</v>
      </c>
      <c r="J1488" s="17">
        <v>0.452598938546937</v>
      </c>
      <c r="K1488" s="17"/>
      <c r="L1488" s="17">
        <v>0.42960841779834202</v>
      </c>
      <c r="M1488" s="17">
        <v>0.32698761536371901</v>
      </c>
      <c r="N1488" s="17">
        <v>0.33078823579121702</v>
      </c>
      <c r="O1488" s="17">
        <v>0.24676582155569399</v>
      </c>
    </row>
    <row r="1489" spans="2:15" x14ac:dyDescent="0.3">
      <c r="B1489" t="s">
        <v>382</v>
      </c>
      <c r="C1489" s="17">
        <v>0.29497681970588402</v>
      </c>
      <c r="D1489" s="17">
        <v>0.27379807538481399</v>
      </c>
      <c r="E1489" s="17">
        <v>0.30912227268483</v>
      </c>
      <c r="F1489" s="17"/>
      <c r="G1489" s="17">
        <v>0.27783140210956198</v>
      </c>
      <c r="H1489" s="17">
        <v>0.311408888036876</v>
      </c>
      <c r="I1489" s="17">
        <v>0.433220668637193</v>
      </c>
      <c r="J1489" s="17">
        <v>0.18677279423090101</v>
      </c>
      <c r="K1489" s="17"/>
      <c r="L1489" s="17">
        <v>0.26944240167288003</v>
      </c>
      <c r="M1489" s="17">
        <v>0.30126268077586899</v>
      </c>
      <c r="N1489" s="17">
        <v>0.297200339735258</v>
      </c>
      <c r="O1489" s="17">
        <v>0.30145133035208099</v>
      </c>
    </row>
    <row r="1490" spans="2:15" x14ac:dyDescent="0.3">
      <c r="B1490" t="s">
        <v>383</v>
      </c>
      <c r="C1490" s="17">
        <v>0.24160750735068401</v>
      </c>
      <c r="D1490" s="17">
        <v>0.26490697033006699</v>
      </c>
      <c r="E1490" s="17">
        <v>0.228467244175595</v>
      </c>
      <c r="F1490" s="17"/>
      <c r="G1490" s="17">
        <v>0.27140960009773801</v>
      </c>
      <c r="H1490" s="17">
        <v>0.22007639307968099</v>
      </c>
      <c r="I1490" s="17">
        <v>0.21072018157195699</v>
      </c>
      <c r="J1490" s="17">
        <v>0.25654007771486798</v>
      </c>
      <c r="K1490" s="17"/>
      <c r="L1490" s="17">
        <v>0.24866528715948999</v>
      </c>
      <c r="M1490" s="17">
        <v>0.193242872205106</v>
      </c>
      <c r="N1490" s="17">
        <v>0.18483073571709499</v>
      </c>
      <c r="O1490" s="17">
        <v>0.296388269086304</v>
      </c>
    </row>
    <row r="1491" spans="2:15" x14ac:dyDescent="0.3">
      <c r="B1491" t="s">
        <v>142</v>
      </c>
      <c r="C1491" s="17">
        <v>6.4290258159597005E-2</v>
      </c>
      <c r="D1491" s="17">
        <v>3.0607634421812802E-2</v>
      </c>
      <c r="E1491" s="17">
        <v>9.1493510685568796E-2</v>
      </c>
      <c r="F1491" s="17"/>
      <c r="G1491" s="17">
        <v>3.0508051829591199E-2</v>
      </c>
      <c r="H1491" s="17">
        <v>0.12131200838136701</v>
      </c>
      <c r="I1491" s="17">
        <v>8.80437782723857E-2</v>
      </c>
      <c r="J1491" s="17">
        <v>2.83992696531453E-2</v>
      </c>
      <c r="K1491" s="17"/>
      <c r="L1491" s="17">
        <v>3.1986836828563597E-2</v>
      </c>
      <c r="M1491" s="17">
        <v>0.111698646386597</v>
      </c>
      <c r="N1491" s="17">
        <v>1.2878512104197701E-2</v>
      </c>
      <c r="O1491" s="17">
        <v>9.3814499546933702E-2</v>
      </c>
    </row>
    <row r="1492" spans="2:15" x14ac:dyDescent="0.3">
      <c r="B1492" t="s">
        <v>384</v>
      </c>
      <c r="C1492" s="17">
        <v>0.39912541478383601</v>
      </c>
      <c r="D1492" s="17">
        <v>0.430687319863306</v>
      </c>
      <c r="E1492" s="17">
        <v>0.37091697245400701</v>
      </c>
      <c r="F1492" s="17"/>
      <c r="G1492" s="17">
        <v>0.42025094596310902</v>
      </c>
      <c r="H1492" s="17">
        <v>0.34720271050207602</v>
      </c>
      <c r="I1492" s="17">
        <v>0.268015371518465</v>
      </c>
      <c r="J1492" s="17">
        <v>0.52828785840108605</v>
      </c>
      <c r="K1492" s="17"/>
      <c r="L1492" s="17">
        <v>0.44990547433906602</v>
      </c>
      <c r="M1492" s="17">
        <v>0.39379580063242797</v>
      </c>
      <c r="N1492" s="17">
        <v>0.50509041244344899</v>
      </c>
      <c r="O1492" s="17">
        <v>0.30834590101468101</v>
      </c>
    </row>
    <row r="1493" spans="2:15" x14ac:dyDescent="0.3">
      <c r="C1493" s="17"/>
      <c r="D1493" s="17"/>
      <c r="E1493" s="17"/>
      <c r="F1493" s="17"/>
      <c r="G1493" s="17"/>
      <c r="H1493" s="17"/>
      <c r="I1493" s="17"/>
      <c r="J1493" s="17"/>
      <c r="K1493" s="17"/>
      <c r="L1493" s="17"/>
      <c r="M1493" s="17"/>
      <c r="N1493" s="17"/>
      <c r="O1493" s="17"/>
    </row>
    <row r="1494" spans="2:15" x14ac:dyDescent="0.3">
      <c r="B1494" s="6" t="s">
        <v>477</v>
      </c>
      <c r="C1494" s="17"/>
      <c r="D1494" s="17"/>
      <c r="E1494" s="17"/>
      <c r="F1494" s="17"/>
      <c r="G1494" s="17"/>
      <c r="H1494" s="17"/>
      <c r="I1494" s="17"/>
      <c r="J1494" s="17"/>
      <c r="K1494" s="17"/>
      <c r="L1494" s="17"/>
      <c r="M1494" s="17"/>
      <c r="N1494" s="17"/>
      <c r="O1494" s="17"/>
    </row>
    <row r="1495" spans="2:15" x14ac:dyDescent="0.3">
      <c r="B1495" s="23" t="s">
        <v>474</v>
      </c>
      <c r="C1495" s="17"/>
      <c r="D1495" s="17"/>
      <c r="E1495" s="17"/>
      <c r="F1495" s="17"/>
      <c r="G1495" s="17"/>
      <c r="H1495" s="17"/>
      <c r="I1495" s="17"/>
      <c r="J1495" s="17"/>
      <c r="K1495" s="17"/>
      <c r="L1495" s="17"/>
      <c r="M1495" s="17"/>
      <c r="N1495" s="17"/>
      <c r="O1495" s="17"/>
    </row>
    <row r="1496" spans="2:15" x14ac:dyDescent="0.3">
      <c r="B1496" t="s">
        <v>380</v>
      </c>
      <c r="C1496" s="17">
        <v>0.11462355311045</v>
      </c>
      <c r="D1496" s="17">
        <v>0.15028710118465899</v>
      </c>
      <c r="E1496" s="17">
        <v>8.9445980785683596E-2</v>
      </c>
      <c r="F1496" s="17"/>
      <c r="G1496" s="17">
        <v>8.3779171827070897E-2</v>
      </c>
      <c r="H1496" s="17">
        <v>0.14149773660069001</v>
      </c>
      <c r="I1496" s="17">
        <v>0.11183774257184501</v>
      </c>
      <c r="J1496" s="17">
        <v>0.122970941525684</v>
      </c>
      <c r="K1496" s="17"/>
      <c r="L1496" s="17">
        <v>0.13630491279811199</v>
      </c>
      <c r="M1496" s="17">
        <v>0.175997529465033</v>
      </c>
      <c r="N1496" s="17">
        <v>0.109096035958406</v>
      </c>
      <c r="O1496" s="17">
        <v>8.5315315286003807E-2</v>
      </c>
    </row>
    <row r="1497" spans="2:15" x14ac:dyDescent="0.3">
      <c r="B1497" t="s">
        <v>381</v>
      </c>
      <c r="C1497" s="17">
        <v>0.19362968118361701</v>
      </c>
      <c r="D1497" s="17">
        <v>0.22240874516811099</v>
      </c>
      <c r="E1497" s="17">
        <v>0.175319347829413</v>
      </c>
      <c r="F1497" s="17"/>
      <c r="G1497" s="17">
        <v>0.15646856516857999</v>
      </c>
      <c r="H1497" s="17">
        <v>0.21078508123620501</v>
      </c>
      <c r="I1497" s="17">
        <v>0.188054479177514</v>
      </c>
      <c r="J1497" s="17">
        <v>0.218502246428878</v>
      </c>
      <c r="K1497" s="17"/>
      <c r="L1497" s="17">
        <v>0.103921182491038</v>
      </c>
      <c r="M1497" s="17">
        <v>0.16588265176185901</v>
      </c>
      <c r="N1497" s="17">
        <v>0.20691235723866</v>
      </c>
      <c r="O1497" s="17">
        <v>0.23228988541557699</v>
      </c>
    </row>
    <row r="1498" spans="2:15" x14ac:dyDescent="0.3">
      <c r="B1498" t="s">
        <v>382</v>
      </c>
      <c r="C1498" s="17">
        <v>0.29979298471038901</v>
      </c>
      <c r="D1498" s="17">
        <v>0.24069235210631801</v>
      </c>
      <c r="E1498" s="17">
        <v>0.33940140401361202</v>
      </c>
      <c r="F1498" s="17"/>
      <c r="G1498" s="17">
        <v>0.32855345425566501</v>
      </c>
      <c r="H1498" s="17">
        <v>0.21984413427784399</v>
      </c>
      <c r="I1498" s="17">
        <v>0.379869530521314</v>
      </c>
      <c r="J1498" s="17">
        <v>0.277214150833972</v>
      </c>
      <c r="K1498" s="17"/>
      <c r="L1498" s="17">
        <v>0.401497781291204</v>
      </c>
      <c r="M1498" s="17">
        <v>0.37371662059024002</v>
      </c>
      <c r="N1498" s="17">
        <v>0.335238731033496</v>
      </c>
      <c r="O1498" s="17">
        <v>0.204880071442125</v>
      </c>
    </row>
    <row r="1499" spans="2:15" x14ac:dyDescent="0.3">
      <c r="B1499" t="s">
        <v>383</v>
      </c>
      <c r="C1499" s="17">
        <v>0.29313358817435597</v>
      </c>
      <c r="D1499" s="17">
        <v>0.32852309974708599</v>
      </c>
      <c r="E1499" s="17">
        <v>0.27170945437000499</v>
      </c>
      <c r="F1499" s="17"/>
      <c r="G1499" s="17">
        <v>0.36731331052420002</v>
      </c>
      <c r="H1499" s="17">
        <v>0.27866674232413602</v>
      </c>
      <c r="I1499" s="17">
        <v>0.225289298464423</v>
      </c>
      <c r="J1499" s="17">
        <v>0.28956122021717701</v>
      </c>
      <c r="K1499" s="17"/>
      <c r="L1499" s="17">
        <v>0.32628928659108303</v>
      </c>
      <c r="M1499" s="17">
        <v>0.21163194922225301</v>
      </c>
      <c r="N1499" s="17">
        <v>0.29585898601585398</v>
      </c>
      <c r="O1499" s="17">
        <v>0.30980712182277398</v>
      </c>
    </row>
    <row r="1500" spans="2:15" x14ac:dyDescent="0.3">
      <c r="B1500" t="s">
        <v>142</v>
      </c>
      <c r="C1500" s="17">
        <v>9.8820192821187994E-2</v>
      </c>
      <c r="D1500" s="17">
        <v>5.8088701793826303E-2</v>
      </c>
      <c r="E1500" s="17">
        <v>0.124123813001287</v>
      </c>
      <c r="F1500" s="17"/>
      <c r="G1500" s="17">
        <v>6.3885498224484596E-2</v>
      </c>
      <c r="H1500" s="17">
        <v>0.14920630556112499</v>
      </c>
      <c r="I1500" s="17">
        <v>9.4948949264903507E-2</v>
      </c>
      <c r="J1500" s="17">
        <v>9.1751440994290195E-2</v>
      </c>
      <c r="K1500" s="17"/>
      <c r="L1500" s="17">
        <v>3.1986836828563597E-2</v>
      </c>
      <c r="M1500" s="17">
        <v>7.2771248960614904E-2</v>
      </c>
      <c r="N1500" s="17">
        <v>5.2893889753584201E-2</v>
      </c>
      <c r="O1500" s="17">
        <v>0.16770760603352</v>
      </c>
    </row>
    <row r="1501" spans="2:15" x14ac:dyDescent="0.3">
      <c r="B1501" t="s">
        <v>384</v>
      </c>
      <c r="C1501" s="17">
        <v>0.30825323429406698</v>
      </c>
      <c r="D1501" s="17">
        <v>0.37269584635276998</v>
      </c>
      <c r="E1501" s="17">
        <v>0.264765328615096</v>
      </c>
      <c r="F1501" s="17"/>
      <c r="G1501" s="17">
        <v>0.24024773699565</v>
      </c>
      <c r="H1501" s="17">
        <v>0.35228281783689502</v>
      </c>
      <c r="I1501" s="17">
        <v>0.29989222174935898</v>
      </c>
      <c r="J1501" s="17">
        <v>0.341473187954562</v>
      </c>
      <c r="K1501" s="17"/>
      <c r="L1501" s="17">
        <v>0.24022609528915001</v>
      </c>
      <c r="M1501" s="17">
        <v>0.34188018122689201</v>
      </c>
      <c r="N1501" s="17">
        <v>0.31600839319706597</v>
      </c>
      <c r="O1501" s="17">
        <v>0.31760520070158099</v>
      </c>
    </row>
    <row r="1502" spans="2:15" x14ac:dyDescent="0.3">
      <c r="C1502" s="17"/>
      <c r="D1502" s="17"/>
      <c r="E1502" s="17"/>
      <c r="F1502" s="17"/>
      <c r="G1502" s="17"/>
      <c r="H1502" s="17"/>
      <c r="I1502" s="17"/>
      <c r="J1502" s="17"/>
      <c r="K1502" s="17"/>
      <c r="L1502" s="17"/>
      <c r="M1502" s="17"/>
      <c r="N1502" s="17"/>
      <c r="O1502" s="17"/>
    </row>
    <row r="1503" spans="2:15" x14ac:dyDescent="0.3">
      <c r="B1503" s="6" t="s">
        <v>478</v>
      </c>
      <c r="C1503" s="17"/>
      <c r="D1503" s="17"/>
      <c r="E1503" s="17"/>
      <c r="F1503" s="17"/>
      <c r="G1503" s="17"/>
      <c r="H1503" s="17"/>
      <c r="I1503" s="17"/>
      <c r="J1503" s="17"/>
      <c r="K1503" s="17"/>
      <c r="L1503" s="17"/>
      <c r="M1503" s="17"/>
      <c r="N1503" s="17"/>
      <c r="O1503" s="17"/>
    </row>
    <row r="1504" spans="2:15" x14ac:dyDescent="0.3">
      <c r="B1504" s="23" t="s">
        <v>474</v>
      </c>
      <c r="C1504" s="17"/>
      <c r="D1504" s="17"/>
      <c r="E1504" s="17"/>
      <c r="F1504" s="17"/>
      <c r="G1504" s="17"/>
      <c r="H1504" s="17"/>
      <c r="I1504" s="17"/>
      <c r="J1504" s="17"/>
      <c r="K1504" s="17"/>
      <c r="L1504" s="17"/>
      <c r="M1504" s="17"/>
      <c r="N1504" s="17"/>
      <c r="O1504" s="17"/>
    </row>
    <row r="1505" spans="2:15" x14ac:dyDescent="0.3">
      <c r="B1505" t="s">
        <v>380</v>
      </c>
      <c r="C1505" s="17">
        <v>0.18821902828658901</v>
      </c>
      <c r="D1505" s="17">
        <v>0.142112944931329</v>
      </c>
      <c r="E1505" s="17">
        <v>0.227444664360648</v>
      </c>
      <c r="F1505" s="17"/>
      <c r="G1505" s="17">
        <v>0.23130431208015001</v>
      </c>
      <c r="H1505" s="17">
        <v>0.15388372242722001</v>
      </c>
      <c r="I1505" s="17">
        <v>0.20687148092235499</v>
      </c>
      <c r="J1505" s="17">
        <v>0.162032716634185</v>
      </c>
      <c r="K1505" s="17"/>
      <c r="L1505" s="17">
        <v>0</v>
      </c>
      <c r="M1505" s="17">
        <v>0.122792891903996</v>
      </c>
      <c r="N1505" s="17">
        <v>0.23888158034350199</v>
      </c>
      <c r="O1505" s="17">
        <v>0.25667049973738998</v>
      </c>
    </row>
    <row r="1506" spans="2:15" x14ac:dyDescent="0.3">
      <c r="B1506" t="s">
        <v>381</v>
      </c>
      <c r="C1506" s="17">
        <v>0.41825463458641499</v>
      </c>
      <c r="D1506" s="17">
        <v>0.45735339327843799</v>
      </c>
      <c r="E1506" s="17">
        <v>0.39645828596109001</v>
      </c>
      <c r="F1506" s="17"/>
      <c r="G1506" s="17">
        <v>0.34700344239298903</v>
      </c>
      <c r="H1506" s="17">
        <v>0.30857572760021201</v>
      </c>
      <c r="I1506" s="17">
        <v>0.54787824434186105</v>
      </c>
      <c r="J1506" s="17">
        <v>0.47614134857486201</v>
      </c>
      <c r="K1506" s="17"/>
      <c r="L1506" s="17">
        <v>0.53163837113497803</v>
      </c>
      <c r="M1506" s="17">
        <v>0.33809968238131399</v>
      </c>
      <c r="N1506" s="17">
        <v>0.37470475550931598</v>
      </c>
      <c r="O1506" s="17">
        <v>0.43299483100610697</v>
      </c>
    </row>
    <row r="1507" spans="2:15" x14ac:dyDescent="0.3">
      <c r="B1507" t="s">
        <v>382</v>
      </c>
      <c r="C1507" s="17">
        <v>0.203511623188709</v>
      </c>
      <c r="D1507" s="17">
        <v>0.17404199130481801</v>
      </c>
      <c r="E1507" s="17">
        <v>0.23023471811014501</v>
      </c>
      <c r="F1507" s="17"/>
      <c r="G1507" s="17">
        <v>0.181523914778811</v>
      </c>
      <c r="H1507" s="17">
        <v>0.33423670051047</v>
      </c>
      <c r="I1507" s="17">
        <v>0.120786232240921</v>
      </c>
      <c r="J1507" s="17">
        <v>0.17829019284238201</v>
      </c>
      <c r="K1507" s="17"/>
      <c r="L1507" s="17">
        <v>0.16744292273238201</v>
      </c>
      <c r="M1507" s="17">
        <v>0.39096873840678398</v>
      </c>
      <c r="N1507" s="17">
        <v>0.247542083278773</v>
      </c>
      <c r="O1507" s="17">
        <v>0.114482089599287</v>
      </c>
    </row>
    <row r="1508" spans="2:15" x14ac:dyDescent="0.3">
      <c r="B1508" t="s">
        <v>383</v>
      </c>
      <c r="C1508" s="17">
        <v>0.12579501665513099</v>
      </c>
      <c r="D1508" s="17">
        <v>0.18489682574021399</v>
      </c>
      <c r="E1508" s="17">
        <v>7.0963360265036399E-2</v>
      </c>
      <c r="F1508" s="17"/>
      <c r="G1508" s="17">
        <v>0.188040972925652</v>
      </c>
      <c r="H1508" s="17">
        <v>0.111144376205933</v>
      </c>
      <c r="I1508" s="17">
        <v>6.4276742555168895E-2</v>
      </c>
      <c r="J1508" s="17">
        <v>0.128611271759142</v>
      </c>
      <c r="K1508" s="17"/>
      <c r="L1508" s="17">
        <v>0.26893186930407598</v>
      </c>
      <c r="M1508" s="17">
        <v>5.1012185987593099E-2</v>
      </c>
      <c r="N1508" s="17">
        <v>0.111963861444403</v>
      </c>
      <c r="O1508" s="17">
        <v>0.106013301431698</v>
      </c>
    </row>
    <row r="1509" spans="2:15" x14ac:dyDescent="0.3">
      <c r="B1509" t="s">
        <v>142</v>
      </c>
      <c r="C1509" s="17">
        <v>6.4219697283156102E-2</v>
      </c>
      <c r="D1509" s="17">
        <v>4.1594844745199901E-2</v>
      </c>
      <c r="E1509" s="17">
        <v>7.4898971303080694E-2</v>
      </c>
      <c r="F1509" s="17"/>
      <c r="G1509" s="17">
        <v>5.21273578223981E-2</v>
      </c>
      <c r="H1509" s="17">
        <v>9.2159473256165803E-2</v>
      </c>
      <c r="I1509" s="17">
        <v>6.0187299939693503E-2</v>
      </c>
      <c r="J1509" s="17">
        <v>5.4924470189428302E-2</v>
      </c>
      <c r="K1509" s="17"/>
      <c r="L1509" s="17">
        <v>3.1986836828563597E-2</v>
      </c>
      <c r="M1509" s="17">
        <v>9.7126501320313793E-2</v>
      </c>
      <c r="N1509" s="17">
        <v>2.6907719424006601E-2</v>
      </c>
      <c r="O1509" s="17">
        <v>8.9839278225518404E-2</v>
      </c>
    </row>
    <row r="1510" spans="2:15" x14ac:dyDescent="0.3">
      <c r="B1510" t="s">
        <v>384</v>
      </c>
      <c r="C1510" s="17">
        <v>0.60647366287300397</v>
      </c>
      <c r="D1510" s="17">
        <v>0.59946633820976802</v>
      </c>
      <c r="E1510" s="17">
        <v>0.62390295032173804</v>
      </c>
      <c r="F1510" s="17"/>
      <c r="G1510" s="17">
        <v>0.57830775447313898</v>
      </c>
      <c r="H1510" s="17">
        <v>0.462459450027432</v>
      </c>
      <c r="I1510" s="17">
        <v>0.75474972526421602</v>
      </c>
      <c r="J1510" s="17">
        <v>0.63817406520904696</v>
      </c>
      <c r="K1510" s="17"/>
      <c r="L1510" s="17">
        <v>0.53163837113497803</v>
      </c>
      <c r="M1510" s="17">
        <v>0.460892574285309</v>
      </c>
      <c r="N1510" s="17">
        <v>0.61358633585281697</v>
      </c>
      <c r="O1510" s="17">
        <v>0.68966533074349701</v>
      </c>
    </row>
    <row r="1511" spans="2:15" x14ac:dyDescent="0.3">
      <c r="C1511" s="17"/>
      <c r="D1511" s="17"/>
      <c r="E1511" s="17"/>
      <c r="F1511" s="17"/>
      <c r="G1511" s="17"/>
      <c r="H1511" s="17"/>
      <c r="I1511" s="17"/>
      <c r="J1511" s="17"/>
      <c r="K1511" s="17"/>
      <c r="L1511" s="17"/>
      <c r="M1511" s="17"/>
      <c r="N1511" s="17"/>
      <c r="O1511" s="17"/>
    </row>
    <row r="1512" spans="2:15" x14ac:dyDescent="0.3">
      <c r="B1512" s="6" t="s">
        <v>479</v>
      </c>
      <c r="C1512" s="17"/>
      <c r="D1512" s="17"/>
      <c r="E1512" s="17"/>
      <c r="F1512" s="17"/>
      <c r="G1512" s="17"/>
      <c r="H1512" s="17"/>
      <c r="I1512" s="17"/>
      <c r="J1512" s="17"/>
      <c r="K1512" s="17"/>
      <c r="L1512" s="17"/>
      <c r="M1512" s="17"/>
      <c r="N1512" s="17"/>
      <c r="O1512" s="17"/>
    </row>
    <row r="1513" spans="2:15" x14ac:dyDescent="0.3">
      <c r="B1513" s="23" t="s">
        <v>474</v>
      </c>
      <c r="C1513" s="17"/>
      <c r="D1513" s="17"/>
      <c r="E1513" s="17"/>
      <c r="F1513" s="17"/>
      <c r="G1513" s="17"/>
      <c r="H1513" s="17"/>
      <c r="I1513" s="17"/>
      <c r="J1513" s="17"/>
      <c r="K1513" s="17"/>
      <c r="L1513" s="17"/>
      <c r="M1513" s="17"/>
      <c r="N1513" s="17"/>
      <c r="O1513" s="17"/>
    </row>
    <row r="1514" spans="2:15" x14ac:dyDescent="0.3">
      <c r="B1514" t="s">
        <v>380</v>
      </c>
      <c r="C1514" s="17">
        <v>7.4199806386884698E-2</v>
      </c>
      <c r="D1514" s="17">
        <v>9.7794098596768103E-2</v>
      </c>
      <c r="E1514" s="17">
        <v>5.7510423020334898E-2</v>
      </c>
      <c r="F1514" s="17"/>
      <c r="G1514" s="17">
        <v>0.14363396426250399</v>
      </c>
      <c r="H1514" s="17">
        <v>3.10137894403479E-2</v>
      </c>
      <c r="I1514" s="17">
        <v>3.4761649325210003E-2</v>
      </c>
      <c r="J1514" s="17">
        <v>7.7053699709207502E-2</v>
      </c>
      <c r="K1514" s="17"/>
      <c r="L1514" s="17">
        <v>0.16318559911775801</v>
      </c>
      <c r="M1514" s="17">
        <v>2.0300578194313801E-2</v>
      </c>
      <c r="N1514" s="17">
        <v>6.4810740337082395E-2</v>
      </c>
      <c r="O1514" s="17">
        <v>6.53584199159149E-2</v>
      </c>
    </row>
    <row r="1515" spans="2:15" x14ac:dyDescent="0.3">
      <c r="B1515" t="s">
        <v>381</v>
      </c>
      <c r="C1515" s="17">
        <v>0.30990969868392898</v>
      </c>
      <c r="D1515" s="17">
        <v>0.23390145791122599</v>
      </c>
      <c r="E1515" s="17">
        <v>0.37456764813045001</v>
      </c>
      <c r="F1515" s="17"/>
      <c r="G1515" s="17">
        <v>0.244262510731619</v>
      </c>
      <c r="H1515" s="17">
        <v>0.25959201634110401</v>
      </c>
      <c r="I1515" s="17">
        <v>0.412111585314549</v>
      </c>
      <c r="J1515" s="17">
        <v>0.33351444308675399</v>
      </c>
      <c r="K1515" s="17"/>
      <c r="L1515" s="17">
        <v>0.293013364437269</v>
      </c>
      <c r="M1515" s="17">
        <v>0.29799327847596102</v>
      </c>
      <c r="N1515" s="17">
        <v>0.32178257909632901</v>
      </c>
      <c r="O1515" s="17">
        <v>0.31345377066514402</v>
      </c>
    </row>
    <row r="1516" spans="2:15" x14ac:dyDescent="0.3">
      <c r="B1516" t="s">
        <v>382</v>
      </c>
      <c r="C1516" s="17">
        <v>0.33521360557472801</v>
      </c>
      <c r="D1516" s="17">
        <v>0.36898687534417501</v>
      </c>
      <c r="E1516" s="17">
        <v>0.304034633009096</v>
      </c>
      <c r="F1516" s="17"/>
      <c r="G1516" s="17">
        <v>0.28876492332578302</v>
      </c>
      <c r="H1516" s="17">
        <v>0.37703105300220502</v>
      </c>
      <c r="I1516" s="17">
        <v>0.36907181412766599</v>
      </c>
      <c r="J1516" s="17">
        <v>0.31625996102570703</v>
      </c>
      <c r="K1516" s="17"/>
      <c r="L1516" s="17">
        <v>0.31962201593127898</v>
      </c>
      <c r="M1516" s="17">
        <v>0.43679940545026003</v>
      </c>
      <c r="N1516" s="17">
        <v>0.35467117974510298</v>
      </c>
      <c r="O1516" s="17">
        <v>0.28834142066137403</v>
      </c>
    </row>
    <row r="1517" spans="2:15" x14ac:dyDescent="0.3">
      <c r="B1517" t="s">
        <v>383</v>
      </c>
      <c r="C1517" s="17">
        <v>0.207950226418255</v>
      </c>
      <c r="D1517" s="17">
        <v>0.25723085882335101</v>
      </c>
      <c r="E1517" s="17">
        <v>0.174142862163151</v>
      </c>
      <c r="F1517" s="17"/>
      <c r="G1517" s="17">
        <v>0.27484598230253698</v>
      </c>
      <c r="H1517" s="17">
        <v>0.25913506297445099</v>
      </c>
      <c r="I1517" s="17">
        <v>6.6656016592247999E-2</v>
      </c>
      <c r="J1517" s="17">
        <v>0.21362066171170899</v>
      </c>
      <c r="K1517" s="17"/>
      <c r="L1517" s="17">
        <v>0.13974234562606599</v>
      </c>
      <c r="M1517" s="17">
        <v>0.20597934045348401</v>
      </c>
      <c r="N1517" s="17">
        <v>0.22692868729409299</v>
      </c>
      <c r="O1517" s="17">
        <v>0.22376939827622999</v>
      </c>
    </row>
    <row r="1518" spans="2:15" x14ac:dyDescent="0.3">
      <c r="B1518" t="s">
        <v>142</v>
      </c>
      <c r="C1518" s="17">
        <v>7.2726662936202793E-2</v>
      </c>
      <c r="D1518" s="17">
        <v>4.2086709324479499E-2</v>
      </c>
      <c r="E1518" s="17">
        <v>8.9744433676967605E-2</v>
      </c>
      <c r="F1518" s="17"/>
      <c r="G1518" s="17">
        <v>4.8492619377558603E-2</v>
      </c>
      <c r="H1518" s="17">
        <v>7.3228078241891301E-2</v>
      </c>
      <c r="I1518" s="17">
        <v>0.117398934640328</v>
      </c>
      <c r="J1518" s="17">
        <v>5.9551234466622603E-2</v>
      </c>
      <c r="K1518" s="17"/>
      <c r="L1518" s="17">
        <v>8.4436674887628599E-2</v>
      </c>
      <c r="M1518" s="17">
        <v>3.8927397425981898E-2</v>
      </c>
      <c r="N1518" s="17">
        <v>3.1806813527391897E-2</v>
      </c>
      <c r="O1518" s="17">
        <v>0.109076990481337</v>
      </c>
    </row>
    <row r="1519" spans="2:15" x14ac:dyDescent="0.3">
      <c r="B1519" t="s">
        <v>384</v>
      </c>
      <c r="C1519" s="17">
        <v>0.38410950507081398</v>
      </c>
      <c r="D1519" s="17">
        <v>0.33169555650799498</v>
      </c>
      <c r="E1519" s="17">
        <v>0.432078071150785</v>
      </c>
      <c r="F1519" s="17"/>
      <c r="G1519" s="17">
        <v>0.387896474994122</v>
      </c>
      <c r="H1519" s="17">
        <v>0.29060580578145201</v>
      </c>
      <c r="I1519" s="17">
        <v>0.44687323463975898</v>
      </c>
      <c r="J1519" s="17">
        <v>0.41056814279596199</v>
      </c>
      <c r="K1519" s="17"/>
      <c r="L1519" s="17">
        <v>0.45619896355502698</v>
      </c>
      <c r="M1519" s="17">
        <v>0.31829385667027399</v>
      </c>
      <c r="N1519" s="17">
        <v>0.38659331943341102</v>
      </c>
      <c r="O1519" s="17">
        <v>0.37881219058105903</v>
      </c>
    </row>
    <row r="1520" spans="2:15" x14ac:dyDescent="0.3">
      <c r="C1520" s="17"/>
      <c r="D1520" s="17"/>
      <c r="E1520" s="17"/>
      <c r="F1520" s="17"/>
      <c r="G1520" s="17"/>
      <c r="H1520" s="17"/>
      <c r="I1520" s="17"/>
      <c r="J1520" s="17"/>
      <c r="K1520" s="17"/>
      <c r="L1520" s="17"/>
      <c r="M1520" s="17"/>
      <c r="N1520" s="17"/>
      <c r="O1520" s="17"/>
    </row>
    <row r="1521" spans="2:15" x14ac:dyDescent="0.3">
      <c r="B1521" s="6" t="s">
        <v>480</v>
      </c>
      <c r="C1521" s="17"/>
      <c r="D1521" s="17"/>
      <c r="E1521" s="17"/>
      <c r="F1521" s="17"/>
      <c r="G1521" s="17"/>
      <c r="H1521" s="17"/>
      <c r="I1521" s="17"/>
      <c r="J1521" s="17"/>
      <c r="K1521" s="17"/>
      <c r="L1521" s="17"/>
      <c r="M1521" s="17"/>
      <c r="N1521" s="17"/>
      <c r="O1521" s="17"/>
    </row>
    <row r="1522" spans="2:15" x14ac:dyDescent="0.3">
      <c r="B1522" s="23" t="s">
        <v>474</v>
      </c>
      <c r="C1522" s="17"/>
      <c r="D1522" s="17"/>
      <c r="E1522" s="17"/>
      <c r="F1522" s="17"/>
      <c r="G1522" s="17"/>
      <c r="H1522" s="17"/>
      <c r="I1522" s="17"/>
      <c r="J1522" s="17"/>
      <c r="K1522" s="17"/>
      <c r="L1522" s="17"/>
      <c r="M1522" s="17"/>
      <c r="N1522" s="17"/>
      <c r="O1522" s="17"/>
    </row>
    <row r="1523" spans="2:15" x14ac:dyDescent="0.3">
      <c r="B1523" t="s">
        <v>380</v>
      </c>
      <c r="C1523" s="17">
        <v>0.13594157739967899</v>
      </c>
      <c r="D1523" s="17">
        <v>0.11357228710229</v>
      </c>
      <c r="E1523" s="17">
        <v>0.14402420094448301</v>
      </c>
      <c r="F1523" s="17"/>
      <c r="G1523" s="17">
        <v>0.10559192243500699</v>
      </c>
      <c r="H1523" s="17">
        <v>0.16318637281989201</v>
      </c>
      <c r="I1523" s="17">
        <v>0.122076394056557</v>
      </c>
      <c r="J1523" s="17">
        <v>0.15234587723071899</v>
      </c>
      <c r="K1523" s="17"/>
      <c r="L1523" s="17">
        <v>0.110561921081233</v>
      </c>
      <c r="M1523" s="17">
        <v>0.209646356226352</v>
      </c>
      <c r="N1523" s="17">
        <v>0.17446006349711399</v>
      </c>
      <c r="O1523" s="17">
        <v>9.1102252918065202E-2</v>
      </c>
    </row>
    <row r="1524" spans="2:15" x14ac:dyDescent="0.3">
      <c r="B1524" t="s">
        <v>381</v>
      </c>
      <c r="C1524" s="17">
        <v>0.27802668486788401</v>
      </c>
      <c r="D1524" s="17">
        <v>0.37488985917761403</v>
      </c>
      <c r="E1524" s="17">
        <v>0.20898299463557299</v>
      </c>
      <c r="F1524" s="17"/>
      <c r="G1524" s="17">
        <v>0.27405288322205801</v>
      </c>
      <c r="H1524" s="17">
        <v>0.172936896023655</v>
      </c>
      <c r="I1524" s="17">
        <v>0.29288695233902501</v>
      </c>
      <c r="J1524" s="17">
        <v>0.35997978587371898</v>
      </c>
      <c r="K1524" s="17"/>
      <c r="L1524" s="17">
        <v>0.342578513053859</v>
      </c>
      <c r="M1524" s="17">
        <v>0.158707310675931</v>
      </c>
      <c r="N1524" s="17">
        <v>0.42774275549495899</v>
      </c>
      <c r="O1524" s="17">
        <v>0.19676208982818699</v>
      </c>
    </row>
    <row r="1525" spans="2:15" x14ac:dyDescent="0.3">
      <c r="B1525" t="s">
        <v>382</v>
      </c>
      <c r="C1525" s="17">
        <v>0.310428280446995</v>
      </c>
      <c r="D1525" s="17">
        <v>0.26981898019912198</v>
      </c>
      <c r="E1525" s="17">
        <v>0.34784794992990897</v>
      </c>
      <c r="F1525" s="17"/>
      <c r="G1525" s="17">
        <v>0.26461022881413199</v>
      </c>
      <c r="H1525" s="17">
        <v>0.29710262912537799</v>
      </c>
      <c r="I1525" s="17">
        <v>0.36494642576443098</v>
      </c>
      <c r="J1525" s="17">
        <v>0.32164532622068198</v>
      </c>
      <c r="K1525" s="17"/>
      <c r="L1525" s="17">
        <v>0.20568263607190901</v>
      </c>
      <c r="M1525" s="17">
        <v>0.389571552127079</v>
      </c>
      <c r="N1525" s="17">
        <v>0.26164613120861102</v>
      </c>
      <c r="O1525" s="17">
        <v>0.35534532678018699</v>
      </c>
    </row>
    <row r="1526" spans="2:15" x14ac:dyDescent="0.3">
      <c r="B1526" t="s">
        <v>383</v>
      </c>
      <c r="C1526" s="17">
        <v>0.233630764205908</v>
      </c>
      <c r="D1526" s="17">
        <v>0.21111123909916099</v>
      </c>
      <c r="E1526" s="17">
        <v>0.25560167649600202</v>
      </c>
      <c r="F1526" s="17"/>
      <c r="G1526" s="17">
        <v>0.33869490168119198</v>
      </c>
      <c r="H1526" s="17">
        <v>0.26832679871769299</v>
      </c>
      <c r="I1526" s="17">
        <v>0.19223374950729499</v>
      </c>
      <c r="J1526" s="17">
        <v>0.137629741021735</v>
      </c>
      <c r="K1526" s="17"/>
      <c r="L1526" s="17">
        <v>0.26851136176847501</v>
      </c>
      <c r="M1526" s="17">
        <v>0.16930353201002299</v>
      </c>
      <c r="N1526" s="17">
        <v>0.136151049799316</v>
      </c>
      <c r="O1526" s="17">
        <v>0.31098341651424399</v>
      </c>
    </row>
    <row r="1527" spans="2:15" x14ac:dyDescent="0.3">
      <c r="B1527" t="s">
        <v>142</v>
      </c>
      <c r="C1527" s="17">
        <v>4.1972693079534301E-2</v>
      </c>
      <c r="D1527" s="17">
        <v>3.0607634421812802E-2</v>
      </c>
      <c r="E1527" s="17">
        <v>4.3543177994032102E-2</v>
      </c>
      <c r="F1527" s="17"/>
      <c r="G1527" s="17">
        <v>1.70500638476116E-2</v>
      </c>
      <c r="H1527" s="17">
        <v>9.8447303313381695E-2</v>
      </c>
      <c r="I1527" s="17">
        <v>2.7856478332692201E-2</v>
      </c>
      <c r="J1527" s="17">
        <v>2.83992696531453E-2</v>
      </c>
      <c r="K1527" s="17"/>
      <c r="L1527" s="17">
        <v>7.2665568024523605E-2</v>
      </c>
      <c r="M1527" s="17">
        <v>7.2771248960614904E-2</v>
      </c>
      <c r="N1527" s="17">
        <v>0</v>
      </c>
      <c r="O1527" s="17">
        <v>4.5806913959316402E-2</v>
      </c>
    </row>
    <row r="1528" spans="2:15" x14ac:dyDescent="0.3">
      <c r="B1528" t="s">
        <v>384</v>
      </c>
      <c r="C1528" s="17">
        <v>0.413968262267563</v>
      </c>
      <c r="D1528" s="17">
        <v>0.48846214627990497</v>
      </c>
      <c r="E1528" s="17">
        <v>0.353007195580056</v>
      </c>
      <c r="F1528" s="17"/>
      <c r="G1528" s="17">
        <v>0.37964480565706499</v>
      </c>
      <c r="H1528" s="17">
        <v>0.33612326884354699</v>
      </c>
      <c r="I1528" s="17">
        <v>0.41496334639558202</v>
      </c>
      <c r="J1528" s="17">
        <v>0.51232566310443794</v>
      </c>
      <c r="K1528" s="17"/>
      <c r="L1528" s="17">
        <v>0.45314043413509197</v>
      </c>
      <c r="M1528" s="17">
        <v>0.36835366690228299</v>
      </c>
      <c r="N1528" s="17">
        <v>0.60220281899207295</v>
      </c>
      <c r="O1528" s="17">
        <v>0.287864342746252</v>
      </c>
    </row>
    <row r="1529" spans="2:15" x14ac:dyDescent="0.3">
      <c r="C1529" s="17"/>
      <c r="D1529" s="17"/>
      <c r="E1529" s="17"/>
      <c r="F1529" s="17"/>
      <c r="G1529" s="17"/>
      <c r="H1529" s="17"/>
      <c r="I1529" s="17"/>
      <c r="J1529" s="17"/>
      <c r="K1529" s="17"/>
      <c r="L1529" s="17"/>
      <c r="M1529" s="17"/>
      <c r="N1529" s="17"/>
      <c r="O1529" s="17"/>
    </row>
    <row r="1530" spans="2:15" x14ac:dyDescent="0.3">
      <c r="B1530" s="6" t="s">
        <v>481</v>
      </c>
      <c r="C1530" s="17"/>
      <c r="D1530" s="17"/>
      <c r="E1530" s="17"/>
      <c r="F1530" s="17"/>
      <c r="G1530" s="17"/>
      <c r="H1530" s="17"/>
      <c r="I1530" s="17"/>
      <c r="J1530" s="17"/>
      <c r="K1530" s="17"/>
      <c r="L1530" s="17"/>
      <c r="M1530" s="17"/>
      <c r="N1530" s="17"/>
      <c r="O1530" s="17"/>
    </row>
    <row r="1531" spans="2:15" x14ac:dyDescent="0.3">
      <c r="B1531" s="23" t="s">
        <v>474</v>
      </c>
      <c r="C1531" s="17"/>
      <c r="D1531" s="17"/>
      <c r="E1531" s="17"/>
      <c r="F1531" s="17"/>
      <c r="G1531" s="17"/>
      <c r="H1531" s="17"/>
      <c r="I1531" s="17"/>
      <c r="J1531" s="17"/>
      <c r="K1531" s="17"/>
      <c r="L1531" s="17"/>
      <c r="M1531" s="17"/>
      <c r="N1531" s="17"/>
      <c r="O1531" s="17"/>
    </row>
    <row r="1532" spans="2:15" x14ac:dyDescent="0.3">
      <c r="B1532" t="s">
        <v>380</v>
      </c>
      <c r="C1532" s="17">
        <v>0.112121315959961</v>
      </c>
      <c r="D1532" s="17">
        <v>9.0211604720789595E-2</v>
      </c>
      <c r="E1532" s="17">
        <v>0.131211488469066</v>
      </c>
      <c r="F1532" s="17"/>
      <c r="G1532" s="17">
        <v>0.17695978113334901</v>
      </c>
      <c r="H1532" s="17">
        <v>5.1042869668236797E-2</v>
      </c>
      <c r="I1532" s="17">
        <v>8.9717043138540495E-2</v>
      </c>
      <c r="J1532" s="17">
        <v>0.121057698162713</v>
      </c>
      <c r="K1532" s="17"/>
      <c r="L1532" s="17">
        <v>7.2746894599789197E-2</v>
      </c>
      <c r="M1532" s="17">
        <v>8.3800302940404206E-2</v>
      </c>
      <c r="N1532" s="17">
        <v>0.17095824076018801</v>
      </c>
      <c r="O1532" s="17">
        <v>9.9398461519103101E-2</v>
      </c>
    </row>
    <row r="1533" spans="2:15" x14ac:dyDescent="0.3">
      <c r="B1533" t="s">
        <v>381</v>
      </c>
      <c r="C1533" s="17">
        <v>0.381997322511622</v>
      </c>
      <c r="D1533" s="17">
        <v>0.37094978298137399</v>
      </c>
      <c r="E1533" s="17">
        <v>0.38624788134754501</v>
      </c>
      <c r="F1533" s="17"/>
      <c r="G1533" s="17">
        <v>0.34426804616094497</v>
      </c>
      <c r="H1533" s="17">
        <v>0.41537145974544498</v>
      </c>
      <c r="I1533" s="17">
        <v>0.32437847275451498</v>
      </c>
      <c r="J1533" s="17">
        <v>0.435042768148376</v>
      </c>
      <c r="K1533" s="17"/>
      <c r="L1533" s="17">
        <v>0.27484794114199701</v>
      </c>
      <c r="M1533" s="17">
        <v>0.425935408791278</v>
      </c>
      <c r="N1533" s="17">
        <v>0.34983156377708302</v>
      </c>
      <c r="O1533" s="17">
        <v>0.43046977382742302</v>
      </c>
    </row>
    <row r="1534" spans="2:15" x14ac:dyDescent="0.3">
      <c r="B1534" t="s">
        <v>382</v>
      </c>
      <c r="C1534" s="17">
        <v>0.289814531801319</v>
      </c>
      <c r="D1534" s="17">
        <v>0.24703123788810699</v>
      </c>
      <c r="E1534" s="17">
        <v>0.328498571590088</v>
      </c>
      <c r="F1534" s="17"/>
      <c r="G1534" s="17">
        <v>0.27670145617870701</v>
      </c>
      <c r="H1534" s="17">
        <v>0.222889833965775</v>
      </c>
      <c r="I1534" s="17">
        <v>0.39201748788497398</v>
      </c>
      <c r="J1534" s="17">
        <v>0.27799485675894797</v>
      </c>
      <c r="K1534" s="17"/>
      <c r="L1534" s="17">
        <v>0.36691067908889002</v>
      </c>
      <c r="M1534" s="17">
        <v>0.247982948425858</v>
      </c>
      <c r="N1534" s="17">
        <v>0.32821152033836898</v>
      </c>
      <c r="O1534" s="17">
        <v>0.248589323634444</v>
      </c>
    </row>
    <row r="1535" spans="2:15" x14ac:dyDescent="0.3">
      <c r="B1535" t="s">
        <v>383</v>
      </c>
      <c r="C1535" s="17">
        <v>0.159258681183576</v>
      </c>
      <c r="D1535" s="17">
        <v>0.24150361144183</v>
      </c>
      <c r="E1535" s="17">
        <v>9.1099769058349503E-2</v>
      </c>
      <c r="F1535" s="17"/>
      <c r="G1535" s="17">
        <v>0.17507482315376599</v>
      </c>
      <c r="H1535" s="17">
        <v>0.16089185373568801</v>
      </c>
      <c r="I1535" s="17">
        <v>0.166030517889278</v>
      </c>
      <c r="J1535" s="17">
        <v>0.13750540727681801</v>
      </c>
      <c r="K1535" s="17"/>
      <c r="L1535" s="17">
        <v>0.21282891714479901</v>
      </c>
      <c r="M1535" s="17">
        <v>0.203353942416478</v>
      </c>
      <c r="N1535" s="17">
        <v>0.105248183630042</v>
      </c>
      <c r="O1535" s="17">
        <v>0.156666199097591</v>
      </c>
    </row>
    <row r="1536" spans="2:15" x14ac:dyDescent="0.3">
      <c r="B1536" t="s">
        <v>142</v>
      </c>
      <c r="C1536" s="17">
        <v>5.6808148543522001E-2</v>
      </c>
      <c r="D1536" s="17">
        <v>5.0303762967898603E-2</v>
      </c>
      <c r="E1536" s="17">
        <v>6.2942289534951804E-2</v>
      </c>
      <c r="F1536" s="17"/>
      <c r="G1536" s="17">
        <v>2.69958933732325E-2</v>
      </c>
      <c r="H1536" s="17">
        <v>0.149803982884855</v>
      </c>
      <c r="I1536" s="17">
        <v>2.7856478332692201E-2</v>
      </c>
      <c r="J1536" s="17">
        <v>2.83992696531453E-2</v>
      </c>
      <c r="K1536" s="17"/>
      <c r="L1536" s="17">
        <v>7.2665568024523605E-2</v>
      </c>
      <c r="M1536" s="17">
        <v>3.8927397425981898E-2</v>
      </c>
      <c r="N1536" s="17">
        <v>4.57504914943173E-2</v>
      </c>
      <c r="O1536" s="17">
        <v>6.4876241921439495E-2</v>
      </c>
    </row>
    <row r="1537" spans="2:15" x14ac:dyDescent="0.3">
      <c r="B1537" t="s">
        <v>384</v>
      </c>
      <c r="C1537" s="17">
        <v>0.49411863847158299</v>
      </c>
      <c r="D1537" s="17">
        <v>0.46116138770216403</v>
      </c>
      <c r="E1537" s="17">
        <v>0.517459369816611</v>
      </c>
      <c r="F1537" s="17"/>
      <c r="G1537" s="17">
        <v>0.52122782729429395</v>
      </c>
      <c r="H1537" s="17">
        <v>0.46641432941368199</v>
      </c>
      <c r="I1537" s="17">
        <v>0.41409551589305599</v>
      </c>
      <c r="J1537" s="17">
        <v>0.556100466311089</v>
      </c>
      <c r="K1537" s="17"/>
      <c r="L1537" s="17">
        <v>0.34759483574178701</v>
      </c>
      <c r="M1537" s="17">
        <v>0.50973571173168197</v>
      </c>
      <c r="N1537" s="17">
        <v>0.52078980453727097</v>
      </c>
      <c r="O1537" s="17">
        <v>0.52986823534652605</v>
      </c>
    </row>
    <row r="1538" spans="2:15" x14ac:dyDescent="0.3">
      <c r="C1538" s="17"/>
      <c r="D1538" s="17"/>
      <c r="E1538" s="17"/>
      <c r="F1538" s="17"/>
      <c r="G1538" s="17"/>
      <c r="H1538" s="17"/>
      <c r="I1538" s="17"/>
      <c r="J1538" s="17"/>
      <c r="K1538" s="17"/>
      <c r="L1538" s="17"/>
      <c r="M1538" s="17"/>
      <c r="N1538" s="17"/>
      <c r="O1538" s="17"/>
    </row>
    <row r="1539" spans="2:15" x14ac:dyDescent="0.3">
      <c r="B1539" s="6" t="s">
        <v>482</v>
      </c>
      <c r="C1539" s="17"/>
      <c r="D1539" s="17"/>
      <c r="E1539" s="17"/>
      <c r="F1539" s="17"/>
      <c r="G1539" s="17"/>
      <c r="H1539" s="17"/>
      <c r="I1539" s="17"/>
      <c r="J1539" s="17"/>
      <c r="K1539" s="17"/>
      <c r="L1539" s="17"/>
      <c r="M1539" s="17"/>
      <c r="N1539" s="17"/>
      <c r="O1539" s="17"/>
    </row>
    <row r="1540" spans="2:15" x14ac:dyDescent="0.3">
      <c r="B1540" s="23" t="s">
        <v>474</v>
      </c>
      <c r="C1540" s="17"/>
      <c r="D1540" s="17"/>
      <c r="E1540" s="17"/>
      <c r="F1540" s="17"/>
      <c r="G1540" s="17"/>
      <c r="H1540" s="17"/>
      <c r="I1540" s="17"/>
      <c r="J1540" s="17"/>
      <c r="K1540" s="17"/>
      <c r="L1540" s="17"/>
      <c r="M1540" s="17"/>
      <c r="N1540" s="17"/>
      <c r="O1540" s="17"/>
    </row>
    <row r="1541" spans="2:15" x14ac:dyDescent="0.3">
      <c r="B1541" t="s">
        <v>380</v>
      </c>
      <c r="C1541" s="17">
        <v>7.0108961203375397E-2</v>
      </c>
      <c r="D1541" s="17">
        <v>6.4670431265158798E-2</v>
      </c>
      <c r="E1541" s="17">
        <v>7.5686604745021605E-2</v>
      </c>
      <c r="F1541" s="17"/>
      <c r="G1541" s="17">
        <v>0.101131155081679</v>
      </c>
      <c r="H1541" s="17">
        <v>0</v>
      </c>
      <c r="I1541" s="17">
        <v>0.15933620904068099</v>
      </c>
      <c r="J1541" s="17">
        <v>2.96571675139287E-2</v>
      </c>
      <c r="K1541" s="17"/>
      <c r="L1541" s="17">
        <v>8.4905237288395594E-2</v>
      </c>
      <c r="M1541" s="17">
        <v>4.65076070743956E-2</v>
      </c>
      <c r="N1541" s="17">
        <v>0.102742572705291</v>
      </c>
      <c r="O1541" s="17">
        <v>5.11499480085785E-2</v>
      </c>
    </row>
    <row r="1542" spans="2:15" x14ac:dyDescent="0.3">
      <c r="B1542" t="s">
        <v>381</v>
      </c>
      <c r="C1542" s="17">
        <v>0.33866805331675198</v>
      </c>
      <c r="D1542" s="17">
        <v>0.29234307327209202</v>
      </c>
      <c r="E1542" s="17">
        <v>0.381047818359947</v>
      </c>
      <c r="F1542" s="17"/>
      <c r="G1542" s="17">
        <v>0.29650369260387999</v>
      </c>
      <c r="H1542" s="17">
        <v>0.38792769707122299</v>
      </c>
      <c r="I1542" s="17">
        <v>0.226744960579147</v>
      </c>
      <c r="J1542" s="17">
        <v>0.42563104936271801</v>
      </c>
      <c r="K1542" s="17"/>
      <c r="L1542" s="17">
        <v>0.45881074481565398</v>
      </c>
      <c r="M1542" s="17">
        <v>0.29872324902143299</v>
      </c>
      <c r="N1542" s="17">
        <v>0.38257634456110201</v>
      </c>
      <c r="O1542" s="17">
        <v>0.27531116015860901</v>
      </c>
    </row>
    <row r="1543" spans="2:15" x14ac:dyDescent="0.3">
      <c r="B1543" t="s">
        <v>382</v>
      </c>
      <c r="C1543" s="17">
        <v>0.31551236793204002</v>
      </c>
      <c r="D1543" s="17">
        <v>0.34970559237897803</v>
      </c>
      <c r="E1543" s="17">
        <v>0.283619165198502</v>
      </c>
      <c r="F1543" s="17"/>
      <c r="G1543" s="17">
        <v>0.31163250919150598</v>
      </c>
      <c r="H1543" s="17">
        <v>0.25906531190056098</v>
      </c>
      <c r="I1543" s="17">
        <v>0.38004293484521201</v>
      </c>
      <c r="J1543" s="17">
        <v>0.316051920454753</v>
      </c>
      <c r="K1543" s="17"/>
      <c r="L1543" s="17">
        <v>0.20495847619935201</v>
      </c>
      <c r="M1543" s="17">
        <v>0.40506271587721898</v>
      </c>
      <c r="N1543" s="17">
        <v>0.30667709048963199</v>
      </c>
      <c r="O1543" s="17">
        <v>0.33153955252761902</v>
      </c>
    </row>
    <row r="1544" spans="2:15" x14ac:dyDescent="0.3">
      <c r="B1544" t="s">
        <v>383</v>
      </c>
      <c r="C1544" s="17">
        <v>0.21178849619517101</v>
      </c>
      <c r="D1544" s="17">
        <v>0.237253924563844</v>
      </c>
      <c r="E1544" s="17">
        <v>0.19638921417746999</v>
      </c>
      <c r="F1544" s="17"/>
      <c r="G1544" s="17">
        <v>0.25660608687842101</v>
      </c>
      <c r="H1544" s="17">
        <v>0.25722423261906002</v>
      </c>
      <c r="I1544" s="17">
        <v>0.15141495898990001</v>
      </c>
      <c r="J1544" s="17">
        <v>0.178673378619889</v>
      </c>
      <c r="K1544" s="17"/>
      <c r="L1544" s="17">
        <v>0.219338704868035</v>
      </c>
      <c r="M1544" s="17">
        <v>0.17693517906633799</v>
      </c>
      <c r="N1544" s="17">
        <v>0.18997171613167399</v>
      </c>
      <c r="O1544" s="17">
        <v>0.23726607964229099</v>
      </c>
    </row>
    <row r="1545" spans="2:15" x14ac:dyDescent="0.3">
      <c r="B1545" t="s">
        <v>142</v>
      </c>
      <c r="C1545" s="17">
        <v>6.3922121352660205E-2</v>
      </c>
      <c r="D1545" s="17">
        <v>5.6026978519926697E-2</v>
      </c>
      <c r="E1545" s="17">
        <v>6.32571975190592E-2</v>
      </c>
      <c r="F1545" s="17"/>
      <c r="G1545" s="17">
        <v>3.4126556244513502E-2</v>
      </c>
      <c r="H1545" s="17">
        <v>9.5782758409156593E-2</v>
      </c>
      <c r="I1545" s="17">
        <v>8.2460936545059996E-2</v>
      </c>
      <c r="J1545" s="17">
        <v>4.9986484048711498E-2</v>
      </c>
      <c r="K1545" s="17"/>
      <c r="L1545" s="17">
        <v>3.1986836828563597E-2</v>
      </c>
      <c r="M1545" s="17">
        <v>7.2771248960614904E-2</v>
      </c>
      <c r="N1545" s="17">
        <v>1.8032276112301401E-2</v>
      </c>
      <c r="O1545" s="17">
        <v>0.10473325966290301</v>
      </c>
    </row>
    <row r="1546" spans="2:15" x14ac:dyDescent="0.3">
      <c r="B1546" t="s">
        <v>384</v>
      </c>
      <c r="C1546" s="17">
        <v>0.40877701452012799</v>
      </c>
      <c r="D1546" s="17">
        <v>0.357013504537251</v>
      </c>
      <c r="E1546" s="17">
        <v>0.45673442310496898</v>
      </c>
      <c r="F1546" s="17"/>
      <c r="G1546" s="17">
        <v>0.39763484768555901</v>
      </c>
      <c r="H1546" s="17">
        <v>0.38792769707122299</v>
      </c>
      <c r="I1546" s="17">
        <v>0.38608116961982802</v>
      </c>
      <c r="J1546" s="17">
        <v>0.455288216876647</v>
      </c>
      <c r="K1546" s="17"/>
      <c r="L1546" s="17">
        <v>0.54371598210405003</v>
      </c>
      <c r="M1546" s="17">
        <v>0.34523085609582799</v>
      </c>
      <c r="N1546" s="17">
        <v>0.48531891726639298</v>
      </c>
      <c r="O1546" s="17">
        <v>0.32646110816718699</v>
      </c>
    </row>
    <row r="1547" spans="2:15" x14ac:dyDescent="0.3">
      <c r="C1547" s="17"/>
      <c r="D1547" s="17"/>
      <c r="E1547" s="17"/>
      <c r="F1547" s="17"/>
      <c r="G1547" s="17"/>
      <c r="H1547" s="17"/>
      <c r="I1547" s="17"/>
      <c r="J1547" s="17"/>
      <c r="K1547" s="17"/>
      <c r="L1547" s="17"/>
      <c r="M1547" s="17"/>
      <c r="N1547" s="17"/>
      <c r="O1547" s="17"/>
    </row>
    <row r="1548" spans="2:15" x14ac:dyDescent="0.3">
      <c r="B1548" s="6" t="s">
        <v>483</v>
      </c>
      <c r="C1548" s="17"/>
      <c r="D1548" s="17"/>
      <c r="E1548" s="17"/>
      <c r="F1548" s="17"/>
      <c r="G1548" s="17"/>
      <c r="H1548" s="17"/>
      <c r="I1548" s="17"/>
      <c r="J1548" s="17"/>
      <c r="K1548" s="17"/>
      <c r="L1548" s="17"/>
      <c r="M1548" s="17"/>
      <c r="N1548" s="17"/>
      <c r="O1548" s="17"/>
    </row>
    <row r="1549" spans="2:15" x14ac:dyDescent="0.3">
      <c r="B1549" s="23" t="s">
        <v>474</v>
      </c>
      <c r="C1549" s="17"/>
      <c r="D1549" s="17"/>
      <c r="E1549" s="17"/>
      <c r="F1549" s="17"/>
      <c r="G1549" s="17"/>
      <c r="H1549" s="17"/>
      <c r="I1549" s="17"/>
      <c r="J1549" s="17"/>
      <c r="K1549" s="17"/>
      <c r="L1549" s="17"/>
      <c r="M1549" s="17"/>
      <c r="N1549" s="17"/>
      <c r="O1549" s="17"/>
    </row>
    <row r="1550" spans="2:15" x14ac:dyDescent="0.3">
      <c r="B1550" t="s">
        <v>380</v>
      </c>
      <c r="C1550" s="17">
        <v>0.12083185285517201</v>
      </c>
      <c r="D1550" s="17">
        <v>0.124493441349829</v>
      </c>
      <c r="E1550" s="17">
        <v>0.10857718386915099</v>
      </c>
      <c r="F1550" s="17"/>
      <c r="G1550" s="17">
        <v>0.17314705780610201</v>
      </c>
      <c r="H1550" s="17">
        <v>9.9831920968309604E-2</v>
      </c>
      <c r="I1550" s="17">
        <v>0.119277508371664</v>
      </c>
      <c r="J1550" s="17">
        <v>9.0620180072647896E-2</v>
      </c>
      <c r="K1550" s="17"/>
      <c r="L1550" s="17">
        <v>0.14603617519678899</v>
      </c>
      <c r="M1550" s="17">
        <v>8.3262696818392198E-2</v>
      </c>
      <c r="N1550" s="17">
        <v>0.12625954346872201</v>
      </c>
      <c r="O1550" s="17">
        <v>0.12161521425687299</v>
      </c>
    </row>
    <row r="1551" spans="2:15" x14ac:dyDescent="0.3">
      <c r="B1551" t="s">
        <v>381</v>
      </c>
      <c r="C1551" s="17">
        <v>0.354290912699816</v>
      </c>
      <c r="D1551" s="17">
        <v>0.286884906323575</v>
      </c>
      <c r="E1551" s="17">
        <v>0.41320797131313702</v>
      </c>
      <c r="F1551" s="17"/>
      <c r="G1551" s="17">
        <v>0.28962164435677601</v>
      </c>
      <c r="H1551" s="17">
        <v>0.346204032061601</v>
      </c>
      <c r="I1551" s="17">
        <v>0.34768149219509398</v>
      </c>
      <c r="J1551" s="17">
        <v>0.42762075862368099</v>
      </c>
      <c r="K1551" s="17"/>
      <c r="L1551" s="17">
        <v>0.37202649908637397</v>
      </c>
      <c r="M1551" s="17">
        <v>0.39577863722613299</v>
      </c>
      <c r="N1551" s="17">
        <v>0.42273552345675602</v>
      </c>
      <c r="O1551" s="17">
        <v>0.28412418311193299</v>
      </c>
    </row>
    <row r="1552" spans="2:15" x14ac:dyDescent="0.3">
      <c r="B1552" t="s">
        <v>382</v>
      </c>
      <c r="C1552" s="17">
        <v>0.31325013867993301</v>
      </c>
      <c r="D1552" s="17">
        <v>0.35742538183697098</v>
      </c>
      <c r="E1552" s="17">
        <v>0.28546233830490098</v>
      </c>
      <c r="F1552" s="17"/>
      <c r="G1552" s="17">
        <v>0.29864339635202702</v>
      </c>
      <c r="H1552" s="17">
        <v>0.35171733368774299</v>
      </c>
      <c r="I1552" s="17">
        <v>0.25237685166621598</v>
      </c>
      <c r="J1552" s="17">
        <v>0.342673077270783</v>
      </c>
      <c r="K1552" s="17"/>
      <c r="L1552" s="17">
        <v>0.388739205429951</v>
      </c>
      <c r="M1552" s="17">
        <v>0.33630744860456901</v>
      </c>
      <c r="N1552" s="17">
        <v>0.26729330615467201</v>
      </c>
      <c r="O1552" s="17">
        <v>0.304487595722647</v>
      </c>
    </row>
    <row r="1553" spans="2:15" x14ac:dyDescent="0.3">
      <c r="B1553" t="s">
        <v>383</v>
      </c>
      <c r="C1553" s="17">
        <v>0.15859549916771701</v>
      </c>
      <c r="D1553" s="17">
        <v>0.20058863606781199</v>
      </c>
      <c r="E1553" s="17">
        <v>0.12941829828739501</v>
      </c>
      <c r="F1553" s="17"/>
      <c r="G1553" s="17">
        <v>0.20186638940528601</v>
      </c>
      <c r="H1553" s="17">
        <v>0.154547885012665</v>
      </c>
      <c r="I1553" s="17">
        <v>0.21786967133906701</v>
      </c>
      <c r="J1553" s="17">
        <v>7.3859743574881107E-2</v>
      </c>
      <c r="K1553" s="17"/>
      <c r="L1553" s="17">
        <v>2.9906112478256999E-2</v>
      </c>
      <c r="M1553" s="17">
        <v>0.145723819924924</v>
      </c>
      <c r="N1553" s="17">
        <v>0.18371162691984999</v>
      </c>
      <c r="O1553" s="17">
        <v>0.19931981201419399</v>
      </c>
    </row>
    <row r="1554" spans="2:15" x14ac:dyDescent="0.3">
      <c r="B1554" t="s">
        <v>142</v>
      </c>
      <c r="C1554" s="17">
        <v>5.3031596597361501E-2</v>
      </c>
      <c r="D1554" s="17">
        <v>3.0607634421812802E-2</v>
      </c>
      <c r="E1554" s="17">
        <v>6.3334208225415398E-2</v>
      </c>
      <c r="F1554" s="17"/>
      <c r="G1554" s="17">
        <v>3.6721512079808602E-2</v>
      </c>
      <c r="H1554" s="17">
        <v>4.7698828269680402E-2</v>
      </c>
      <c r="I1554" s="17">
        <v>6.2794476427960197E-2</v>
      </c>
      <c r="J1554" s="17">
        <v>6.5226240458007206E-2</v>
      </c>
      <c r="K1554" s="17"/>
      <c r="L1554" s="17">
        <v>6.32920078086293E-2</v>
      </c>
      <c r="M1554" s="17">
        <v>3.8927397425981898E-2</v>
      </c>
      <c r="N1554" s="17">
        <v>0</v>
      </c>
      <c r="O1554" s="17">
        <v>9.0453194894352301E-2</v>
      </c>
    </row>
    <row r="1555" spans="2:15" x14ac:dyDescent="0.3">
      <c r="B1555" t="s">
        <v>384</v>
      </c>
      <c r="C1555" s="17">
        <v>0.475122765554988</v>
      </c>
      <c r="D1555" s="17">
        <v>0.41137834767340398</v>
      </c>
      <c r="E1555" s="17">
        <v>0.52178515518228796</v>
      </c>
      <c r="F1555" s="17"/>
      <c r="G1555" s="17">
        <v>0.46276870216287802</v>
      </c>
      <c r="H1555" s="17">
        <v>0.446035953029911</v>
      </c>
      <c r="I1555" s="17">
        <v>0.46695900056675699</v>
      </c>
      <c r="J1555" s="17">
        <v>0.51824093869632903</v>
      </c>
      <c r="K1555" s="17"/>
      <c r="L1555" s="17">
        <v>0.51806267428316299</v>
      </c>
      <c r="M1555" s="17">
        <v>0.47904133404452498</v>
      </c>
      <c r="N1555" s="17">
        <v>0.54899506692547795</v>
      </c>
      <c r="O1555" s="17">
        <v>0.40573939736880599</v>
      </c>
    </row>
    <row r="1556" spans="2:15" x14ac:dyDescent="0.3">
      <c r="C1556" s="17"/>
      <c r="D1556" s="17"/>
      <c r="E1556" s="17"/>
      <c r="F1556" s="17"/>
      <c r="G1556" s="17"/>
      <c r="H1556" s="17"/>
      <c r="I1556" s="17"/>
      <c r="J1556" s="17"/>
      <c r="K1556" s="17"/>
      <c r="L1556" s="17"/>
      <c r="M1556" s="17"/>
      <c r="N1556" s="17"/>
      <c r="O1556" s="17"/>
    </row>
    <row r="1557" spans="2:15" x14ac:dyDescent="0.3">
      <c r="B1557" s="6" t="s">
        <v>484</v>
      </c>
      <c r="C1557" s="17"/>
      <c r="D1557" s="17"/>
      <c r="E1557" s="17"/>
      <c r="F1557" s="17"/>
      <c r="G1557" s="17"/>
      <c r="H1557" s="17"/>
      <c r="I1557" s="17"/>
      <c r="J1557" s="17"/>
      <c r="K1557" s="17"/>
      <c r="L1557" s="17"/>
      <c r="M1557" s="17"/>
      <c r="N1557" s="17"/>
      <c r="O1557" s="17"/>
    </row>
    <row r="1558" spans="2:15" x14ac:dyDescent="0.3">
      <c r="B1558" s="23" t="s">
        <v>474</v>
      </c>
      <c r="C1558" s="17"/>
      <c r="D1558" s="17"/>
      <c r="E1558" s="17"/>
      <c r="F1558" s="17"/>
      <c r="G1558" s="17"/>
      <c r="H1558" s="17"/>
      <c r="I1558" s="17"/>
      <c r="J1558" s="17"/>
      <c r="K1558" s="17"/>
      <c r="L1558" s="17"/>
      <c r="M1558" s="17"/>
      <c r="N1558" s="17"/>
      <c r="O1558" s="17"/>
    </row>
    <row r="1559" spans="2:15" x14ac:dyDescent="0.3">
      <c r="B1559" t="s">
        <v>380</v>
      </c>
      <c r="C1559" s="17">
        <v>4.3500929696412997E-2</v>
      </c>
      <c r="D1559" s="17">
        <v>6.1935501887889197E-2</v>
      </c>
      <c r="E1559" s="17">
        <v>3.01740620423416E-2</v>
      </c>
      <c r="F1559" s="17"/>
      <c r="G1559" s="17">
        <v>9.0332302899351902E-2</v>
      </c>
      <c r="H1559" s="17">
        <v>0</v>
      </c>
      <c r="I1559" s="17">
        <v>7.08468187780735E-2</v>
      </c>
      <c r="J1559" s="17">
        <v>1.4690337235971899E-2</v>
      </c>
      <c r="K1559" s="17"/>
      <c r="L1559" s="17">
        <v>0</v>
      </c>
      <c r="M1559" s="17">
        <v>4.0601156388627498E-2</v>
      </c>
      <c r="N1559" s="17">
        <v>3.5242949838849798E-2</v>
      </c>
      <c r="O1559" s="17">
        <v>6.8086077107948006E-2</v>
      </c>
    </row>
    <row r="1560" spans="2:15" x14ac:dyDescent="0.3">
      <c r="B1560" t="s">
        <v>381</v>
      </c>
      <c r="C1560" s="17">
        <v>0.20388227086785701</v>
      </c>
      <c r="D1560" s="17">
        <v>0.206248172516178</v>
      </c>
      <c r="E1560" s="17">
        <v>0.206107106457116</v>
      </c>
      <c r="F1560" s="17"/>
      <c r="G1560" s="17">
        <v>0.19062650300813899</v>
      </c>
      <c r="H1560" s="17">
        <v>0.172291964649922</v>
      </c>
      <c r="I1560" s="17">
        <v>0.307399397656753</v>
      </c>
      <c r="J1560" s="17">
        <v>0.16086888295280999</v>
      </c>
      <c r="K1560" s="17"/>
      <c r="L1560" s="17">
        <v>0.113431189475453</v>
      </c>
      <c r="M1560" s="17">
        <v>0.108825717115904</v>
      </c>
      <c r="N1560" s="17">
        <v>0.244007748019552</v>
      </c>
      <c r="O1560" s="17">
        <v>0.251111795394868</v>
      </c>
    </row>
    <row r="1561" spans="2:15" x14ac:dyDescent="0.3">
      <c r="B1561" t="s">
        <v>382</v>
      </c>
      <c r="C1561" s="17">
        <v>0.23459898397805701</v>
      </c>
      <c r="D1561" s="17">
        <v>0.23222717183935701</v>
      </c>
      <c r="E1561" s="17">
        <v>0.241080273653278</v>
      </c>
      <c r="F1561" s="17"/>
      <c r="G1561" s="17">
        <v>0.25637657910415201</v>
      </c>
      <c r="H1561" s="17">
        <v>0.209240570653245</v>
      </c>
      <c r="I1561" s="17">
        <v>0.21430506007828101</v>
      </c>
      <c r="J1561" s="17">
        <v>0.25194178372463499</v>
      </c>
      <c r="K1561" s="17"/>
      <c r="L1561" s="17">
        <v>0.40648349113287402</v>
      </c>
      <c r="M1561" s="17">
        <v>0.24309101999180499</v>
      </c>
      <c r="N1561" s="17">
        <v>0.229559938415415</v>
      </c>
      <c r="O1561" s="17">
        <v>0.16424452685628499</v>
      </c>
    </row>
    <row r="1562" spans="2:15" x14ac:dyDescent="0.3">
      <c r="B1562" t="s">
        <v>383</v>
      </c>
      <c r="C1562" s="17">
        <v>0.41381879078892497</v>
      </c>
      <c r="D1562" s="17">
        <v>0.40275278845023399</v>
      </c>
      <c r="E1562" s="17">
        <v>0.41871505237331302</v>
      </c>
      <c r="F1562" s="17"/>
      <c r="G1562" s="17">
        <v>0.39174391579184498</v>
      </c>
      <c r="H1562" s="17">
        <v>0.49799255005120602</v>
      </c>
      <c r="I1562" s="17">
        <v>0.29856280514478301</v>
      </c>
      <c r="J1562" s="17">
        <v>0.45453357641953201</v>
      </c>
      <c r="K1562" s="17"/>
      <c r="L1562" s="17">
        <v>0.36418465975921399</v>
      </c>
      <c r="M1562" s="17">
        <v>0.56855470907768102</v>
      </c>
      <c r="N1562" s="17">
        <v>0.370743041597831</v>
      </c>
      <c r="O1562" s="17">
        <v>0.40248530257593701</v>
      </c>
    </row>
    <row r="1563" spans="2:15" x14ac:dyDescent="0.3">
      <c r="B1563" t="s">
        <v>142</v>
      </c>
      <c r="C1563" s="17">
        <v>0.104199024668748</v>
      </c>
      <c r="D1563" s="17">
        <v>9.6836365306341099E-2</v>
      </c>
      <c r="E1563" s="17">
        <v>0.103923505473951</v>
      </c>
      <c r="F1563" s="17"/>
      <c r="G1563" s="17">
        <v>7.0920699196512296E-2</v>
      </c>
      <c r="H1563" s="17">
        <v>0.120474914645627</v>
      </c>
      <c r="I1563" s="17">
        <v>0.10888591834211001</v>
      </c>
      <c r="J1563" s="17">
        <v>0.117965419667051</v>
      </c>
      <c r="K1563" s="17"/>
      <c r="L1563" s="17">
        <v>0.115900659632459</v>
      </c>
      <c r="M1563" s="17">
        <v>3.8927397425981898E-2</v>
      </c>
      <c r="N1563" s="17">
        <v>0.120446322128352</v>
      </c>
      <c r="O1563" s="17">
        <v>0.114072298064962</v>
      </c>
    </row>
    <row r="1564" spans="2:15" x14ac:dyDescent="0.3">
      <c r="B1564" t="s">
        <v>384</v>
      </c>
      <c r="C1564" s="17">
        <v>0.24738320056426999</v>
      </c>
      <c r="D1564" s="17">
        <v>0.26818367440406699</v>
      </c>
      <c r="E1564" s="17">
        <v>0.23628116849945799</v>
      </c>
      <c r="F1564" s="17"/>
      <c r="G1564" s="17">
        <v>0.280958805907491</v>
      </c>
      <c r="H1564" s="17">
        <v>0.172291964649922</v>
      </c>
      <c r="I1564" s="17">
        <v>0.37824621643482698</v>
      </c>
      <c r="J1564" s="17">
        <v>0.17555922018878201</v>
      </c>
      <c r="K1564" s="17"/>
      <c r="L1564" s="17">
        <v>0.113431189475453</v>
      </c>
      <c r="M1564" s="17">
        <v>0.14942687350453199</v>
      </c>
      <c r="N1564" s="17">
        <v>0.27925069785840201</v>
      </c>
      <c r="O1564" s="17">
        <v>0.319197872502816</v>
      </c>
    </row>
    <row r="1565" spans="2:15" x14ac:dyDescent="0.3">
      <c r="C1565" s="17"/>
      <c r="D1565" s="17"/>
      <c r="E1565" s="17"/>
      <c r="F1565" s="17"/>
      <c r="G1565" s="17"/>
      <c r="H1565" s="17"/>
      <c r="I1565" s="17"/>
      <c r="J1565" s="17"/>
      <c r="K1565" s="17"/>
      <c r="L1565" s="17"/>
      <c r="M1565" s="17"/>
      <c r="N1565" s="17"/>
      <c r="O1565" s="17"/>
    </row>
    <row r="1566" spans="2:15" x14ac:dyDescent="0.3">
      <c r="B1566" s="6" t="s">
        <v>493</v>
      </c>
      <c r="C1566" s="17"/>
      <c r="D1566" s="17"/>
      <c r="E1566" s="17"/>
      <c r="F1566" s="17"/>
      <c r="G1566" s="17"/>
      <c r="H1566" s="17"/>
      <c r="I1566" s="17"/>
      <c r="J1566" s="17"/>
      <c r="K1566" s="17"/>
      <c r="L1566" s="17"/>
      <c r="M1566" s="17"/>
      <c r="N1566" s="17"/>
      <c r="O1566" s="17"/>
    </row>
    <row r="1567" spans="2:15" x14ac:dyDescent="0.3">
      <c r="B1567" s="23" t="s">
        <v>474</v>
      </c>
      <c r="C1567" s="17"/>
      <c r="D1567" s="17"/>
      <c r="E1567" s="17"/>
      <c r="F1567" s="17"/>
      <c r="G1567" s="17"/>
      <c r="H1567" s="17"/>
      <c r="I1567" s="17"/>
      <c r="J1567" s="17"/>
      <c r="K1567" s="17"/>
      <c r="L1567" s="17"/>
      <c r="M1567" s="17"/>
      <c r="N1567" s="17"/>
      <c r="O1567" s="17"/>
    </row>
    <row r="1568" spans="2:15" x14ac:dyDescent="0.3">
      <c r="B1568" t="s">
        <v>380</v>
      </c>
      <c r="C1568" s="17">
        <v>2.8281586879374699E-2</v>
      </c>
      <c r="D1568" s="17">
        <v>2.0986689281112001E-2</v>
      </c>
      <c r="E1568" s="17">
        <v>3.4458125690670097E-2</v>
      </c>
      <c r="F1568" s="17"/>
      <c r="G1568" s="17">
        <v>5.0309576834066901E-2</v>
      </c>
      <c r="H1568" s="17">
        <v>0</v>
      </c>
      <c r="I1568" s="17">
        <v>3.4761649325210003E-2</v>
      </c>
      <c r="J1568" s="17">
        <v>2.6525200536282899E-2</v>
      </c>
      <c r="K1568" s="17"/>
      <c r="L1568" s="17">
        <v>2.0297056540724299E-2</v>
      </c>
      <c r="M1568" s="17">
        <v>2.0300578194313801E-2</v>
      </c>
      <c r="N1568" s="17">
        <v>5.11558941290675E-2</v>
      </c>
      <c r="O1568" s="17">
        <v>1.9140610330121498E-2</v>
      </c>
    </row>
    <row r="1569" spans="2:15" x14ac:dyDescent="0.3">
      <c r="B1569" t="s">
        <v>381</v>
      </c>
      <c r="C1569" s="17">
        <v>0.21092047237081399</v>
      </c>
      <c r="D1569" s="17">
        <v>0.22441572102875201</v>
      </c>
      <c r="E1569" s="17">
        <v>0.19670730550930801</v>
      </c>
      <c r="F1569" s="17"/>
      <c r="G1569" s="17">
        <v>0.23923356292949099</v>
      </c>
      <c r="H1569" s="17">
        <v>0.15653671439925401</v>
      </c>
      <c r="I1569" s="17">
        <v>0.245091941425093</v>
      </c>
      <c r="J1569" s="17">
        <v>0.20349199213741401</v>
      </c>
      <c r="K1569" s="17"/>
      <c r="L1569" s="17">
        <v>0.33504494262444801</v>
      </c>
      <c r="M1569" s="17">
        <v>0.16012020724399401</v>
      </c>
      <c r="N1569" s="17">
        <v>0.18783300739323999</v>
      </c>
      <c r="O1569" s="17">
        <v>0.19577550478393099</v>
      </c>
    </row>
    <row r="1570" spans="2:15" x14ac:dyDescent="0.3">
      <c r="B1570" t="s">
        <v>382</v>
      </c>
      <c r="C1570" s="17">
        <v>0.33537191726379401</v>
      </c>
      <c r="D1570" s="17">
        <v>0.28313385803257402</v>
      </c>
      <c r="E1570" s="17">
        <v>0.37040388186498402</v>
      </c>
      <c r="F1570" s="17"/>
      <c r="G1570" s="17">
        <v>0.215934211733638</v>
      </c>
      <c r="H1570" s="17">
        <v>0.36585992875668599</v>
      </c>
      <c r="I1570" s="17">
        <v>0.35388497085659198</v>
      </c>
      <c r="J1570" s="17">
        <v>0.40736233933383198</v>
      </c>
      <c r="K1570" s="17"/>
      <c r="L1570" s="17">
        <v>0.23743023066138999</v>
      </c>
      <c r="M1570" s="17">
        <v>0.41788881200086397</v>
      </c>
      <c r="N1570" s="17">
        <v>0.33915083304283999</v>
      </c>
      <c r="O1570" s="17">
        <v>0.34042281685662301</v>
      </c>
    </row>
    <row r="1571" spans="2:15" x14ac:dyDescent="0.3">
      <c r="B1571" t="s">
        <v>383</v>
      </c>
      <c r="C1571" s="17">
        <v>0.35565353153949902</v>
      </c>
      <c r="D1571" s="17">
        <v>0.41514413952607099</v>
      </c>
      <c r="E1571" s="17">
        <v>0.31691811382372898</v>
      </c>
      <c r="F1571" s="17"/>
      <c r="G1571" s="17">
        <v>0.479076457407351</v>
      </c>
      <c r="H1571" s="17">
        <v>0.33264981520481801</v>
      </c>
      <c r="I1571" s="17">
        <v>0.310924386944536</v>
      </c>
      <c r="J1571" s="17">
        <v>0.29440492680062202</v>
      </c>
      <c r="K1571" s="17"/>
      <c r="L1571" s="17">
        <v>0.37524093334487402</v>
      </c>
      <c r="M1571" s="17">
        <v>0.30814895308019102</v>
      </c>
      <c r="N1571" s="17">
        <v>0.33838871208507998</v>
      </c>
      <c r="O1571" s="17">
        <v>0.37808744791045301</v>
      </c>
    </row>
    <row r="1572" spans="2:15" x14ac:dyDescent="0.3">
      <c r="B1572" t="s">
        <v>142</v>
      </c>
      <c r="C1572" s="17">
        <v>6.9772491946518703E-2</v>
      </c>
      <c r="D1572" s="17">
        <v>5.6319592131491403E-2</v>
      </c>
      <c r="E1572" s="17">
        <v>8.1512573111308106E-2</v>
      </c>
      <c r="F1572" s="17"/>
      <c r="G1572" s="17">
        <v>1.5446191095452999E-2</v>
      </c>
      <c r="H1572" s="17">
        <v>0.14495354163924201</v>
      </c>
      <c r="I1572" s="17">
        <v>5.5337051448569201E-2</v>
      </c>
      <c r="J1572" s="17">
        <v>6.8215541191849596E-2</v>
      </c>
      <c r="K1572" s="17"/>
      <c r="L1572" s="17">
        <v>3.1986836828563597E-2</v>
      </c>
      <c r="M1572" s="17">
        <v>9.3541449480637098E-2</v>
      </c>
      <c r="N1572" s="17">
        <v>8.3471553349772895E-2</v>
      </c>
      <c r="O1572" s="17">
        <v>6.6573620118871704E-2</v>
      </c>
    </row>
    <row r="1573" spans="2:15" x14ac:dyDescent="0.3">
      <c r="B1573" t="s">
        <v>384</v>
      </c>
      <c r="C1573" s="17">
        <v>0.239202059250189</v>
      </c>
      <c r="D1573" s="17">
        <v>0.24540241030986401</v>
      </c>
      <c r="E1573" s="17">
        <v>0.23116543119997801</v>
      </c>
      <c r="F1573" s="17"/>
      <c r="G1573" s="17">
        <v>0.289543139763558</v>
      </c>
      <c r="H1573" s="17">
        <v>0.15653671439925401</v>
      </c>
      <c r="I1573" s="17">
        <v>0.27985359075030303</v>
      </c>
      <c r="J1573" s="17">
        <v>0.230017192673697</v>
      </c>
      <c r="K1573" s="17"/>
      <c r="L1573" s="17">
        <v>0.35534199916517301</v>
      </c>
      <c r="M1573" s="17">
        <v>0.180420785438307</v>
      </c>
      <c r="N1573" s="17">
        <v>0.23898890152230701</v>
      </c>
      <c r="O1573" s="17">
        <v>0.21491611511405301</v>
      </c>
    </row>
    <row r="1574" spans="2:15" x14ac:dyDescent="0.3">
      <c r="C1574" s="17"/>
      <c r="D1574" s="17"/>
      <c r="E1574" s="17"/>
      <c r="F1574" s="17"/>
      <c r="G1574" s="17"/>
      <c r="H1574" s="17"/>
      <c r="I1574" s="17"/>
      <c r="J1574" s="17"/>
      <c r="K1574" s="17"/>
      <c r="L1574" s="17"/>
      <c r="M1574" s="17"/>
      <c r="N1574" s="17"/>
      <c r="O1574" s="17"/>
    </row>
    <row r="1575" spans="2:15" x14ac:dyDescent="0.3">
      <c r="B1575" s="6" t="s">
        <v>494</v>
      </c>
      <c r="C1575" s="17"/>
      <c r="D1575" s="17"/>
      <c r="E1575" s="17"/>
      <c r="F1575" s="17"/>
      <c r="G1575" s="17"/>
      <c r="H1575" s="17"/>
      <c r="I1575" s="17"/>
      <c r="J1575" s="17"/>
      <c r="K1575" s="17"/>
      <c r="L1575" s="17"/>
      <c r="M1575" s="17"/>
      <c r="N1575" s="17"/>
      <c r="O1575" s="17"/>
    </row>
    <row r="1576" spans="2:15" x14ac:dyDescent="0.3">
      <c r="B1576" s="23" t="s">
        <v>474</v>
      </c>
      <c r="C1576" s="17"/>
      <c r="D1576" s="17"/>
      <c r="E1576" s="17"/>
      <c r="F1576" s="17"/>
      <c r="G1576" s="17"/>
      <c r="H1576" s="17"/>
      <c r="I1576" s="17"/>
      <c r="J1576" s="17"/>
      <c r="K1576" s="17"/>
      <c r="L1576" s="17"/>
      <c r="M1576" s="17"/>
      <c r="N1576" s="17"/>
      <c r="O1576" s="17"/>
    </row>
    <row r="1577" spans="2:15" x14ac:dyDescent="0.3">
      <c r="B1577" t="s">
        <v>380</v>
      </c>
      <c r="C1577" s="17">
        <v>3.4631052235273303E-2</v>
      </c>
      <c r="D1577" s="17">
        <v>5.0591570642039001E-2</v>
      </c>
      <c r="E1577" s="17">
        <v>2.3032583020288301E-2</v>
      </c>
      <c r="F1577" s="17"/>
      <c r="G1577" s="17">
        <v>6.6915784895590302E-2</v>
      </c>
      <c r="H1577" s="17">
        <v>2.2169578297469499E-2</v>
      </c>
      <c r="I1577" s="17">
        <v>3.4761649325210003E-2</v>
      </c>
      <c r="J1577" s="17">
        <v>1.4690337235971899E-2</v>
      </c>
      <c r="K1577" s="17"/>
      <c r="L1577" s="17">
        <v>6.32920078086293E-2</v>
      </c>
      <c r="M1577" s="17">
        <v>2.0300578194313801E-2</v>
      </c>
      <c r="N1577" s="17">
        <v>4.8440378175573499E-2</v>
      </c>
      <c r="O1577" s="17">
        <v>1.9140610330121498E-2</v>
      </c>
    </row>
    <row r="1578" spans="2:15" x14ac:dyDescent="0.3">
      <c r="B1578" t="s">
        <v>381</v>
      </c>
      <c r="C1578" s="17">
        <v>0.18176599065868601</v>
      </c>
      <c r="D1578" s="17">
        <v>0.16936654118774899</v>
      </c>
      <c r="E1578" s="17">
        <v>0.19491766068178401</v>
      </c>
      <c r="F1578" s="17"/>
      <c r="G1578" s="17">
        <v>0.14159395866779301</v>
      </c>
      <c r="H1578" s="17">
        <v>0.15480175070382901</v>
      </c>
      <c r="I1578" s="17">
        <v>0.26877255558027802</v>
      </c>
      <c r="J1578" s="17">
        <v>0.17340598514549799</v>
      </c>
      <c r="K1578" s="17"/>
      <c r="L1578" s="17">
        <v>0.160080455748141</v>
      </c>
      <c r="M1578" s="17">
        <v>9.7075111414888796E-2</v>
      </c>
      <c r="N1578" s="17">
        <v>0.28444857698144699</v>
      </c>
      <c r="O1578" s="17">
        <v>0.154184739877199</v>
      </c>
    </row>
    <row r="1579" spans="2:15" x14ac:dyDescent="0.3">
      <c r="B1579" t="s">
        <v>382</v>
      </c>
      <c r="C1579" s="17">
        <v>0.41170620841903999</v>
      </c>
      <c r="D1579" s="17">
        <v>0.38791162952698299</v>
      </c>
      <c r="E1579" s="17">
        <v>0.43018168966995102</v>
      </c>
      <c r="F1579" s="17"/>
      <c r="G1579" s="17">
        <v>0.41069887026804403</v>
      </c>
      <c r="H1579" s="17">
        <v>0.38560416025955502</v>
      </c>
      <c r="I1579" s="17">
        <v>0.447981374593999</v>
      </c>
      <c r="J1579" s="17">
        <v>0.40607633538944898</v>
      </c>
      <c r="K1579" s="17"/>
      <c r="L1579" s="17">
        <v>0.25126225268313002</v>
      </c>
      <c r="M1579" s="17">
        <v>0.46812657442116501</v>
      </c>
      <c r="N1579" s="17">
        <v>0.4206103721328</v>
      </c>
      <c r="O1579" s="17">
        <v>0.44916644306799097</v>
      </c>
    </row>
    <row r="1580" spans="2:15" x14ac:dyDescent="0.3">
      <c r="B1580" t="s">
        <v>383</v>
      </c>
      <c r="C1580" s="17">
        <v>0.33841661317563698</v>
      </c>
      <c r="D1580" s="17">
        <v>0.37986188081397898</v>
      </c>
      <c r="E1580" s="17">
        <v>0.30139563202734099</v>
      </c>
      <c r="F1580" s="17"/>
      <c r="G1580" s="17">
        <v>0.380791386168573</v>
      </c>
      <c r="H1580" s="17">
        <v>0.32271035731571601</v>
      </c>
      <c r="I1580" s="17">
        <v>0.220627942167821</v>
      </c>
      <c r="J1580" s="17">
        <v>0.40582734222908101</v>
      </c>
      <c r="K1580" s="17"/>
      <c r="L1580" s="17">
        <v>0.49337844693153599</v>
      </c>
      <c r="M1580" s="17">
        <v>0.31331946383444398</v>
      </c>
      <c r="N1580" s="17">
        <v>0.24650067271018</v>
      </c>
      <c r="O1580" s="17">
        <v>0.34731999344327202</v>
      </c>
    </row>
    <row r="1581" spans="2:15" x14ac:dyDescent="0.3">
      <c r="B1581" t="s">
        <v>142</v>
      </c>
      <c r="C1581" s="17">
        <v>3.3480135511363203E-2</v>
      </c>
      <c r="D1581" s="17">
        <v>1.2268377829250599E-2</v>
      </c>
      <c r="E1581" s="17">
        <v>5.0472434600636003E-2</v>
      </c>
      <c r="F1581" s="17"/>
      <c r="G1581" s="17">
        <v>0</v>
      </c>
      <c r="H1581" s="17">
        <v>0.114714153423431</v>
      </c>
      <c r="I1581" s="17">
        <v>2.7856478332692201E-2</v>
      </c>
      <c r="J1581" s="17">
        <v>0</v>
      </c>
      <c r="K1581" s="17"/>
      <c r="L1581" s="17">
        <v>3.1986836828563597E-2</v>
      </c>
      <c r="M1581" s="17">
        <v>0.101178272135188</v>
      </c>
      <c r="N1581" s="17">
        <v>0</v>
      </c>
      <c r="O1581" s="17">
        <v>3.01882132814155E-2</v>
      </c>
    </row>
    <row r="1582" spans="2:15" x14ac:dyDescent="0.3">
      <c r="B1582" t="s">
        <v>384</v>
      </c>
      <c r="C1582" s="17">
        <v>0.216397042893959</v>
      </c>
      <c r="D1582" s="17">
        <v>0.219958111829788</v>
      </c>
      <c r="E1582" s="17">
        <v>0.217950243702072</v>
      </c>
      <c r="F1582" s="17"/>
      <c r="G1582" s="17">
        <v>0.208509743563383</v>
      </c>
      <c r="H1582" s="17">
        <v>0.176971329001299</v>
      </c>
      <c r="I1582" s="17">
        <v>0.30353420490548799</v>
      </c>
      <c r="J1582" s="17">
        <v>0.18809632238147</v>
      </c>
      <c r="K1582" s="17"/>
      <c r="L1582" s="17">
        <v>0.22337246355677001</v>
      </c>
      <c r="M1582" s="17">
        <v>0.117375689609203</v>
      </c>
      <c r="N1582" s="17">
        <v>0.33288895515702099</v>
      </c>
      <c r="O1582" s="17">
        <v>0.17332535020732101</v>
      </c>
    </row>
    <row r="1583" spans="2:15" x14ac:dyDescent="0.3">
      <c r="C1583" s="17"/>
      <c r="D1583" s="17"/>
      <c r="E1583" s="17"/>
      <c r="F1583" s="17"/>
      <c r="G1583" s="17"/>
      <c r="H1583" s="17"/>
      <c r="I1583" s="17"/>
      <c r="J1583" s="17"/>
      <c r="K1583" s="17"/>
      <c r="L1583" s="17"/>
      <c r="M1583" s="17"/>
      <c r="N1583" s="17"/>
      <c r="O1583" s="17"/>
    </row>
    <row r="1584" spans="2:15" x14ac:dyDescent="0.3">
      <c r="B1584" s="6" t="s">
        <v>495</v>
      </c>
      <c r="C1584" s="17"/>
      <c r="D1584" s="17"/>
      <c r="E1584" s="17"/>
      <c r="F1584" s="17"/>
      <c r="G1584" s="17"/>
      <c r="H1584" s="17"/>
      <c r="I1584" s="17"/>
      <c r="J1584" s="17"/>
      <c r="K1584" s="17"/>
      <c r="L1584" s="17"/>
      <c r="M1584" s="17"/>
      <c r="N1584" s="17"/>
      <c r="O1584" s="17"/>
    </row>
    <row r="1585" spans="2:15" x14ac:dyDescent="0.3">
      <c r="B1585" s="23" t="s">
        <v>474</v>
      </c>
      <c r="C1585" s="17"/>
      <c r="D1585" s="17"/>
      <c r="E1585" s="17"/>
      <c r="F1585" s="17"/>
      <c r="G1585" s="17"/>
      <c r="H1585" s="17"/>
      <c r="I1585" s="17"/>
      <c r="J1585" s="17"/>
      <c r="K1585" s="17"/>
      <c r="L1585" s="17"/>
      <c r="M1585" s="17"/>
      <c r="N1585" s="17"/>
      <c r="O1585" s="17"/>
    </row>
    <row r="1586" spans="2:15" x14ac:dyDescent="0.3">
      <c r="B1586" t="s">
        <v>380</v>
      </c>
      <c r="C1586" s="17">
        <v>9.0478732617953195E-2</v>
      </c>
      <c r="D1586" s="17">
        <v>3.23534264010992E-2</v>
      </c>
      <c r="E1586" s="17">
        <v>0.137016608592924</v>
      </c>
      <c r="F1586" s="17"/>
      <c r="G1586" s="17">
        <v>9.9178032678750694E-2</v>
      </c>
      <c r="H1586" s="17">
        <v>1.8931395014274498E-2</v>
      </c>
      <c r="I1586" s="17">
        <v>9.4948949264903507E-2</v>
      </c>
      <c r="J1586" s="17">
        <v>0.140001101854104</v>
      </c>
      <c r="K1586" s="17"/>
      <c r="L1586" s="17">
        <v>8.3755009039130496E-2</v>
      </c>
      <c r="M1586" s="17">
        <v>0.14701206557927099</v>
      </c>
      <c r="N1586" s="17">
        <v>8.3492814622471795E-2</v>
      </c>
      <c r="O1586" s="17">
        <v>7.5709713587230498E-2</v>
      </c>
    </row>
    <row r="1587" spans="2:15" x14ac:dyDescent="0.3">
      <c r="B1587" t="s">
        <v>381</v>
      </c>
      <c r="C1587" s="17">
        <v>0.205815709124613</v>
      </c>
      <c r="D1587" s="17">
        <v>0.178652539473833</v>
      </c>
      <c r="E1587" s="17">
        <v>0.230809113462323</v>
      </c>
      <c r="F1587" s="17"/>
      <c r="G1587" s="17">
        <v>0.18400285298533001</v>
      </c>
      <c r="H1587" s="17">
        <v>0.18217206663581101</v>
      </c>
      <c r="I1587" s="17">
        <v>0.31939804527281601</v>
      </c>
      <c r="J1587" s="17">
        <v>0.156047797220115</v>
      </c>
      <c r="K1587" s="17"/>
      <c r="L1587" s="17">
        <v>0.21765633921210301</v>
      </c>
      <c r="M1587" s="17">
        <v>0.28481184119612801</v>
      </c>
      <c r="N1587" s="17">
        <v>0.32062456773288101</v>
      </c>
      <c r="O1587" s="17">
        <v>9.1751296177195102E-2</v>
      </c>
    </row>
    <row r="1588" spans="2:15" x14ac:dyDescent="0.3">
      <c r="B1588" t="s">
        <v>382</v>
      </c>
      <c r="C1588" s="17">
        <v>0.35503925327564401</v>
      </c>
      <c r="D1588" s="17">
        <v>0.322830140281059</v>
      </c>
      <c r="E1588" s="17">
        <v>0.367033312155081</v>
      </c>
      <c r="F1588" s="17"/>
      <c r="G1588" s="17">
        <v>0.29099791410599302</v>
      </c>
      <c r="H1588" s="17">
        <v>0.32165706073746803</v>
      </c>
      <c r="I1588" s="17">
        <v>0.296238517578158</v>
      </c>
      <c r="J1588" s="17">
        <v>0.49110472922648202</v>
      </c>
      <c r="K1588" s="17"/>
      <c r="L1588" s="17">
        <v>0.27020711338260101</v>
      </c>
      <c r="M1588" s="17">
        <v>0.23341476249984999</v>
      </c>
      <c r="N1588" s="17">
        <v>0.353129658773151</v>
      </c>
      <c r="O1588" s="17">
        <v>0.43902429418911199</v>
      </c>
    </row>
    <row r="1589" spans="2:15" x14ac:dyDescent="0.3">
      <c r="B1589" t="s">
        <v>383</v>
      </c>
      <c r="C1589" s="17">
        <v>0.31553137713844998</v>
      </c>
      <c r="D1589" s="17">
        <v>0.42351156041456101</v>
      </c>
      <c r="E1589" s="17">
        <v>0.23867456829301101</v>
      </c>
      <c r="F1589" s="17"/>
      <c r="G1589" s="17">
        <v>0.39335182898609899</v>
      </c>
      <c r="H1589" s="17">
        <v>0.40698596917550001</v>
      </c>
      <c r="I1589" s="17">
        <v>0.289414487884123</v>
      </c>
      <c r="J1589" s="17">
        <v>0.184447102046152</v>
      </c>
      <c r="K1589" s="17"/>
      <c r="L1589" s="17">
        <v>0.39639470153760098</v>
      </c>
      <c r="M1589" s="17">
        <v>0.30091747919011902</v>
      </c>
      <c r="N1589" s="17">
        <v>0.23054132595700899</v>
      </c>
      <c r="O1589" s="17">
        <v>0.34595794005810299</v>
      </c>
    </row>
    <row r="1590" spans="2:15" x14ac:dyDescent="0.3">
      <c r="B1590" t="s">
        <v>142</v>
      </c>
      <c r="C1590" s="17">
        <v>3.3134927843338997E-2</v>
      </c>
      <c r="D1590" s="17">
        <v>4.26523334294482E-2</v>
      </c>
      <c r="E1590" s="17">
        <v>2.6466397496660899E-2</v>
      </c>
      <c r="F1590" s="17"/>
      <c r="G1590" s="17">
        <v>3.2469371243827802E-2</v>
      </c>
      <c r="H1590" s="17">
        <v>7.0253508436945694E-2</v>
      </c>
      <c r="I1590" s="17">
        <v>0</v>
      </c>
      <c r="J1590" s="17">
        <v>2.83992696531453E-2</v>
      </c>
      <c r="K1590" s="17"/>
      <c r="L1590" s="17">
        <v>3.1986836828563597E-2</v>
      </c>
      <c r="M1590" s="17">
        <v>3.3843851534632999E-2</v>
      </c>
      <c r="N1590" s="17">
        <v>1.2211632914487101E-2</v>
      </c>
      <c r="O1590" s="17">
        <v>4.7556755988359498E-2</v>
      </c>
    </row>
    <row r="1591" spans="2:15" x14ac:dyDescent="0.3">
      <c r="B1591" t="s">
        <v>384</v>
      </c>
      <c r="C1591" s="17">
        <v>0.29629444174256597</v>
      </c>
      <c r="D1591" s="17">
        <v>0.21100596587493201</v>
      </c>
      <c r="E1591" s="17">
        <v>0.367825722055247</v>
      </c>
      <c r="F1591" s="17"/>
      <c r="G1591" s="17">
        <v>0.28318088566408001</v>
      </c>
      <c r="H1591" s="17">
        <v>0.201103461650086</v>
      </c>
      <c r="I1591" s="17">
        <v>0.414346994537719</v>
      </c>
      <c r="J1591" s="17">
        <v>0.29604889907422</v>
      </c>
      <c r="K1591" s="17"/>
      <c r="L1591" s="17">
        <v>0.301411348251234</v>
      </c>
      <c r="M1591" s="17">
        <v>0.431823906775398</v>
      </c>
      <c r="N1591" s="17">
        <v>0.40411738235535299</v>
      </c>
      <c r="O1591" s="17">
        <v>0.16746100976442599</v>
      </c>
    </row>
    <row r="1592" spans="2:15" x14ac:dyDescent="0.3">
      <c r="C1592" s="17"/>
      <c r="D1592" s="17"/>
      <c r="E1592" s="17"/>
      <c r="F1592" s="17"/>
      <c r="G1592" s="17"/>
      <c r="H1592" s="17"/>
      <c r="I1592" s="17"/>
      <c r="J1592" s="17"/>
      <c r="K1592" s="17"/>
      <c r="L1592" s="17"/>
      <c r="M1592" s="17"/>
      <c r="N1592" s="17"/>
      <c r="O1592" s="17"/>
    </row>
    <row r="1593" spans="2:15" x14ac:dyDescent="0.3">
      <c r="B1593" s="6" t="s">
        <v>496</v>
      </c>
      <c r="C1593" s="17"/>
      <c r="D1593" s="17"/>
      <c r="E1593" s="17"/>
      <c r="F1593" s="17"/>
      <c r="G1593" s="17"/>
      <c r="H1593" s="17"/>
      <c r="I1593" s="17"/>
      <c r="J1593" s="17"/>
      <c r="K1593" s="17"/>
      <c r="L1593" s="17"/>
      <c r="M1593" s="17"/>
      <c r="N1593" s="17"/>
      <c r="O1593" s="17"/>
    </row>
    <row r="1594" spans="2:15" x14ac:dyDescent="0.3">
      <c r="B1594" s="23" t="s">
        <v>474</v>
      </c>
      <c r="C1594" s="17"/>
      <c r="D1594" s="17"/>
      <c r="E1594" s="17"/>
      <c r="F1594" s="17"/>
      <c r="G1594" s="17"/>
      <c r="H1594" s="17"/>
      <c r="I1594" s="17"/>
      <c r="J1594" s="17"/>
      <c r="K1594" s="17"/>
      <c r="L1594" s="17"/>
      <c r="M1594" s="17"/>
      <c r="N1594" s="17"/>
      <c r="O1594" s="17"/>
    </row>
    <row r="1595" spans="2:15" x14ac:dyDescent="0.3">
      <c r="B1595" t="s">
        <v>380</v>
      </c>
      <c r="C1595" s="17">
        <v>0.13580265303792599</v>
      </c>
      <c r="D1595" s="17">
        <v>8.1311963394055303E-2</v>
      </c>
      <c r="E1595" s="17">
        <v>0.180442203034992</v>
      </c>
      <c r="F1595" s="17"/>
      <c r="G1595" s="17">
        <v>0.14948391177977999</v>
      </c>
      <c r="H1595" s="17">
        <v>0.12514868103052701</v>
      </c>
      <c r="I1595" s="17">
        <v>0.11744056630669</v>
      </c>
      <c r="J1595" s="17">
        <v>0.14665535927239001</v>
      </c>
      <c r="K1595" s="17"/>
      <c r="L1595" s="17">
        <v>0.13961849010764399</v>
      </c>
      <c r="M1595" s="17">
        <v>0.15589773827070599</v>
      </c>
      <c r="N1595" s="17">
        <v>0.18893505249605799</v>
      </c>
      <c r="O1595" s="17">
        <v>9.0183694791574995E-2</v>
      </c>
    </row>
    <row r="1596" spans="2:15" x14ac:dyDescent="0.3">
      <c r="B1596" t="s">
        <v>381</v>
      </c>
      <c r="C1596" s="17">
        <v>0.209146782647219</v>
      </c>
      <c r="D1596" s="17">
        <v>0.24866514570408299</v>
      </c>
      <c r="E1596" s="17">
        <v>0.17104371441837901</v>
      </c>
      <c r="F1596" s="17"/>
      <c r="G1596" s="17">
        <v>0.13778785137368699</v>
      </c>
      <c r="H1596" s="17">
        <v>0.201073081039609</v>
      </c>
      <c r="I1596" s="17">
        <v>0.30123630221893299</v>
      </c>
      <c r="J1596" s="17">
        <v>0.210019662504877</v>
      </c>
      <c r="K1596" s="17"/>
      <c r="L1596" s="17">
        <v>0.23252461904134999</v>
      </c>
      <c r="M1596" s="17">
        <v>0.170978348054204</v>
      </c>
      <c r="N1596" s="17">
        <v>0.24913601986346801</v>
      </c>
      <c r="O1596" s="17">
        <v>0.18740817741031601</v>
      </c>
    </row>
    <row r="1597" spans="2:15" x14ac:dyDescent="0.3">
      <c r="B1597" t="s">
        <v>382</v>
      </c>
      <c r="C1597" s="17">
        <v>0.29999545836665897</v>
      </c>
      <c r="D1597" s="17">
        <v>0.30804643788699099</v>
      </c>
      <c r="E1597" s="17">
        <v>0.29174072992462302</v>
      </c>
      <c r="F1597" s="17"/>
      <c r="G1597" s="17">
        <v>0.28691617929464902</v>
      </c>
      <c r="H1597" s="17">
        <v>0.22539055355442</v>
      </c>
      <c r="I1597" s="17">
        <v>0.33489682626818001</v>
      </c>
      <c r="J1597" s="17">
        <v>0.348436792931961</v>
      </c>
      <c r="K1597" s="17"/>
      <c r="L1597" s="17">
        <v>0.23744801254659501</v>
      </c>
      <c r="M1597" s="17">
        <v>0.33949784914160902</v>
      </c>
      <c r="N1597" s="17">
        <v>0.322982990479528</v>
      </c>
      <c r="O1597" s="17">
        <v>0.29442675589162798</v>
      </c>
    </row>
    <row r="1598" spans="2:15" x14ac:dyDescent="0.3">
      <c r="B1598" t="s">
        <v>383</v>
      </c>
      <c r="C1598" s="17">
        <v>0.30816078712863598</v>
      </c>
      <c r="D1598" s="17">
        <v>0.331368818593058</v>
      </c>
      <c r="E1598" s="17">
        <v>0.29641164092781103</v>
      </c>
      <c r="F1598" s="17"/>
      <c r="G1598" s="17">
        <v>0.40854172366422598</v>
      </c>
      <c r="H1598" s="17">
        <v>0.33367353095201302</v>
      </c>
      <c r="I1598" s="17">
        <v>0.214095483599195</v>
      </c>
      <c r="J1598" s="17">
        <v>0.266488915637626</v>
      </c>
      <c r="K1598" s="17"/>
      <c r="L1598" s="17">
        <v>0.358422041475847</v>
      </c>
      <c r="M1598" s="17">
        <v>0.271375189824275</v>
      </c>
      <c r="N1598" s="17">
        <v>0.22238671295988799</v>
      </c>
      <c r="O1598" s="17">
        <v>0.36039709921153001</v>
      </c>
    </row>
    <row r="1599" spans="2:15" x14ac:dyDescent="0.3">
      <c r="B1599" t="s">
        <v>142</v>
      </c>
      <c r="C1599" s="17">
        <v>4.6894318819559903E-2</v>
      </c>
      <c r="D1599" s="17">
        <v>3.0607634421812802E-2</v>
      </c>
      <c r="E1599" s="17">
        <v>6.0361711694195901E-2</v>
      </c>
      <c r="F1599" s="17"/>
      <c r="G1599" s="17">
        <v>1.7270333887658001E-2</v>
      </c>
      <c r="H1599" s="17">
        <v>0.114714153423431</v>
      </c>
      <c r="I1599" s="17">
        <v>3.2330821607001202E-2</v>
      </c>
      <c r="J1599" s="17">
        <v>2.83992696531453E-2</v>
      </c>
      <c r="K1599" s="17"/>
      <c r="L1599" s="17">
        <v>3.1986836828563597E-2</v>
      </c>
      <c r="M1599" s="17">
        <v>6.22508747092064E-2</v>
      </c>
      <c r="N1599" s="17">
        <v>1.6559224201058102E-2</v>
      </c>
      <c r="O1599" s="17">
        <v>6.7584272694950806E-2</v>
      </c>
    </row>
    <row r="1600" spans="2:15" x14ac:dyDescent="0.3">
      <c r="B1600" t="s">
        <v>384</v>
      </c>
      <c r="C1600" s="17">
        <v>0.34494943568514502</v>
      </c>
      <c r="D1600" s="17">
        <v>0.32997710909813899</v>
      </c>
      <c r="E1600" s="17">
        <v>0.35148591745336999</v>
      </c>
      <c r="F1600" s="17"/>
      <c r="G1600" s="17">
        <v>0.28727176315346598</v>
      </c>
      <c r="H1600" s="17">
        <v>0.32622176207013598</v>
      </c>
      <c r="I1600" s="17">
        <v>0.41867686852562302</v>
      </c>
      <c r="J1600" s="17">
        <v>0.35667502177726801</v>
      </c>
      <c r="K1600" s="17"/>
      <c r="L1600" s="17">
        <v>0.37214310914899401</v>
      </c>
      <c r="M1600" s="17">
        <v>0.32687608632491</v>
      </c>
      <c r="N1600" s="17">
        <v>0.43807107235952603</v>
      </c>
      <c r="O1600" s="17">
        <v>0.27759187220189102</v>
      </c>
    </row>
    <row r="1601" spans="2:15" x14ac:dyDescent="0.3">
      <c r="C1601" s="17"/>
      <c r="D1601" s="17"/>
      <c r="E1601" s="17"/>
      <c r="F1601" s="17"/>
      <c r="G1601" s="17"/>
      <c r="H1601" s="17"/>
      <c r="I1601" s="17"/>
      <c r="J1601" s="17"/>
      <c r="K1601" s="17"/>
      <c r="L1601" s="17"/>
      <c r="M1601" s="17"/>
      <c r="N1601" s="17"/>
      <c r="O1601" s="17"/>
    </row>
    <row r="1602" spans="2:15" x14ac:dyDescent="0.3">
      <c r="B1602" s="6" t="s">
        <v>497</v>
      </c>
      <c r="C1602" s="17"/>
      <c r="D1602" s="17"/>
      <c r="E1602" s="17"/>
      <c r="F1602" s="17"/>
      <c r="G1602" s="17"/>
      <c r="H1602" s="17"/>
      <c r="I1602" s="17"/>
      <c r="J1602" s="17"/>
      <c r="K1602" s="17"/>
      <c r="L1602" s="17"/>
      <c r="M1602" s="17"/>
      <c r="N1602" s="17"/>
      <c r="O1602" s="17"/>
    </row>
    <row r="1603" spans="2:15" x14ac:dyDescent="0.3">
      <c r="B1603" s="23" t="s">
        <v>474</v>
      </c>
      <c r="C1603" s="17"/>
      <c r="D1603" s="17"/>
      <c r="E1603" s="17"/>
      <c r="F1603" s="17"/>
      <c r="G1603" s="17"/>
      <c r="H1603" s="17"/>
      <c r="I1603" s="17"/>
      <c r="J1603" s="17"/>
      <c r="K1603" s="17"/>
      <c r="L1603" s="17"/>
      <c r="M1603" s="17"/>
      <c r="N1603" s="17"/>
      <c r="O1603" s="17"/>
    </row>
    <row r="1604" spans="2:15" x14ac:dyDescent="0.3">
      <c r="B1604" t="s">
        <v>380</v>
      </c>
      <c r="C1604" s="17">
        <v>7.2252700716030099E-2</v>
      </c>
      <c r="D1604" s="17">
        <v>8.8839336611983205E-2</v>
      </c>
      <c r="E1604" s="17">
        <v>6.0918867709642999E-2</v>
      </c>
      <c r="F1604" s="17"/>
      <c r="G1604" s="17">
        <v>0.15322133726562701</v>
      </c>
      <c r="H1604" s="17">
        <v>2.0727460664931901E-2</v>
      </c>
      <c r="I1604" s="17">
        <v>6.2236470022663498E-2</v>
      </c>
      <c r="J1604" s="17">
        <v>4.7869795190540597E-2</v>
      </c>
      <c r="K1604" s="17"/>
      <c r="L1604" s="17">
        <v>0.175260621826548</v>
      </c>
      <c r="M1604" s="17">
        <v>0</v>
      </c>
      <c r="N1604" s="17">
        <v>8.7013666223848193E-2</v>
      </c>
      <c r="O1604" s="17">
        <v>4.8471717567861602E-2</v>
      </c>
    </row>
    <row r="1605" spans="2:15" x14ac:dyDescent="0.3">
      <c r="B1605" t="s">
        <v>381</v>
      </c>
      <c r="C1605" s="17">
        <v>0.19905571975386999</v>
      </c>
      <c r="D1605" s="17">
        <v>0.23646243522781701</v>
      </c>
      <c r="E1605" s="17">
        <v>0.16237785117900799</v>
      </c>
      <c r="F1605" s="17"/>
      <c r="G1605" s="17">
        <v>0.120026855799633</v>
      </c>
      <c r="H1605" s="17">
        <v>0.25827013341301902</v>
      </c>
      <c r="I1605" s="17">
        <v>0.12762863134389901</v>
      </c>
      <c r="J1605" s="17">
        <v>0.280013433570521</v>
      </c>
      <c r="K1605" s="17"/>
      <c r="L1605" s="17">
        <v>0.36209077884504498</v>
      </c>
      <c r="M1605" s="17">
        <v>0.139331002421971</v>
      </c>
      <c r="N1605" s="17">
        <v>0.156675597015042</v>
      </c>
      <c r="O1605" s="17">
        <v>0.18460391234936899</v>
      </c>
    </row>
    <row r="1606" spans="2:15" x14ac:dyDescent="0.3">
      <c r="B1606" t="s">
        <v>382</v>
      </c>
      <c r="C1606" s="17">
        <v>0.33189542875060002</v>
      </c>
      <c r="D1606" s="17">
        <v>0.26068035422085001</v>
      </c>
      <c r="E1606" s="17">
        <v>0.38528932406112398</v>
      </c>
      <c r="F1606" s="17"/>
      <c r="G1606" s="17">
        <v>0.24451327055906</v>
      </c>
      <c r="H1606" s="17">
        <v>0.27088426947241301</v>
      </c>
      <c r="I1606" s="17">
        <v>0.48612672781267602</v>
      </c>
      <c r="J1606" s="17">
        <v>0.343684574528623</v>
      </c>
      <c r="K1606" s="17"/>
      <c r="L1606" s="17">
        <v>0.204350830160236</v>
      </c>
      <c r="M1606" s="17">
        <v>0.36991682429060302</v>
      </c>
      <c r="N1606" s="17">
        <v>0.34724892090167803</v>
      </c>
      <c r="O1606" s="17">
        <v>0.35873729064734</v>
      </c>
    </row>
    <row r="1607" spans="2:15" x14ac:dyDescent="0.3">
      <c r="B1607" t="s">
        <v>383</v>
      </c>
      <c r="C1607" s="17">
        <v>0.29154468781715598</v>
      </c>
      <c r="D1607" s="17">
        <v>0.33650489420677898</v>
      </c>
      <c r="E1607" s="17">
        <v>0.262721916275381</v>
      </c>
      <c r="F1607" s="17"/>
      <c r="G1607" s="17">
        <v>0.40268657701569699</v>
      </c>
      <c r="H1607" s="17">
        <v>0.30441215145884998</v>
      </c>
      <c r="I1607" s="17">
        <v>0.236340297765191</v>
      </c>
      <c r="J1607" s="17">
        <v>0.21952424634825901</v>
      </c>
      <c r="K1607" s="17"/>
      <c r="L1607" s="17">
        <v>0.226310932339608</v>
      </c>
      <c r="M1607" s="17">
        <v>0.417980924326812</v>
      </c>
      <c r="N1607" s="17">
        <v>0.25613714855501601</v>
      </c>
      <c r="O1607" s="17">
        <v>0.29253910068900102</v>
      </c>
    </row>
    <row r="1608" spans="2:15" x14ac:dyDescent="0.3">
      <c r="B1608" t="s">
        <v>142</v>
      </c>
      <c r="C1608" s="17">
        <v>0.105251462962344</v>
      </c>
      <c r="D1608" s="17">
        <v>7.7512979732571305E-2</v>
      </c>
      <c r="E1608" s="17">
        <v>0.128692040774844</v>
      </c>
      <c r="F1608" s="17"/>
      <c r="G1608" s="17">
        <v>7.9551959359983895E-2</v>
      </c>
      <c r="H1608" s="17">
        <v>0.14570598499078699</v>
      </c>
      <c r="I1608" s="17">
        <v>8.7667873055570403E-2</v>
      </c>
      <c r="J1608" s="17">
        <v>0.108907950362056</v>
      </c>
      <c r="K1608" s="17"/>
      <c r="L1608" s="17">
        <v>3.1986836828563597E-2</v>
      </c>
      <c r="M1608" s="17">
        <v>7.2771248960614904E-2</v>
      </c>
      <c r="N1608" s="17">
        <v>0.15292466730441501</v>
      </c>
      <c r="O1608" s="17">
        <v>0.115647978746428</v>
      </c>
    </row>
    <row r="1609" spans="2:15" x14ac:dyDescent="0.3">
      <c r="B1609" t="s">
        <v>384</v>
      </c>
      <c r="C1609" s="17">
        <v>0.2713084204699</v>
      </c>
      <c r="D1609" s="17">
        <v>0.32530177183980002</v>
      </c>
      <c r="E1609" s="17">
        <v>0.22329671888865099</v>
      </c>
      <c r="F1609" s="17"/>
      <c r="G1609" s="17">
        <v>0.27324819306525999</v>
      </c>
      <c r="H1609" s="17">
        <v>0.27899759407795099</v>
      </c>
      <c r="I1609" s="17">
        <v>0.18986510136656201</v>
      </c>
      <c r="J1609" s="17">
        <v>0.32788322876106202</v>
      </c>
      <c r="K1609" s="17"/>
      <c r="L1609" s="17">
        <v>0.53735140067159304</v>
      </c>
      <c r="M1609" s="17">
        <v>0.139331002421971</v>
      </c>
      <c r="N1609" s="17">
        <v>0.24368926323889101</v>
      </c>
      <c r="O1609" s="17">
        <v>0.23307562991723099</v>
      </c>
    </row>
    <row r="1610" spans="2:15" x14ac:dyDescent="0.3">
      <c r="C1610" s="17"/>
      <c r="D1610" s="17"/>
      <c r="E1610" s="17"/>
      <c r="F1610" s="17"/>
      <c r="G1610" s="17"/>
      <c r="H1610" s="17"/>
      <c r="I1610" s="17"/>
      <c r="J1610" s="17"/>
      <c r="K1610" s="17"/>
      <c r="L1610" s="17"/>
      <c r="M1610" s="17"/>
      <c r="N1610" s="17"/>
      <c r="O1610" s="17"/>
    </row>
    <row r="1611" spans="2:15" x14ac:dyDescent="0.3">
      <c r="B1611" s="6" t="s">
        <v>498</v>
      </c>
      <c r="C1611" s="17"/>
      <c r="D1611" s="17"/>
      <c r="E1611" s="17"/>
      <c r="F1611" s="17"/>
      <c r="G1611" s="17"/>
      <c r="H1611" s="17"/>
      <c r="I1611" s="17"/>
      <c r="J1611" s="17"/>
      <c r="K1611" s="17"/>
      <c r="L1611" s="17"/>
      <c r="M1611" s="17"/>
      <c r="N1611" s="17"/>
      <c r="O1611" s="17"/>
    </row>
    <row r="1612" spans="2:15" x14ac:dyDescent="0.3">
      <c r="B1612" s="23" t="s">
        <v>474</v>
      </c>
      <c r="C1612" s="17"/>
      <c r="D1612" s="17"/>
      <c r="E1612" s="17"/>
      <c r="F1612" s="17"/>
      <c r="G1612" s="17"/>
      <c r="H1612" s="17"/>
      <c r="I1612" s="17"/>
      <c r="J1612" s="17"/>
      <c r="K1612" s="17"/>
      <c r="L1612" s="17"/>
      <c r="M1612" s="17"/>
      <c r="N1612" s="17"/>
      <c r="O1612" s="17"/>
    </row>
    <row r="1613" spans="2:15" x14ac:dyDescent="0.3">
      <c r="B1613" t="s">
        <v>380</v>
      </c>
      <c r="C1613" s="17">
        <v>6.23079001877542E-2</v>
      </c>
      <c r="D1613" s="17">
        <v>8.4342738208869797E-2</v>
      </c>
      <c r="E1613" s="17">
        <v>4.6582924531696997E-2</v>
      </c>
      <c r="F1613" s="17"/>
      <c r="G1613" s="17">
        <v>8.8124777514339198E-2</v>
      </c>
      <c r="H1613" s="17">
        <v>3.86623101670747E-2</v>
      </c>
      <c r="I1613" s="17">
        <v>0.116787647544326</v>
      </c>
      <c r="J1613" s="17">
        <v>1.4690337235971899E-2</v>
      </c>
      <c r="K1613" s="17"/>
      <c r="L1613" s="17">
        <v>7.1991454473747399E-2</v>
      </c>
      <c r="M1613" s="17">
        <v>8.0830913075806296E-2</v>
      </c>
      <c r="N1613" s="17">
        <v>7.5677929571224198E-2</v>
      </c>
      <c r="O1613" s="17">
        <v>4.1947715289298103E-2</v>
      </c>
    </row>
    <row r="1614" spans="2:15" x14ac:dyDescent="0.3">
      <c r="B1614" t="s">
        <v>381</v>
      </c>
      <c r="C1614" s="17">
        <v>0.13621632250484</v>
      </c>
      <c r="D1614" s="17">
        <v>0.16167920570907199</v>
      </c>
      <c r="E1614" s="17">
        <v>0.119319284486208</v>
      </c>
      <c r="F1614" s="17"/>
      <c r="G1614" s="17">
        <v>9.2669961265624295E-2</v>
      </c>
      <c r="H1614" s="17">
        <v>9.9704427715572794E-2</v>
      </c>
      <c r="I1614" s="17">
        <v>0.176256626756843</v>
      </c>
      <c r="J1614" s="17">
        <v>0.17670995249603699</v>
      </c>
      <c r="K1614" s="17"/>
      <c r="L1614" s="17">
        <v>0.160503285654269</v>
      </c>
      <c r="M1614" s="17">
        <v>3.4476911487295703E-2</v>
      </c>
      <c r="N1614" s="17">
        <v>0.20412313616556099</v>
      </c>
      <c r="O1614" s="17">
        <v>0.120166109168725</v>
      </c>
    </row>
    <row r="1615" spans="2:15" x14ac:dyDescent="0.3">
      <c r="B1615" t="s">
        <v>382</v>
      </c>
      <c r="C1615" s="17">
        <v>0.20992268506907499</v>
      </c>
      <c r="D1615" s="17">
        <v>0.19011288568793699</v>
      </c>
      <c r="E1615" s="17">
        <v>0.22933728562553499</v>
      </c>
      <c r="F1615" s="17"/>
      <c r="G1615" s="17">
        <v>0.18188462575894099</v>
      </c>
      <c r="H1615" s="17">
        <v>0.196936344242061</v>
      </c>
      <c r="I1615" s="17">
        <v>0.19320235315805401</v>
      </c>
      <c r="J1615" s="17">
        <v>0.26089673384974899</v>
      </c>
      <c r="K1615" s="17"/>
      <c r="L1615" s="17">
        <v>0.11465772849129501</v>
      </c>
      <c r="M1615" s="17">
        <v>0.19011169720278001</v>
      </c>
      <c r="N1615" s="17">
        <v>0.144749681020161</v>
      </c>
      <c r="O1615" s="17">
        <v>0.30109338308487499</v>
      </c>
    </row>
    <row r="1616" spans="2:15" x14ac:dyDescent="0.3">
      <c r="B1616" t="s">
        <v>383</v>
      </c>
      <c r="C1616" s="17">
        <v>0.53484866957951005</v>
      </c>
      <c r="D1616" s="17">
        <v>0.52438040573065403</v>
      </c>
      <c r="E1616" s="17">
        <v>0.53367584754748798</v>
      </c>
      <c r="F1616" s="17"/>
      <c r="G1616" s="17">
        <v>0.61004082327388898</v>
      </c>
      <c r="H1616" s="17">
        <v>0.57253744461912504</v>
      </c>
      <c r="I1616" s="17">
        <v>0.45804041587539301</v>
      </c>
      <c r="J1616" s="17">
        <v>0.49277850622881297</v>
      </c>
      <c r="K1616" s="17"/>
      <c r="L1616" s="17">
        <v>0.620860694552125</v>
      </c>
      <c r="M1616" s="17">
        <v>0.58831866020758095</v>
      </c>
      <c r="N1616" s="17">
        <v>0.52238497372535198</v>
      </c>
      <c r="O1616" s="17">
        <v>0.48701065717637099</v>
      </c>
    </row>
    <row r="1617" spans="2:15" x14ac:dyDescent="0.3">
      <c r="B1617" t="s">
        <v>142</v>
      </c>
      <c r="C1617" s="17">
        <v>5.6704422658820398E-2</v>
      </c>
      <c r="D1617" s="17">
        <v>3.9484764663466898E-2</v>
      </c>
      <c r="E1617" s="17">
        <v>7.1084657809072402E-2</v>
      </c>
      <c r="F1617" s="17"/>
      <c r="G1617" s="17">
        <v>2.7279812187206799E-2</v>
      </c>
      <c r="H1617" s="17">
        <v>9.2159473256165803E-2</v>
      </c>
      <c r="I1617" s="17">
        <v>5.5712956665384498E-2</v>
      </c>
      <c r="J1617" s="17">
        <v>5.4924470189428302E-2</v>
      </c>
      <c r="K1617" s="17"/>
      <c r="L1617" s="17">
        <v>3.1986836828563597E-2</v>
      </c>
      <c r="M1617" s="17">
        <v>0.106261818026537</v>
      </c>
      <c r="N1617" s="17">
        <v>5.3064279517702297E-2</v>
      </c>
      <c r="O1617" s="17">
        <v>4.9782135280731797E-2</v>
      </c>
    </row>
    <row r="1618" spans="2:15" x14ac:dyDescent="0.3">
      <c r="B1618" t="s">
        <v>384</v>
      </c>
      <c r="C1618" s="17">
        <v>0.19852422269259501</v>
      </c>
      <c r="D1618" s="17">
        <v>0.24602194391794199</v>
      </c>
      <c r="E1618" s="17">
        <v>0.16590220901790501</v>
      </c>
      <c r="F1618" s="17"/>
      <c r="G1618" s="17">
        <v>0.18079473877996299</v>
      </c>
      <c r="H1618" s="17">
        <v>0.138366737882647</v>
      </c>
      <c r="I1618" s="17">
        <v>0.29304427430116903</v>
      </c>
      <c r="J1618" s="17">
        <v>0.19140028973200901</v>
      </c>
      <c r="K1618" s="17"/>
      <c r="L1618" s="17">
        <v>0.23249474012801599</v>
      </c>
      <c r="M1618" s="17">
        <v>0.115307824563102</v>
      </c>
      <c r="N1618" s="17">
        <v>0.27980106573678498</v>
      </c>
      <c r="O1618" s="17">
        <v>0.162113824458023</v>
      </c>
    </row>
    <row r="1619" spans="2:15" x14ac:dyDescent="0.3">
      <c r="C1619" s="17"/>
      <c r="D1619" s="17"/>
      <c r="E1619" s="17"/>
      <c r="F1619" s="17"/>
      <c r="G1619" s="17"/>
      <c r="H1619" s="17"/>
      <c r="I1619" s="17"/>
      <c r="J1619" s="17"/>
      <c r="K1619" s="17"/>
      <c r="L1619" s="17"/>
      <c r="M1619" s="17"/>
      <c r="N1619" s="17"/>
      <c r="O1619" s="17"/>
    </row>
    <row r="1620" spans="2:15" x14ac:dyDescent="0.3">
      <c r="B1620" s="6" t="s">
        <v>499</v>
      </c>
      <c r="C1620" s="17"/>
      <c r="D1620" s="17"/>
      <c r="E1620" s="17"/>
      <c r="F1620" s="17"/>
      <c r="G1620" s="17"/>
      <c r="H1620" s="17"/>
      <c r="I1620" s="17"/>
      <c r="J1620" s="17"/>
      <c r="K1620" s="17"/>
      <c r="L1620" s="17"/>
      <c r="M1620" s="17"/>
      <c r="N1620" s="17"/>
      <c r="O1620" s="17"/>
    </row>
    <row r="1621" spans="2:15" x14ac:dyDescent="0.3">
      <c r="B1621" s="23" t="s">
        <v>474</v>
      </c>
      <c r="C1621" s="17"/>
      <c r="D1621" s="17"/>
      <c r="E1621" s="17"/>
      <c r="F1621" s="17"/>
      <c r="G1621" s="17"/>
      <c r="H1621" s="17"/>
      <c r="I1621" s="17"/>
      <c r="J1621" s="17"/>
      <c r="K1621" s="17"/>
      <c r="L1621" s="17"/>
      <c r="M1621" s="17"/>
      <c r="N1621" s="17"/>
      <c r="O1621" s="17"/>
    </row>
    <row r="1622" spans="2:15" x14ac:dyDescent="0.3">
      <c r="B1622" t="s">
        <v>380</v>
      </c>
      <c r="C1622" s="17">
        <v>6.2517364489769994E-2</v>
      </c>
      <c r="D1622" s="17">
        <v>5.5593580242258599E-2</v>
      </c>
      <c r="E1622" s="17">
        <v>5.7253617203869997E-2</v>
      </c>
      <c r="F1622" s="17"/>
      <c r="G1622" s="17">
        <v>9.03916228209313E-2</v>
      </c>
      <c r="H1622" s="17">
        <v>2.6189763721587E-2</v>
      </c>
      <c r="I1622" s="17">
        <v>5.70352859305766E-2</v>
      </c>
      <c r="J1622" s="17">
        <v>7.1676776381256205E-2</v>
      </c>
      <c r="K1622" s="17"/>
      <c r="L1622" s="17">
        <v>0.125057452807567</v>
      </c>
      <c r="M1622" s="17">
        <v>2.0300578194313801E-2</v>
      </c>
      <c r="N1622" s="17">
        <v>9.0304038798076094E-2</v>
      </c>
      <c r="O1622" s="17">
        <v>3.4625244110545003E-2</v>
      </c>
    </row>
    <row r="1623" spans="2:15" x14ac:dyDescent="0.3">
      <c r="B1623" t="s">
        <v>381</v>
      </c>
      <c r="C1623" s="17">
        <v>0.187410793584847</v>
      </c>
      <c r="D1623" s="17">
        <v>0.203614396909994</v>
      </c>
      <c r="E1623" s="17">
        <v>0.178657092522163</v>
      </c>
      <c r="F1623" s="17"/>
      <c r="G1623" s="17">
        <v>0.153939233703967</v>
      </c>
      <c r="H1623" s="17">
        <v>0.100608043837177</v>
      </c>
      <c r="I1623" s="17">
        <v>0.33747123044885202</v>
      </c>
      <c r="J1623" s="17">
        <v>0.17367468412659101</v>
      </c>
      <c r="K1623" s="17"/>
      <c r="L1623" s="17">
        <v>6.39610733897958E-2</v>
      </c>
      <c r="M1623" s="17">
        <v>0.24152684852408099</v>
      </c>
      <c r="N1623" s="17">
        <v>0.20251507835511701</v>
      </c>
      <c r="O1623" s="17">
        <v>0.206402398637059</v>
      </c>
    </row>
    <row r="1624" spans="2:15" x14ac:dyDescent="0.3">
      <c r="B1624" t="s">
        <v>382</v>
      </c>
      <c r="C1624" s="17">
        <v>0.37233247817436599</v>
      </c>
      <c r="D1624" s="17">
        <v>0.39449399276354502</v>
      </c>
      <c r="E1624" s="17">
        <v>0.35465158518691198</v>
      </c>
      <c r="F1624" s="17"/>
      <c r="G1624" s="17">
        <v>0.363791274294268</v>
      </c>
      <c r="H1624" s="17">
        <v>0.44223905040163802</v>
      </c>
      <c r="I1624" s="17">
        <v>0.27116550444452597</v>
      </c>
      <c r="J1624" s="17">
        <v>0.40123754994695598</v>
      </c>
      <c r="K1624" s="17"/>
      <c r="L1624" s="17">
        <v>0.27431892989575701</v>
      </c>
      <c r="M1624" s="17">
        <v>0.30331213281645703</v>
      </c>
      <c r="N1624" s="17">
        <v>0.41926830246567698</v>
      </c>
      <c r="O1624" s="17">
        <v>0.40777004410029</v>
      </c>
    </row>
    <row r="1625" spans="2:15" x14ac:dyDescent="0.3">
      <c r="B1625" t="s">
        <v>383</v>
      </c>
      <c r="C1625" s="17">
        <v>0.29836486571616699</v>
      </c>
      <c r="D1625" s="17">
        <v>0.296844449274419</v>
      </c>
      <c r="E1625" s="17">
        <v>0.30545620944174501</v>
      </c>
      <c r="F1625" s="17"/>
      <c r="G1625" s="17">
        <v>0.37914182700965399</v>
      </c>
      <c r="H1625" s="17">
        <v>0.28784889684251003</v>
      </c>
      <c r="I1625" s="17">
        <v>0.27414067923635099</v>
      </c>
      <c r="J1625" s="17">
        <v>0.25035921114571003</v>
      </c>
      <c r="K1625" s="17"/>
      <c r="L1625" s="17">
        <v>0.45553944632878401</v>
      </c>
      <c r="M1625" s="17">
        <v>0.30051213042564001</v>
      </c>
      <c r="N1625" s="17">
        <v>0.24879322804263701</v>
      </c>
      <c r="O1625" s="17">
        <v>0.26682655561901503</v>
      </c>
    </row>
    <row r="1626" spans="2:15" x14ac:dyDescent="0.3">
      <c r="B1626" t="s">
        <v>142</v>
      </c>
      <c r="C1626" s="17">
        <v>7.9374498034849403E-2</v>
      </c>
      <c r="D1626" s="17">
        <v>4.9453580809782502E-2</v>
      </c>
      <c r="E1626" s="17">
        <v>0.10398149564530899</v>
      </c>
      <c r="F1626" s="17"/>
      <c r="G1626" s="17">
        <v>1.27360421711803E-2</v>
      </c>
      <c r="H1626" s="17">
        <v>0.14311424519708801</v>
      </c>
      <c r="I1626" s="17">
        <v>6.0187299939693503E-2</v>
      </c>
      <c r="J1626" s="17">
        <v>0.103051778399487</v>
      </c>
      <c r="K1626" s="17"/>
      <c r="L1626" s="17">
        <v>8.1123097578096603E-2</v>
      </c>
      <c r="M1626" s="17">
        <v>0.13434831003950801</v>
      </c>
      <c r="N1626" s="17">
        <v>3.9119352338493701E-2</v>
      </c>
      <c r="O1626" s="17">
        <v>8.4375757533090706E-2</v>
      </c>
    </row>
    <row r="1627" spans="2:15" x14ac:dyDescent="0.3">
      <c r="B1627" t="s">
        <v>384</v>
      </c>
      <c r="C1627" s="17">
        <v>0.24992815807461799</v>
      </c>
      <c r="D1627" s="17">
        <v>0.25920797715225302</v>
      </c>
      <c r="E1627" s="17">
        <v>0.23591070972603301</v>
      </c>
      <c r="F1627" s="17"/>
      <c r="G1627" s="17">
        <v>0.244330856524898</v>
      </c>
      <c r="H1627" s="17">
        <v>0.12679780755876399</v>
      </c>
      <c r="I1627" s="17">
        <v>0.39450651637942902</v>
      </c>
      <c r="J1627" s="17">
        <v>0.24535146050784701</v>
      </c>
      <c r="K1627" s="17"/>
      <c r="L1627" s="17">
        <v>0.18901852619736201</v>
      </c>
      <c r="M1627" s="17">
        <v>0.26182742671839498</v>
      </c>
      <c r="N1627" s="17">
        <v>0.29281911715319298</v>
      </c>
      <c r="O1627" s="17">
        <v>0.24102764274760399</v>
      </c>
    </row>
    <row r="1628" spans="2:15" x14ac:dyDescent="0.3">
      <c r="C1628" s="17"/>
      <c r="D1628" s="17"/>
      <c r="E1628" s="17"/>
      <c r="F1628" s="17"/>
      <c r="G1628" s="17"/>
      <c r="H1628" s="17"/>
      <c r="I1628" s="17"/>
      <c r="J1628" s="17"/>
      <c r="K1628" s="17"/>
      <c r="L1628" s="17"/>
      <c r="M1628" s="17"/>
      <c r="N1628" s="17"/>
      <c r="O1628" s="17"/>
    </row>
    <row r="1629" spans="2:15" x14ac:dyDescent="0.3">
      <c r="B1629" s="6" t="s">
        <v>500</v>
      </c>
      <c r="C1629" s="17"/>
      <c r="D1629" s="17"/>
      <c r="E1629" s="17"/>
      <c r="F1629" s="17"/>
      <c r="G1629" s="17"/>
      <c r="H1629" s="17"/>
      <c r="I1629" s="17"/>
      <c r="J1629" s="17"/>
      <c r="K1629" s="17"/>
      <c r="L1629" s="17"/>
      <c r="M1629" s="17"/>
      <c r="N1629" s="17"/>
      <c r="O1629" s="17"/>
    </row>
    <row r="1630" spans="2:15" x14ac:dyDescent="0.3">
      <c r="B1630" s="23" t="s">
        <v>474</v>
      </c>
      <c r="C1630" s="17"/>
      <c r="D1630" s="17"/>
      <c r="E1630" s="17"/>
      <c r="F1630" s="17"/>
      <c r="G1630" s="17"/>
      <c r="H1630" s="17"/>
      <c r="I1630" s="17"/>
      <c r="J1630" s="17"/>
      <c r="K1630" s="17"/>
      <c r="L1630" s="17"/>
      <c r="M1630" s="17"/>
      <c r="N1630" s="17"/>
      <c r="O1630" s="17"/>
    </row>
    <row r="1631" spans="2:15" x14ac:dyDescent="0.3">
      <c r="B1631" t="s">
        <v>380</v>
      </c>
      <c r="C1631" s="17">
        <v>5.4661724088062601E-2</v>
      </c>
      <c r="D1631" s="17">
        <v>6.4363413469575095E-2</v>
      </c>
      <c r="E1631" s="17">
        <v>4.8278535162401999E-2</v>
      </c>
      <c r="F1631" s="17"/>
      <c r="G1631" s="17">
        <v>7.7824068621872494E-2</v>
      </c>
      <c r="H1631" s="17">
        <v>0</v>
      </c>
      <c r="I1631" s="17">
        <v>9.4434336465122004E-2</v>
      </c>
      <c r="J1631" s="17">
        <v>4.7869795190540597E-2</v>
      </c>
      <c r="K1631" s="17"/>
      <c r="L1631" s="17">
        <v>0.108657626254202</v>
      </c>
      <c r="M1631" s="17">
        <v>2.0300578194313801E-2</v>
      </c>
      <c r="N1631" s="17">
        <v>4.6015320716306402E-2</v>
      </c>
      <c r="O1631" s="17">
        <v>5.1955002787320202E-2</v>
      </c>
    </row>
    <row r="1632" spans="2:15" x14ac:dyDescent="0.3">
      <c r="B1632" t="s">
        <v>381</v>
      </c>
      <c r="C1632" s="17">
        <v>0.13703934199787801</v>
      </c>
      <c r="D1632" s="17">
        <v>0.18352898664037101</v>
      </c>
      <c r="E1632" s="17">
        <v>9.2139124962273694E-2</v>
      </c>
      <c r="F1632" s="17"/>
      <c r="G1632" s="17">
        <v>0.122131055584389</v>
      </c>
      <c r="H1632" s="17">
        <v>0.11835162579056201</v>
      </c>
      <c r="I1632" s="17">
        <v>0.172355395135324</v>
      </c>
      <c r="J1632" s="17">
        <v>0.13896029709740901</v>
      </c>
      <c r="K1632" s="17"/>
      <c r="L1632" s="17">
        <v>0.109785592254304</v>
      </c>
      <c r="M1632" s="17">
        <v>2.0300578194313801E-2</v>
      </c>
      <c r="N1632" s="17">
        <v>0.231911367775749</v>
      </c>
      <c r="O1632" s="17">
        <v>0.12967984495041199</v>
      </c>
    </row>
    <row r="1633" spans="2:15" x14ac:dyDescent="0.3">
      <c r="B1633" t="s">
        <v>382</v>
      </c>
      <c r="C1633" s="17">
        <v>0.38442650110383197</v>
      </c>
      <c r="D1633" s="17">
        <v>0.34659429291317401</v>
      </c>
      <c r="E1633" s="17">
        <v>0.41316618084072998</v>
      </c>
      <c r="F1633" s="17"/>
      <c r="G1633" s="17">
        <v>0.31820128993929703</v>
      </c>
      <c r="H1633" s="17">
        <v>0.37429528077866098</v>
      </c>
      <c r="I1633" s="17">
        <v>0.49140462688843201</v>
      </c>
      <c r="J1633" s="17">
        <v>0.37032805199394903</v>
      </c>
      <c r="K1633" s="17"/>
      <c r="L1633" s="17">
        <v>0.26860425989594799</v>
      </c>
      <c r="M1633" s="17">
        <v>0.44794611527881101</v>
      </c>
      <c r="N1633" s="17">
        <v>0.35015842258028101</v>
      </c>
      <c r="O1633" s="17">
        <v>0.43016716435605401</v>
      </c>
    </row>
    <row r="1634" spans="2:15" x14ac:dyDescent="0.3">
      <c r="B1634" t="s">
        <v>383</v>
      </c>
      <c r="C1634" s="17">
        <v>0.36600782313101998</v>
      </c>
      <c r="D1634" s="17">
        <v>0.35252565746514902</v>
      </c>
      <c r="E1634" s="17">
        <v>0.38364916468482102</v>
      </c>
      <c r="F1634" s="17"/>
      <c r="G1634" s="17">
        <v>0.45567598425057199</v>
      </c>
      <c r="H1634" s="17">
        <v>0.392638940007346</v>
      </c>
      <c r="I1634" s="17">
        <v>0.21394916317843099</v>
      </c>
      <c r="J1634" s="17">
        <v>0.37978599678762298</v>
      </c>
      <c r="K1634" s="17"/>
      <c r="L1634" s="17">
        <v>0.48096568476698198</v>
      </c>
      <c r="M1634" s="17">
        <v>0.34959051582999601</v>
      </c>
      <c r="N1634" s="17">
        <v>0.34682474390897899</v>
      </c>
      <c r="O1634" s="17">
        <v>0.33841585262548202</v>
      </c>
    </row>
    <row r="1635" spans="2:15" x14ac:dyDescent="0.3">
      <c r="B1635" t="s">
        <v>142</v>
      </c>
      <c r="C1635" s="17">
        <v>5.7864609679207403E-2</v>
      </c>
      <c r="D1635" s="17">
        <v>5.2987649511731003E-2</v>
      </c>
      <c r="E1635" s="17">
        <v>6.2766994349773605E-2</v>
      </c>
      <c r="F1635" s="17"/>
      <c r="G1635" s="17">
        <v>2.6167601603869599E-2</v>
      </c>
      <c r="H1635" s="17">
        <v>0.114714153423431</v>
      </c>
      <c r="I1635" s="17">
        <v>2.7856478332692201E-2</v>
      </c>
      <c r="J1635" s="17">
        <v>6.3055858930478006E-2</v>
      </c>
      <c r="K1635" s="17"/>
      <c r="L1635" s="17">
        <v>3.1986836828563597E-2</v>
      </c>
      <c r="M1635" s="17">
        <v>0.16186221250256599</v>
      </c>
      <c r="N1635" s="17">
        <v>2.5090145018684801E-2</v>
      </c>
      <c r="O1635" s="17">
        <v>4.9782135280731797E-2</v>
      </c>
    </row>
    <row r="1636" spans="2:15" x14ac:dyDescent="0.3">
      <c r="B1636" t="s">
        <v>384</v>
      </c>
      <c r="C1636" s="17">
        <v>0.19170106608594101</v>
      </c>
      <c r="D1636" s="17">
        <v>0.24789240010994601</v>
      </c>
      <c r="E1636" s="17">
        <v>0.14041766012467599</v>
      </c>
      <c r="F1636" s="17"/>
      <c r="G1636" s="17">
        <v>0.19995512420626199</v>
      </c>
      <c r="H1636" s="17">
        <v>0.11835162579056201</v>
      </c>
      <c r="I1636" s="17">
        <v>0.266789731600446</v>
      </c>
      <c r="J1636" s="17">
        <v>0.18683009228795</v>
      </c>
      <c r="K1636" s="17"/>
      <c r="L1636" s="17">
        <v>0.21844321850850701</v>
      </c>
      <c r="M1636" s="17">
        <v>4.0601156388627498E-2</v>
      </c>
      <c r="N1636" s="17">
        <v>0.27792668849205499</v>
      </c>
      <c r="O1636" s="17">
        <v>0.181634847737732</v>
      </c>
    </row>
    <row r="1637" spans="2:15" x14ac:dyDescent="0.3">
      <c r="C1637" s="17"/>
      <c r="D1637" s="17"/>
      <c r="E1637" s="17"/>
      <c r="F1637" s="17"/>
      <c r="G1637" s="17"/>
      <c r="H1637" s="17"/>
      <c r="I1637" s="17"/>
      <c r="J1637" s="17"/>
      <c r="K1637" s="17"/>
      <c r="L1637" s="17"/>
      <c r="M1637" s="17"/>
      <c r="N1637" s="17"/>
      <c r="O1637" s="17"/>
    </row>
    <row r="1638" spans="2:15" x14ac:dyDescent="0.3">
      <c r="B1638" s="6" t="s">
        <v>506</v>
      </c>
      <c r="C1638" s="17"/>
      <c r="D1638" s="17"/>
      <c r="E1638" s="17"/>
      <c r="F1638" s="17"/>
      <c r="G1638" s="17"/>
      <c r="H1638" s="17"/>
      <c r="I1638" s="17"/>
      <c r="J1638" s="17"/>
      <c r="K1638" s="17"/>
      <c r="L1638" s="17"/>
      <c r="M1638" s="17"/>
      <c r="N1638" s="17"/>
      <c r="O1638" s="17"/>
    </row>
    <row r="1639" spans="2:15" x14ac:dyDescent="0.3">
      <c r="B1639" s="23" t="s">
        <v>46</v>
      </c>
      <c r="C1639" s="17"/>
      <c r="D1639" s="17"/>
      <c r="E1639" s="17"/>
      <c r="F1639" s="17"/>
      <c r="G1639" s="17"/>
      <c r="H1639" s="17"/>
      <c r="I1639" s="17"/>
      <c r="J1639" s="17"/>
      <c r="K1639" s="17"/>
      <c r="L1639" s="17"/>
      <c r="M1639" s="17"/>
      <c r="N1639" s="17"/>
      <c r="O1639" s="17"/>
    </row>
    <row r="1640" spans="2:15" x14ac:dyDescent="0.3">
      <c r="B1640" t="s">
        <v>137</v>
      </c>
      <c r="C1640" s="17">
        <v>0.15835120947326101</v>
      </c>
      <c r="D1640" s="17">
        <v>0.15890219261845701</v>
      </c>
      <c r="E1640" s="17">
        <v>0.15895480230202899</v>
      </c>
      <c r="F1640" s="17"/>
      <c r="G1640" s="17">
        <v>0.23596878862869999</v>
      </c>
      <c r="H1640" s="17">
        <v>0.10075442996471499</v>
      </c>
      <c r="I1640" s="17">
        <v>0.16967035096928201</v>
      </c>
      <c r="J1640" s="17">
        <v>0.113624053800306</v>
      </c>
      <c r="K1640" s="17"/>
      <c r="L1640" s="17">
        <v>0.15902541617562099</v>
      </c>
      <c r="M1640" s="17">
        <v>0.12353275739129101</v>
      </c>
      <c r="N1640" s="17">
        <v>0.190784943347721</v>
      </c>
      <c r="O1640" s="17">
        <v>0.15999667134356799</v>
      </c>
    </row>
    <row r="1641" spans="2:15" x14ac:dyDescent="0.3">
      <c r="B1641" t="s">
        <v>138</v>
      </c>
      <c r="C1641" s="17">
        <v>0.50382563476011999</v>
      </c>
      <c r="D1641" s="17">
        <v>0.50923319479120099</v>
      </c>
      <c r="E1641" s="17">
        <v>0.49480846828129799</v>
      </c>
      <c r="F1641" s="17"/>
      <c r="G1641" s="17">
        <v>0.52693244042363796</v>
      </c>
      <c r="H1641" s="17">
        <v>0.52279340742110503</v>
      </c>
      <c r="I1641" s="17">
        <v>0.49987609747179801</v>
      </c>
      <c r="J1641" s="17">
        <v>0.451892341000661</v>
      </c>
      <c r="K1641" s="17"/>
      <c r="L1641" s="17">
        <v>0.45616328874566398</v>
      </c>
      <c r="M1641" s="17">
        <v>0.568169812711526</v>
      </c>
      <c r="N1641" s="17">
        <v>0.46887467602164501</v>
      </c>
      <c r="O1641" s="17">
        <v>0.52013278252080697</v>
      </c>
    </row>
    <row r="1642" spans="2:15" x14ac:dyDescent="0.3">
      <c r="B1642" t="s">
        <v>139</v>
      </c>
      <c r="C1642" s="17">
        <v>0.16882978875308099</v>
      </c>
      <c r="D1642" s="17">
        <v>0.16434586461355999</v>
      </c>
      <c r="E1642" s="17">
        <v>0.17453891997284299</v>
      </c>
      <c r="F1642" s="17"/>
      <c r="G1642" s="17">
        <v>0.106880653473495</v>
      </c>
      <c r="H1642" s="17">
        <v>0.15434266168860999</v>
      </c>
      <c r="I1642" s="17">
        <v>0.23417187768637601</v>
      </c>
      <c r="J1642" s="17">
        <v>0.207610569895852</v>
      </c>
      <c r="K1642" s="17"/>
      <c r="L1642" s="17">
        <v>0.18930430795914099</v>
      </c>
      <c r="M1642" s="17">
        <v>0.17190136561717301</v>
      </c>
      <c r="N1642" s="17">
        <v>0.18090615995147599</v>
      </c>
      <c r="O1642" s="17">
        <v>0.13196826200102299</v>
      </c>
    </row>
    <row r="1643" spans="2:15" x14ac:dyDescent="0.3">
      <c r="B1643" t="s">
        <v>140</v>
      </c>
      <c r="C1643" s="17">
        <v>9.7223082617804005E-2</v>
      </c>
      <c r="D1643" s="17">
        <v>0.100256712616662</v>
      </c>
      <c r="E1643" s="17">
        <v>9.4901396035443703E-2</v>
      </c>
      <c r="F1643" s="17"/>
      <c r="G1643" s="17">
        <v>0.107981148757363</v>
      </c>
      <c r="H1643" s="17">
        <v>0.102167975418958</v>
      </c>
      <c r="I1643" s="17">
        <v>4.6353283010814698E-2</v>
      </c>
      <c r="J1643" s="17">
        <v>0.12480293148442601</v>
      </c>
      <c r="K1643" s="17"/>
      <c r="L1643" s="17">
        <v>0.127305296877013</v>
      </c>
      <c r="M1643" s="17">
        <v>8.0648998292267293E-2</v>
      </c>
      <c r="N1643" s="17">
        <v>8.5420469596200602E-2</v>
      </c>
      <c r="O1643" s="17">
        <v>9.7756729239772605E-2</v>
      </c>
    </row>
    <row r="1644" spans="2:15" x14ac:dyDescent="0.3">
      <c r="B1644" t="s">
        <v>141</v>
      </c>
      <c r="C1644" s="17">
        <v>3.5608618118695402E-2</v>
      </c>
      <c r="D1644" s="17">
        <v>4.55561522430913E-2</v>
      </c>
      <c r="E1644" s="17">
        <v>2.5931893082181301E-2</v>
      </c>
      <c r="F1644" s="17"/>
      <c r="G1644" s="17">
        <v>9.1032971451161897E-3</v>
      </c>
      <c r="H1644" s="17">
        <v>3.7069974107695303E-2</v>
      </c>
      <c r="I1644" s="17">
        <v>2.8036888441038299E-2</v>
      </c>
      <c r="J1644" s="17">
        <v>7.5640286379911006E-2</v>
      </c>
      <c r="K1644" s="17"/>
      <c r="L1644" s="17">
        <v>4.03812191673577E-2</v>
      </c>
      <c r="M1644" s="17">
        <v>3.2946969421763797E-2</v>
      </c>
      <c r="N1644" s="17">
        <v>3.12615086176007E-2</v>
      </c>
      <c r="O1644" s="17">
        <v>3.8408674445948601E-2</v>
      </c>
    </row>
    <row r="1645" spans="2:15" x14ac:dyDescent="0.3">
      <c r="B1645" t="s">
        <v>142</v>
      </c>
      <c r="C1645" s="17">
        <v>3.6161666277038498E-2</v>
      </c>
      <c r="D1645" s="17">
        <v>2.1705883117029898E-2</v>
      </c>
      <c r="E1645" s="17">
        <v>5.0864520326205899E-2</v>
      </c>
      <c r="F1645" s="17"/>
      <c r="G1645" s="17">
        <v>1.31336715716876E-2</v>
      </c>
      <c r="H1645" s="17">
        <v>8.2871551398917206E-2</v>
      </c>
      <c r="I1645" s="17">
        <v>2.1891502420690798E-2</v>
      </c>
      <c r="J1645" s="17">
        <v>2.6429817438843699E-2</v>
      </c>
      <c r="K1645" s="17"/>
      <c r="L1645" s="17">
        <v>2.7820471075203201E-2</v>
      </c>
      <c r="M1645" s="17">
        <v>2.28000965659798E-2</v>
      </c>
      <c r="N1645" s="17">
        <v>4.2752242465356499E-2</v>
      </c>
      <c r="O1645" s="17">
        <v>5.17368804488803E-2</v>
      </c>
    </row>
    <row r="1646" spans="2:15" x14ac:dyDescent="0.3">
      <c r="B1646" t="s">
        <v>143</v>
      </c>
      <c r="C1646" s="17">
        <v>0.66217684423338097</v>
      </c>
      <c r="D1646" s="17">
        <v>0.66813538740965694</v>
      </c>
      <c r="E1646" s="17">
        <v>0.65376327058332695</v>
      </c>
      <c r="F1646" s="17"/>
      <c r="G1646" s="17">
        <v>0.76290122905233804</v>
      </c>
      <c r="H1646" s="17">
        <v>0.62354783738581998</v>
      </c>
      <c r="I1646" s="17">
        <v>0.66954644844108002</v>
      </c>
      <c r="J1646" s="17">
        <v>0.56551639480096705</v>
      </c>
      <c r="K1646" s="17"/>
      <c r="L1646" s="17">
        <v>0.61518870492128497</v>
      </c>
      <c r="M1646" s="17">
        <v>0.69170257010281599</v>
      </c>
      <c r="N1646" s="17">
        <v>0.65965961936936601</v>
      </c>
      <c r="O1646" s="17">
        <v>0.68012945386437595</v>
      </c>
    </row>
    <row r="1647" spans="2:15" x14ac:dyDescent="0.3">
      <c r="B1647" t="s">
        <v>144</v>
      </c>
      <c r="C1647" s="17">
        <v>0.132831700736499</v>
      </c>
      <c r="D1647" s="17">
        <v>0.14581286485975301</v>
      </c>
      <c r="E1647" s="17">
        <v>0.120833289117625</v>
      </c>
      <c r="F1647" s="17"/>
      <c r="G1647" s="17">
        <v>0.117084445902479</v>
      </c>
      <c r="H1647" s="17">
        <v>0.139237949526653</v>
      </c>
      <c r="I1647" s="17">
        <v>7.4390171451853102E-2</v>
      </c>
      <c r="J1647" s="17">
        <v>0.200443217864337</v>
      </c>
      <c r="K1647" s="17"/>
      <c r="L1647" s="17">
        <v>0.16768651604437099</v>
      </c>
      <c r="M1647" s="17">
        <v>0.11359596771403099</v>
      </c>
      <c r="N1647" s="17">
        <v>0.116681978213801</v>
      </c>
      <c r="O1647" s="17">
        <v>0.136165403685721</v>
      </c>
    </row>
    <row r="1648" spans="2:15" x14ac:dyDescent="0.3">
      <c r="C1648" s="17"/>
      <c r="D1648" s="17"/>
      <c r="E1648" s="17"/>
      <c r="F1648" s="17"/>
      <c r="G1648" s="17"/>
      <c r="H1648" s="17"/>
      <c r="I1648" s="17"/>
      <c r="J1648" s="17"/>
      <c r="K1648" s="17"/>
      <c r="L1648" s="17"/>
      <c r="M1648" s="17"/>
      <c r="N1648" s="17"/>
      <c r="O1648" s="17"/>
    </row>
    <row r="1649" spans="2:15" x14ac:dyDescent="0.3">
      <c r="B1649" s="6" t="s">
        <v>507</v>
      </c>
      <c r="C1649" s="17"/>
      <c r="D1649" s="17"/>
      <c r="E1649" s="17"/>
      <c r="F1649" s="17"/>
      <c r="G1649" s="17"/>
      <c r="H1649" s="17"/>
      <c r="I1649" s="17"/>
      <c r="J1649" s="17"/>
      <c r="K1649" s="17"/>
      <c r="L1649" s="17"/>
      <c r="M1649" s="17"/>
      <c r="N1649" s="17"/>
      <c r="O1649" s="17"/>
    </row>
    <row r="1650" spans="2:15" x14ac:dyDescent="0.3">
      <c r="B1650" s="23" t="s">
        <v>46</v>
      </c>
      <c r="C1650" s="17"/>
      <c r="D1650" s="17"/>
      <c r="E1650" s="17"/>
      <c r="F1650" s="17"/>
      <c r="G1650" s="17"/>
      <c r="H1650" s="17"/>
      <c r="I1650" s="17"/>
      <c r="J1650" s="17"/>
      <c r="K1650" s="17"/>
      <c r="L1650" s="17"/>
      <c r="M1650" s="17"/>
      <c r="N1650" s="17"/>
      <c r="O1650" s="17"/>
    </row>
    <row r="1651" spans="2:15" x14ac:dyDescent="0.3">
      <c r="B1651" t="s">
        <v>137</v>
      </c>
      <c r="C1651" s="17">
        <v>0.227551533675447</v>
      </c>
      <c r="D1651" s="17">
        <v>0.228167319363173</v>
      </c>
      <c r="E1651" s="17">
        <v>0.22424906983905499</v>
      </c>
      <c r="F1651" s="17"/>
      <c r="G1651" s="17">
        <v>0.24565127079938701</v>
      </c>
      <c r="H1651" s="17">
        <v>0.24151614417120901</v>
      </c>
      <c r="I1651" s="17">
        <v>0.18179600150456099</v>
      </c>
      <c r="J1651" s="17">
        <v>0.22377379364715699</v>
      </c>
      <c r="K1651" s="17"/>
      <c r="L1651" s="17">
        <v>0.25003798508900799</v>
      </c>
      <c r="M1651" s="17">
        <v>0.2049828654675</v>
      </c>
      <c r="N1651" s="17">
        <v>0.212212246412601</v>
      </c>
      <c r="O1651" s="17">
        <v>0.24596105926276099</v>
      </c>
    </row>
    <row r="1652" spans="2:15" x14ac:dyDescent="0.3">
      <c r="B1652" t="s">
        <v>138</v>
      </c>
      <c r="C1652" s="17">
        <v>0.58871400429600995</v>
      </c>
      <c r="D1652" s="17">
        <v>0.57177212703104896</v>
      </c>
      <c r="E1652" s="17">
        <v>0.60698505854389395</v>
      </c>
      <c r="F1652" s="17"/>
      <c r="G1652" s="17">
        <v>0.60692286418022401</v>
      </c>
      <c r="H1652" s="17">
        <v>0.58804617918125801</v>
      </c>
      <c r="I1652" s="17">
        <v>0.64077122615717697</v>
      </c>
      <c r="J1652" s="17">
        <v>0.52293500793205205</v>
      </c>
      <c r="K1652" s="17"/>
      <c r="L1652" s="17">
        <v>0.55265336770339302</v>
      </c>
      <c r="M1652" s="17">
        <v>0.68004047055872197</v>
      </c>
      <c r="N1652" s="17">
        <v>0.57565738386820497</v>
      </c>
      <c r="O1652" s="17">
        <v>0.54067417506946802</v>
      </c>
    </row>
    <row r="1653" spans="2:15" x14ac:dyDescent="0.3">
      <c r="B1653" t="s">
        <v>139</v>
      </c>
      <c r="C1653" s="17">
        <v>0.108253193047397</v>
      </c>
      <c r="D1653" s="17">
        <v>0.12698782834567501</v>
      </c>
      <c r="E1653" s="17">
        <v>9.0328746723628006E-2</v>
      </c>
      <c r="F1653" s="17"/>
      <c r="G1653" s="17">
        <v>9.4867427100471802E-2</v>
      </c>
      <c r="H1653" s="17">
        <v>8.7496532284203204E-2</v>
      </c>
      <c r="I1653" s="17">
        <v>0.11300604346184</v>
      </c>
      <c r="J1653" s="17">
        <v>0.14575445496961101</v>
      </c>
      <c r="K1653" s="17"/>
      <c r="L1653" s="17">
        <v>0.12790879751435699</v>
      </c>
      <c r="M1653" s="17">
        <v>6.5130688352327507E-2</v>
      </c>
      <c r="N1653" s="17">
        <v>0.13974450108463399</v>
      </c>
      <c r="O1653" s="17">
        <v>0.100871365984791</v>
      </c>
    </row>
    <row r="1654" spans="2:15" x14ac:dyDescent="0.3">
      <c r="B1654" t="s">
        <v>140</v>
      </c>
      <c r="C1654" s="17">
        <v>5.0104915235341399E-2</v>
      </c>
      <c r="D1654" s="17">
        <v>4.92749178414656E-2</v>
      </c>
      <c r="E1654" s="17">
        <v>5.1299096539701501E-2</v>
      </c>
      <c r="F1654" s="17"/>
      <c r="G1654" s="17">
        <v>3.09402995254635E-2</v>
      </c>
      <c r="H1654" s="17">
        <v>5.2735585207440698E-2</v>
      </c>
      <c r="I1654" s="17">
        <v>6.4426728876421799E-2</v>
      </c>
      <c r="J1654" s="17">
        <v>5.9390425996368401E-2</v>
      </c>
      <c r="K1654" s="17"/>
      <c r="L1654" s="17">
        <v>3.4874066027651099E-2</v>
      </c>
      <c r="M1654" s="17">
        <v>4.2919576308092303E-2</v>
      </c>
      <c r="N1654" s="17">
        <v>3.6032537379100997E-2</v>
      </c>
      <c r="O1654" s="17">
        <v>8.8310523239332694E-2</v>
      </c>
    </row>
    <row r="1655" spans="2:15" x14ac:dyDescent="0.3">
      <c r="B1655" t="s">
        <v>141</v>
      </c>
      <c r="C1655" s="17">
        <v>1.3480094318184799E-2</v>
      </c>
      <c r="D1655" s="17">
        <v>1.53867075336581E-2</v>
      </c>
      <c r="E1655" s="17">
        <v>1.16738838000139E-2</v>
      </c>
      <c r="F1655" s="17"/>
      <c r="G1655" s="17">
        <v>7.5989088801897697E-3</v>
      </c>
      <c r="H1655" s="17">
        <v>8.6354712272148706E-3</v>
      </c>
      <c r="I1655" s="17">
        <v>0</v>
      </c>
      <c r="J1655" s="17">
        <v>3.9041817019116097E-2</v>
      </c>
      <c r="K1655" s="17"/>
      <c r="L1655" s="17">
        <v>1.92097422240416E-2</v>
      </c>
      <c r="M1655" s="17">
        <v>6.9263993133580502E-3</v>
      </c>
      <c r="N1655" s="17">
        <v>1.7980518013420502E-2</v>
      </c>
      <c r="O1655" s="17">
        <v>9.9251744598029407E-3</v>
      </c>
    </row>
    <row r="1656" spans="2:15" x14ac:dyDescent="0.3">
      <c r="B1656" t="s">
        <v>142</v>
      </c>
      <c r="C1656" s="17">
        <v>1.18962594276201E-2</v>
      </c>
      <c r="D1656" s="17">
        <v>8.4110998849788003E-3</v>
      </c>
      <c r="E1656" s="17">
        <v>1.5464144553708E-2</v>
      </c>
      <c r="F1656" s="17"/>
      <c r="G1656" s="17">
        <v>1.4019229514264601E-2</v>
      </c>
      <c r="H1656" s="17">
        <v>2.1570087928674899E-2</v>
      </c>
      <c r="I1656" s="17">
        <v>0</v>
      </c>
      <c r="J1656" s="17">
        <v>9.1045004356957605E-3</v>
      </c>
      <c r="K1656" s="17"/>
      <c r="L1656" s="17">
        <v>1.5316041441548699E-2</v>
      </c>
      <c r="M1656" s="17">
        <v>0</v>
      </c>
      <c r="N1656" s="17">
        <v>1.8372813242037999E-2</v>
      </c>
      <c r="O1656" s="17">
        <v>1.42577019838451E-2</v>
      </c>
    </row>
    <row r="1657" spans="2:15" x14ac:dyDescent="0.3">
      <c r="B1657" t="s">
        <v>143</v>
      </c>
      <c r="C1657" s="17">
        <v>0.81626553797145696</v>
      </c>
      <c r="D1657" s="17">
        <v>0.79993944639422199</v>
      </c>
      <c r="E1657" s="17">
        <v>0.83123412838294897</v>
      </c>
      <c r="F1657" s="17"/>
      <c r="G1657" s="17">
        <v>0.85257413497960999</v>
      </c>
      <c r="H1657" s="17">
        <v>0.82956232335246605</v>
      </c>
      <c r="I1657" s="17">
        <v>0.82256722766173895</v>
      </c>
      <c r="J1657" s="17">
        <v>0.74670880157920905</v>
      </c>
      <c r="K1657" s="17"/>
      <c r="L1657" s="17">
        <v>0.802691352792401</v>
      </c>
      <c r="M1657" s="17">
        <v>0.88502333602622196</v>
      </c>
      <c r="N1657" s="17">
        <v>0.78786963028080603</v>
      </c>
      <c r="O1657" s="17">
        <v>0.78663523433222804</v>
      </c>
    </row>
    <row r="1658" spans="2:15" x14ac:dyDescent="0.3">
      <c r="B1658" t="s">
        <v>144</v>
      </c>
      <c r="C1658" s="17">
        <v>6.3585009553526195E-2</v>
      </c>
      <c r="D1658" s="17">
        <v>6.4661625375123696E-2</v>
      </c>
      <c r="E1658" s="17">
        <v>6.2972980339715504E-2</v>
      </c>
      <c r="F1658" s="17"/>
      <c r="G1658" s="17">
        <v>3.8539208405653301E-2</v>
      </c>
      <c r="H1658" s="17">
        <v>6.1371056434655603E-2</v>
      </c>
      <c r="I1658" s="17">
        <v>6.4426728876421799E-2</v>
      </c>
      <c r="J1658" s="17">
        <v>9.8432243015484394E-2</v>
      </c>
      <c r="K1658" s="17"/>
      <c r="L1658" s="17">
        <v>5.4083808251692699E-2</v>
      </c>
      <c r="M1658" s="17">
        <v>4.9845975621450399E-2</v>
      </c>
      <c r="N1658" s="17">
        <v>5.4013055392521499E-2</v>
      </c>
      <c r="O1658" s="17">
        <v>9.8235697699135593E-2</v>
      </c>
    </row>
    <row r="1659" spans="2:15" x14ac:dyDescent="0.3">
      <c r="C1659" s="17"/>
      <c r="D1659" s="17"/>
      <c r="E1659" s="17"/>
      <c r="F1659" s="17"/>
      <c r="G1659" s="17"/>
      <c r="H1659" s="17"/>
      <c r="I1659" s="17"/>
      <c r="J1659" s="17"/>
      <c r="K1659" s="17"/>
      <c r="L1659" s="17"/>
      <c r="M1659" s="17"/>
      <c r="N1659" s="17"/>
      <c r="O1659" s="17"/>
    </row>
    <row r="1660" spans="2:15" x14ac:dyDescent="0.3">
      <c r="B1660" s="6" t="s">
        <v>508</v>
      </c>
      <c r="C1660" s="17"/>
      <c r="D1660" s="17"/>
      <c r="E1660" s="17"/>
      <c r="F1660" s="17"/>
      <c r="G1660" s="17"/>
      <c r="H1660" s="17"/>
      <c r="I1660" s="17"/>
      <c r="J1660" s="17"/>
      <c r="K1660" s="17"/>
      <c r="L1660" s="17"/>
      <c r="M1660" s="17"/>
      <c r="N1660" s="17"/>
      <c r="O1660" s="17"/>
    </row>
    <row r="1661" spans="2:15" x14ac:dyDescent="0.3">
      <c r="B1661" s="23" t="s">
        <v>46</v>
      </c>
      <c r="C1661" s="17"/>
      <c r="D1661" s="17"/>
      <c r="E1661" s="17"/>
      <c r="F1661" s="17"/>
      <c r="G1661" s="17"/>
      <c r="H1661" s="17"/>
      <c r="I1661" s="17"/>
      <c r="J1661" s="17"/>
      <c r="K1661" s="17"/>
      <c r="L1661" s="17"/>
      <c r="M1661" s="17"/>
      <c r="N1661" s="17"/>
      <c r="O1661" s="17"/>
    </row>
    <row r="1662" spans="2:15" x14ac:dyDescent="0.3">
      <c r="B1662" t="s">
        <v>137</v>
      </c>
      <c r="C1662" s="17">
        <v>0.161383922289698</v>
      </c>
      <c r="D1662" s="17">
        <v>0.16583278098365101</v>
      </c>
      <c r="E1662" s="17">
        <v>0.15811617515909901</v>
      </c>
      <c r="F1662" s="17"/>
      <c r="G1662" s="17">
        <v>0.207436434381577</v>
      </c>
      <c r="H1662" s="17">
        <v>0.17962846121172099</v>
      </c>
      <c r="I1662" s="17">
        <v>0.13666469598886499</v>
      </c>
      <c r="J1662" s="17">
        <v>9.66445368585096E-2</v>
      </c>
      <c r="K1662" s="17"/>
      <c r="L1662" s="17">
        <v>0.14563266095699401</v>
      </c>
      <c r="M1662" s="17">
        <v>0.16033728176533399</v>
      </c>
      <c r="N1662" s="17">
        <v>0.16126149193081099</v>
      </c>
      <c r="O1662" s="17">
        <v>0.17839374798437399</v>
      </c>
    </row>
    <row r="1663" spans="2:15" x14ac:dyDescent="0.3">
      <c r="B1663" t="s">
        <v>138</v>
      </c>
      <c r="C1663" s="17">
        <v>0.48738856853655499</v>
      </c>
      <c r="D1663" s="17">
        <v>0.49554776742010598</v>
      </c>
      <c r="E1663" s="17">
        <v>0.47550311283860403</v>
      </c>
      <c r="F1663" s="17"/>
      <c r="G1663" s="17">
        <v>0.54283799076481998</v>
      </c>
      <c r="H1663" s="17">
        <v>0.45730307027766598</v>
      </c>
      <c r="I1663" s="17">
        <v>0.481820067087187</v>
      </c>
      <c r="J1663" s="17">
        <v>0.45831158309985598</v>
      </c>
      <c r="K1663" s="17"/>
      <c r="L1663" s="17">
        <v>0.49019481689774602</v>
      </c>
      <c r="M1663" s="17">
        <v>0.49202130719996201</v>
      </c>
      <c r="N1663" s="17">
        <v>0.48377258039503701</v>
      </c>
      <c r="O1663" s="17">
        <v>0.48351593694834499</v>
      </c>
    </row>
    <row r="1664" spans="2:15" x14ac:dyDescent="0.3">
      <c r="B1664" t="s">
        <v>139</v>
      </c>
      <c r="C1664" s="17">
        <v>0.19934357003789899</v>
      </c>
      <c r="D1664" s="17">
        <v>0.22022387875999</v>
      </c>
      <c r="E1664" s="17">
        <v>0.179939692585181</v>
      </c>
      <c r="F1664" s="17"/>
      <c r="G1664" s="17">
        <v>0.147336679969052</v>
      </c>
      <c r="H1664" s="17">
        <v>0.169530363023328</v>
      </c>
      <c r="I1664" s="17">
        <v>0.25810491906646799</v>
      </c>
      <c r="J1664" s="17">
        <v>0.24882591620408201</v>
      </c>
      <c r="K1664" s="17"/>
      <c r="L1664" s="17">
        <v>0.244597834618588</v>
      </c>
      <c r="M1664" s="17">
        <v>0.19119169239901401</v>
      </c>
      <c r="N1664" s="17">
        <v>0.21299890197913601</v>
      </c>
      <c r="O1664" s="17">
        <v>0.14806547331421399</v>
      </c>
    </row>
    <row r="1665" spans="2:15" x14ac:dyDescent="0.3">
      <c r="B1665" t="s">
        <v>140</v>
      </c>
      <c r="C1665" s="17">
        <v>8.5249943150865398E-2</v>
      </c>
      <c r="D1665" s="17">
        <v>7.8677800018306196E-2</v>
      </c>
      <c r="E1665" s="17">
        <v>9.2435847763162493E-2</v>
      </c>
      <c r="F1665" s="17"/>
      <c r="G1665" s="17">
        <v>7.0912518348841297E-2</v>
      </c>
      <c r="H1665" s="17">
        <v>7.8761155865039498E-2</v>
      </c>
      <c r="I1665" s="17">
        <v>7.47049098317005E-2</v>
      </c>
      <c r="J1665" s="17">
        <v>0.12157466960055301</v>
      </c>
      <c r="K1665" s="17"/>
      <c r="L1665" s="17">
        <v>7.4787635964593993E-2</v>
      </c>
      <c r="M1665" s="17">
        <v>6.4762906487691799E-2</v>
      </c>
      <c r="N1665" s="17">
        <v>9.1275982809761E-2</v>
      </c>
      <c r="O1665" s="17">
        <v>0.11122312560189899</v>
      </c>
    </row>
    <row r="1666" spans="2:15" x14ac:dyDescent="0.3">
      <c r="B1666" t="s">
        <v>141</v>
      </c>
      <c r="C1666" s="17">
        <v>1.5777436778742299E-2</v>
      </c>
      <c r="D1666" s="17">
        <v>1.8942833693170201E-2</v>
      </c>
      <c r="E1666" s="17">
        <v>1.27306162945555E-2</v>
      </c>
      <c r="F1666" s="17"/>
      <c r="G1666" s="17">
        <v>0</v>
      </c>
      <c r="H1666" s="17">
        <v>2.9574369790793899E-2</v>
      </c>
      <c r="I1666" s="17">
        <v>1.6657499410310701E-2</v>
      </c>
      <c r="J1666" s="17">
        <v>1.99756840837301E-2</v>
      </c>
      <c r="K1666" s="17"/>
      <c r="L1666" s="17">
        <v>1.92122253242798E-2</v>
      </c>
      <c r="M1666" s="17">
        <v>2.6390568331003301E-2</v>
      </c>
      <c r="N1666" s="17">
        <v>1.6631736683371499E-2</v>
      </c>
      <c r="O1666" s="17">
        <v>0</v>
      </c>
    </row>
    <row r="1667" spans="2:15" x14ac:dyDescent="0.3">
      <c r="B1667" t="s">
        <v>142</v>
      </c>
      <c r="C1667" s="17">
        <v>5.0856559206240499E-2</v>
      </c>
      <c r="D1667" s="17">
        <v>2.0774939124777101E-2</v>
      </c>
      <c r="E1667" s="17">
        <v>8.1274555359398204E-2</v>
      </c>
      <c r="F1667" s="17"/>
      <c r="G1667" s="17">
        <v>3.1476376535709602E-2</v>
      </c>
      <c r="H1667" s="17">
        <v>8.5202579831451505E-2</v>
      </c>
      <c r="I1667" s="17">
        <v>3.2047908615469099E-2</v>
      </c>
      <c r="J1667" s="17">
        <v>5.4667610153269201E-2</v>
      </c>
      <c r="K1667" s="17"/>
      <c r="L1667" s="17">
        <v>2.5574826237797801E-2</v>
      </c>
      <c r="M1667" s="17">
        <v>6.5296243816994406E-2</v>
      </c>
      <c r="N1667" s="17">
        <v>3.4059306201882703E-2</v>
      </c>
      <c r="O1667" s="17">
        <v>7.8801716151168696E-2</v>
      </c>
    </row>
    <row r="1668" spans="2:15" x14ac:dyDescent="0.3">
      <c r="B1668" t="s">
        <v>143</v>
      </c>
      <c r="C1668" s="17">
        <v>0.64877249082625299</v>
      </c>
      <c r="D1668" s="17">
        <v>0.66138054840375704</v>
      </c>
      <c r="E1668" s="17">
        <v>0.63361928799770295</v>
      </c>
      <c r="F1668" s="17"/>
      <c r="G1668" s="17">
        <v>0.75027442514639697</v>
      </c>
      <c r="H1668" s="17">
        <v>0.63693153148938697</v>
      </c>
      <c r="I1668" s="17">
        <v>0.61848476307605205</v>
      </c>
      <c r="J1668" s="17">
        <v>0.55495611995836602</v>
      </c>
      <c r="K1668" s="17"/>
      <c r="L1668" s="17">
        <v>0.63582747785474003</v>
      </c>
      <c r="M1668" s="17">
        <v>0.65235858896529597</v>
      </c>
      <c r="N1668" s="17">
        <v>0.64503407232584797</v>
      </c>
      <c r="O1668" s="17">
        <v>0.66190968493271896</v>
      </c>
    </row>
    <row r="1669" spans="2:15" x14ac:dyDescent="0.3">
      <c r="B1669" t="s">
        <v>144</v>
      </c>
      <c r="C1669" s="17">
        <v>0.101027379929608</v>
      </c>
      <c r="D1669" s="17">
        <v>9.7620633711476307E-2</v>
      </c>
      <c r="E1669" s="17">
        <v>0.105166464057718</v>
      </c>
      <c r="F1669" s="17"/>
      <c r="G1669" s="17">
        <v>7.0912518348841297E-2</v>
      </c>
      <c r="H1669" s="17">
        <v>0.108335525655833</v>
      </c>
      <c r="I1669" s="17">
        <v>9.1362409242011194E-2</v>
      </c>
      <c r="J1669" s="17">
        <v>0.14155035368428301</v>
      </c>
      <c r="K1669" s="17"/>
      <c r="L1669" s="17">
        <v>9.3999861288873804E-2</v>
      </c>
      <c r="M1669" s="17">
        <v>9.1153474818695193E-2</v>
      </c>
      <c r="N1669" s="17">
        <v>0.10790771949313301</v>
      </c>
      <c r="O1669" s="17">
        <v>0.11122312560189899</v>
      </c>
    </row>
    <row r="1670" spans="2:15" x14ac:dyDescent="0.3">
      <c r="C1670" s="17"/>
      <c r="D1670" s="17"/>
      <c r="E1670" s="17"/>
      <c r="F1670" s="17"/>
      <c r="G1670" s="17"/>
      <c r="H1670" s="17"/>
      <c r="I1670" s="17"/>
      <c r="J1670" s="17"/>
      <c r="K1670" s="17"/>
      <c r="L1670" s="17"/>
      <c r="M1670" s="17"/>
      <c r="N1670" s="17"/>
      <c r="O1670" s="17"/>
    </row>
    <row r="1671" spans="2:15" x14ac:dyDescent="0.3">
      <c r="B1671" s="6" t="s">
        <v>509</v>
      </c>
      <c r="C1671" s="17"/>
      <c r="D1671" s="17"/>
      <c r="E1671" s="17"/>
      <c r="F1671" s="17"/>
      <c r="G1671" s="17"/>
      <c r="H1671" s="17"/>
      <c r="I1671" s="17"/>
      <c r="J1671" s="17"/>
      <c r="K1671" s="17"/>
      <c r="L1671" s="17"/>
      <c r="M1671" s="17"/>
      <c r="N1671" s="17"/>
      <c r="O1671" s="17"/>
    </row>
    <row r="1672" spans="2:15" x14ac:dyDescent="0.3">
      <c r="B1672" s="23" t="s">
        <v>46</v>
      </c>
      <c r="C1672" s="17"/>
      <c r="D1672" s="17"/>
      <c r="E1672" s="17"/>
      <c r="F1672" s="17"/>
      <c r="G1672" s="17"/>
      <c r="H1672" s="17"/>
      <c r="I1672" s="17"/>
      <c r="J1672" s="17"/>
      <c r="K1672" s="17"/>
      <c r="L1672" s="17"/>
      <c r="M1672" s="17"/>
      <c r="N1672" s="17"/>
      <c r="O1672" s="17"/>
    </row>
    <row r="1673" spans="2:15" x14ac:dyDescent="0.3">
      <c r="B1673" t="s">
        <v>137</v>
      </c>
      <c r="C1673" s="17">
        <v>0.182567184355694</v>
      </c>
      <c r="D1673" s="17">
        <v>0.18016185858724401</v>
      </c>
      <c r="E1673" s="17">
        <v>0.18630019062828901</v>
      </c>
      <c r="F1673" s="17"/>
      <c r="G1673" s="17">
        <v>0.228136396884841</v>
      </c>
      <c r="H1673" s="17">
        <v>0.17766863129764299</v>
      </c>
      <c r="I1673" s="17">
        <v>0.14775319753760499</v>
      </c>
      <c r="J1673" s="17">
        <v>0.15410348204997901</v>
      </c>
      <c r="K1673" s="17"/>
      <c r="L1673" s="17">
        <v>0.166495076888176</v>
      </c>
      <c r="M1673" s="17">
        <v>0.152266189243734</v>
      </c>
      <c r="N1673" s="17">
        <v>0.21785889411119799</v>
      </c>
      <c r="O1673" s="17">
        <v>0.193003131299435</v>
      </c>
    </row>
    <row r="1674" spans="2:15" x14ac:dyDescent="0.3">
      <c r="B1674" t="s">
        <v>138</v>
      </c>
      <c r="C1674" s="17">
        <v>0.50620813752802496</v>
      </c>
      <c r="D1674" s="17">
        <v>0.51356574707793601</v>
      </c>
      <c r="E1674" s="17">
        <v>0.49960611218030798</v>
      </c>
      <c r="F1674" s="17"/>
      <c r="G1674" s="17">
        <v>0.56260968313299198</v>
      </c>
      <c r="H1674" s="17">
        <v>0.45177473199289803</v>
      </c>
      <c r="I1674" s="17">
        <v>0.52244415586320603</v>
      </c>
      <c r="J1674" s="17">
        <v>0.48377638584975702</v>
      </c>
      <c r="K1674" s="17"/>
      <c r="L1674" s="17">
        <v>0.46680823835769703</v>
      </c>
      <c r="M1674" s="17">
        <v>0.515805674970784</v>
      </c>
      <c r="N1674" s="17">
        <v>0.47110057224357699</v>
      </c>
      <c r="O1674" s="17">
        <v>0.57331660881050805</v>
      </c>
    </row>
    <row r="1675" spans="2:15" x14ac:dyDescent="0.3">
      <c r="B1675" t="s">
        <v>139</v>
      </c>
      <c r="C1675" s="17">
        <v>0.15965181514698601</v>
      </c>
      <c r="D1675" s="17">
        <v>0.16752828203249101</v>
      </c>
      <c r="E1675" s="17">
        <v>0.15294773773986101</v>
      </c>
      <c r="F1675" s="17"/>
      <c r="G1675" s="17">
        <v>0.107088676879019</v>
      </c>
      <c r="H1675" s="17">
        <v>0.168892031061669</v>
      </c>
      <c r="I1675" s="17">
        <v>0.21394077045648199</v>
      </c>
      <c r="J1675" s="17">
        <v>0.169301021662349</v>
      </c>
      <c r="K1675" s="17"/>
      <c r="L1675" s="17">
        <v>0.176668622418935</v>
      </c>
      <c r="M1675" s="17">
        <v>0.157932868559334</v>
      </c>
      <c r="N1675" s="17">
        <v>0.18961278676590801</v>
      </c>
      <c r="O1675" s="17">
        <v>0.112026458435194</v>
      </c>
    </row>
    <row r="1676" spans="2:15" x14ac:dyDescent="0.3">
      <c r="B1676" t="s">
        <v>140</v>
      </c>
      <c r="C1676" s="17">
        <v>8.0869848472239797E-2</v>
      </c>
      <c r="D1676" s="17">
        <v>6.9222935960560797E-2</v>
      </c>
      <c r="E1676" s="17">
        <v>8.87472192063707E-2</v>
      </c>
      <c r="F1676" s="17"/>
      <c r="G1676" s="17">
        <v>6.3381919377772697E-2</v>
      </c>
      <c r="H1676" s="17">
        <v>8.16874222082771E-2</v>
      </c>
      <c r="I1676" s="17">
        <v>8.6232175003579797E-2</v>
      </c>
      <c r="J1676" s="17">
        <v>9.8451165770858107E-2</v>
      </c>
      <c r="K1676" s="17"/>
      <c r="L1676" s="17">
        <v>9.6826596460555803E-2</v>
      </c>
      <c r="M1676" s="17">
        <v>8.0527283538225997E-2</v>
      </c>
      <c r="N1676" s="17">
        <v>8.6772987936957396E-2</v>
      </c>
      <c r="O1676" s="17">
        <v>5.88865495534341E-2</v>
      </c>
    </row>
    <row r="1677" spans="2:15" x14ac:dyDescent="0.3">
      <c r="B1677" t="s">
        <v>141</v>
      </c>
      <c r="C1677" s="17">
        <v>2.2005648282985599E-2</v>
      </c>
      <c r="D1677" s="17">
        <v>2.2802171352336399E-2</v>
      </c>
      <c r="E1677" s="17">
        <v>2.1370392812073698E-2</v>
      </c>
      <c r="F1677" s="17"/>
      <c r="G1677" s="17">
        <v>6.84260803368916E-3</v>
      </c>
      <c r="H1677" s="17">
        <v>3.7427168717397402E-2</v>
      </c>
      <c r="I1677" s="17">
        <v>0</v>
      </c>
      <c r="J1677" s="17">
        <v>4.44949799939258E-2</v>
      </c>
      <c r="K1677" s="17"/>
      <c r="L1677" s="17">
        <v>4.8359056172874899E-2</v>
      </c>
      <c r="M1677" s="17">
        <v>2.7315674259232502E-2</v>
      </c>
      <c r="N1677" s="17">
        <v>4.8719829016286896E-3</v>
      </c>
      <c r="O1677" s="17">
        <v>8.5014105514824197E-3</v>
      </c>
    </row>
    <row r="1678" spans="2:15" x14ac:dyDescent="0.3">
      <c r="B1678" t="s">
        <v>142</v>
      </c>
      <c r="C1678" s="17">
        <v>4.8697366214068803E-2</v>
      </c>
      <c r="D1678" s="17">
        <v>4.6719004989431497E-2</v>
      </c>
      <c r="E1678" s="17">
        <v>5.10283474330969E-2</v>
      </c>
      <c r="F1678" s="17"/>
      <c r="G1678" s="17">
        <v>3.1940715691686099E-2</v>
      </c>
      <c r="H1678" s="17">
        <v>8.2550014722114595E-2</v>
      </c>
      <c r="I1678" s="17">
        <v>2.96297011391271E-2</v>
      </c>
      <c r="J1678" s="17">
        <v>4.9872964673131598E-2</v>
      </c>
      <c r="K1678" s="17"/>
      <c r="L1678" s="17">
        <v>4.4842409701761399E-2</v>
      </c>
      <c r="M1678" s="17">
        <v>6.6152309428689396E-2</v>
      </c>
      <c r="N1678" s="17">
        <v>2.9782776040730902E-2</v>
      </c>
      <c r="O1678" s="17">
        <v>5.4265841349946102E-2</v>
      </c>
    </row>
    <row r="1679" spans="2:15" x14ac:dyDescent="0.3">
      <c r="B1679" t="s">
        <v>143</v>
      </c>
      <c r="C1679" s="17">
        <v>0.68877532188372004</v>
      </c>
      <c r="D1679" s="17">
        <v>0.69372760566517999</v>
      </c>
      <c r="E1679" s="17">
        <v>0.68590630280859699</v>
      </c>
      <c r="F1679" s="17"/>
      <c r="G1679" s="17">
        <v>0.79074608001783298</v>
      </c>
      <c r="H1679" s="17">
        <v>0.62944336329054196</v>
      </c>
      <c r="I1679" s="17">
        <v>0.67019735340081099</v>
      </c>
      <c r="J1679" s="17">
        <v>0.63787986789973605</v>
      </c>
      <c r="K1679" s="17"/>
      <c r="L1679" s="17">
        <v>0.63330331524587302</v>
      </c>
      <c r="M1679" s="17">
        <v>0.66807186421451903</v>
      </c>
      <c r="N1679" s="17">
        <v>0.68895946635477501</v>
      </c>
      <c r="O1679" s="17">
        <v>0.76631974010994297</v>
      </c>
    </row>
    <row r="1680" spans="2:15" x14ac:dyDescent="0.3">
      <c r="B1680" t="s">
        <v>144</v>
      </c>
      <c r="C1680" s="17">
        <v>0.102875496755225</v>
      </c>
      <c r="D1680" s="17">
        <v>9.2025107312897203E-2</v>
      </c>
      <c r="E1680" s="17">
        <v>0.110117612018444</v>
      </c>
      <c r="F1680" s="17"/>
      <c r="G1680" s="17">
        <v>7.0224527411461901E-2</v>
      </c>
      <c r="H1680" s="17">
        <v>0.119114590925674</v>
      </c>
      <c r="I1680" s="17">
        <v>8.6232175003579797E-2</v>
      </c>
      <c r="J1680" s="17">
        <v>0.14294614576478401</v>
      </c>
      <c r="K1680" s="17"/>
      <c r="L1680" s="17">
        <v>0.145185652633431</v>
      </c>
      <c r="M1680" s="17">
        <v>0.10784295779745801</v>
      </c>
      <c r="N1680" s="17">
        <v>9.1644970838586096E-2</v>
      </c>
      <c r="O1680" s="17">
        <v>6.73879601049166E-2</v>
      </c>
    </row>
    <row r="1681" spans="2:15" x14ac:dyDescent="0.3">
      <c r="C1681" s="17"/>
      <c r="D1681" s="17"/>
      <c r="E1681" s="17"/>
      <c r="F1681" s="17"/>
      <c r="G1681" s="17"/>
      <c r="H1681" s="17"/>
      <c r="I1681" s="17"/>
      <c r="J1681" s="17"/>
      <c r="K1681" s="17"/>
      <c r="L1681" s="17"/>
      <c r="M1681" s="17"/>
      <c r="N1681" s="17"/>
      <c r="O1681" s="17"/>
    </row>
    <row r="1682" spans="2:15" x14ac:dyDescent="0.3">
      <c r="B1682" s="6" t="s">
        <v>517</v>
      </c>
      <c r="C1682" s="17"/>
      <c r="D1682" s="17"/>
      <c r="E1682" s="17"/>
      <c r="F1682" s="17"/>
      <c r="G1682" s="17"/>
      <c r="H1682" s="17"/>
      <c r="I1682" s="17"/>
      <c r="J1682" s="17"/>
      <c r="K1682" s="17"/>
      <c r="L1682" s="17"/>
      <c r="M1682" s="17"/>
      <c r="N1682" s="17"/>
      <c r="O1682" s="17"/>
    </row>
    <row r="1683" spans="2:15" x14ac:dyDescent="0.3">
      <c r="B1683" s="23" t="s">
        <v>46</v>
      </c>
      <c r="C1683" s="17"/>
      <c r="D1683" s="17"/>
      <c r="E1683" s="17"/>
      <c r="F1683" s="17"/>
      <c r="G1683" s="17"/>
      <c r="H1683" s="17"/>
      <c r="I1683" s="17"/>
      <c r="J1683" s="17"/>
      <c r="K1683" s="17"/>
      <c r="L1683" s="17"/>
      <c r="M1683" s="17"/>
      <c r="N1683" s="17"/>
      <c r="O1683" s="17"/>
    </row>
    <row r="1684" spans="2:15" x14ac:dyDescent="0.3">
      <c r="B1684" t="s">
        <v>137</v>
      </c>
      <c r="C1684" s="17">
        <v>0.30311907484804501</v>
      </c>
      <c r="D1684" s="17">
        <v>0.28853027580075702</v>
      </c>
      <c r="E1684" s="17">
        <v>0.31555457607572401</v>
      </c>
      <c r="F1684" s="17"/>
      <c r="G1684" s="17">
        <v>0.31952084431921102</v>
      </c>
      <c r="H1684" s="17">
        <v>0.30718940838015901</v>
      </c>
      <c r="I1684" s="17">
        <v>0.25231721333335799</v>
      </c>
      <c r="J1684" s="17">
        <v>0.32591704340991101</v>
      </c>
      <c r="K1684" s="17"/>
      <c r="L1684" s="17">
        <v>0.28058753362456101</v>
      </c>
      <c r="M1684" s="17">
        <v>0.32606332843826302</v>
      </c>
      <c r="N1684" s="17">
        <v>0.287174923765456</v>
      </c>
      <c r="O1684" s="17">
        <v>0.31824099179122201</v>
      </c>
    </row>
    <row r="1685" spans="2:15" x14ac:dyDescent="0.3">
      <c r="B1685" t="s">
        <v>138</v>
      </c>
      <c r="C1685" s="17">
        <v>0.46778961667794</v>
      </c>
      <c r="D1685" s="17">
        <v>0.45408989601411398</v>
      </c>
      <c r="E1685" s="17">
        <v>0.48194099413679697</v>
      </c>
      <c r="F1685" s="17"/>
      <c r="G1685" s="17">
        <v>0.49424575271306598</v>
      </c>
      <c r="H1685" s="17">
        <v>0.47195109661812301</v>
      </c>
      <c r="I1685" s="17">
        <v>0.46065175930612701</v>
      </c>
      <c r="J1685" s="17">
        <v>0.43092522773620001</v>
      </c>
      <c r="K1685" s="17"/>
      <c r="L1685" s="17">
        <v>0.49734835917367298</v>
      </c>
      <c r="M1685" s="17">
        <v>0.49254603490230198</v>
      </c>
      <c r="N1685" s="17">
        <v>0.42233792954656102</v>
      </c>
      <c r="O1685" s="17">
        <v>0.46083829745438698</v>
      </c>
    </row>
    <row r="1686" spans="2:15" x14ac:dyDescent="0.3">
      <c r="B1686" t="s">
        <v>139</v>
      </c>
      <c r="C1686" s="17">
        <v>0.139553148441563</v>
      </c>
      <c r="D1686" s="17">
        <v>0.153252522080146</v>
      </c>
      <c r="E1686" s="17">
        <v>0.12688632560083801</v>
      </c>
      <c r="F1686" s="17"/>
      <c r="G1686" s="17">
        <v>0.10757212617256</v>
      </c>
      <c r="H1686" s="17">
        <v>0.11265384271165101</v>
      </c>
      <c r="I1686" s="17">
        <v>0.18374463626118001</v>
      </c>
      <c r="J1686" s="17">
        <v>0.17248574550990001</v>
      </c>
      <c r="K1686" s="17"/>
      <c r="L1686" s="17">
        <v>0.19749537296604699</v>
      </c>
      <c r="M1686" s="17">
        <v>9.9204102863536495E-2</v>
      </c>
      <c r="N1686" s="17">
        <v>0.199349166043326</v>
      </c>
      <c r="O1686" s="17">
        <v>6.0237696303652902E-2</v>
      </c>
    </row>
    <row r="1687" spans="2:15" x14ac:dyDescent="0.3">
      <c r="B1687" t="s">
        <v>140</v>
      </c>
      <c r="C1687" s="17">
        <v>3.9176556090994498E-2</v>
      </c>
      <c r="D1687" s="17">
        <v>4.0392857264808901E-2</v>
      </c>
      <c r="E1687" s="17">
        <v>3.8247129328243097E-2</v>
      </c>
      <c r="F1687" s="17"/>
      <c r="G1687" s="17">
        <v>3.8334721006332298E-2</v>
      </c>
      <c r="H1687" s="17">
        <v>4.4747438016290303E-2</v>
      </c>
      <c r="I1687" s="17">
        <v>2.9133873321350399E-2</v>
      </c>
      <c r="J1687" s="17">
        <v>4.3425108176349397E-2</v>
      </c>
      <c r="K1687" s="17"/>
      <c r="L1687" s="17">
        <v>1.58778243285362E-2</v>
      </c>
      <c r="M1687" s="17">
        <v>1.17874716878289E-2</v>
      </c>
      <c r="N1687" s="17">
        <v>3.7558616806958399E-2</v>
      </c>
      <c r="O1687" s="17">
        <v>9.3692070450927395E-2</v>
      </c>
    </row>
    <row r="1688" spans="2:15" x14ac:dyDescent="0.3">
      <c r="B1688" t="s">
        <v>141</v>
      </c>
      <c r="C1688" s="17">
        <v>2.41464997553359E-2</v>
      </c>
      <c r="D1688" s="17">
        <v>2.7316781947003599E-2</v>
      </c>
      <c r="E1688" s="17">
        <v>2.1155787226971701E-2</v>
      </c>
      <c r="F1688" s="17"/>
      <c r="G1688" s="17">
        <v>2.5012344887053201E-2</v>
      </c>
      <c r="H1688" s="17">
        <v>2.58427061263297E-2</v>
      </c>
      <c r="I1688" s="17">
        <v>4.7471390913367502E-2</v>
      </c>
      <c r="J1688" s="17">
        <v>0</v>
      </c>
      <c r="K1688" s="17"/>
      <c r="L1688" s="17">
        <v>0</v>
      </c>
      <c r="M1688" s="17">
        <v>3.3544454389832203E-2</v>
      </c>
      <c r="N1688" s="17">
        <v>3.46306908143603E-2</v>
      </c>
      <c r="O1688" s="17">
        <v>2.6825204968709999E-2</v>
      </c>
    </row>
    <row r="1689" spans="2:15" x14ac:dyDescent="0.3">
      <c r="B1689" t="s">
        <v>142</v>
      </c>
      <c r="C1689" s="17">
        <v>2.6215104186120799E-2</v>
      </c>
      <c r="D1689" s="17">
        <v>3.6417666893170102E-2</v>
      </c>
      <c r="E1689" s="17">
        <v>1.6215187631426702E-2</v>
      </c>
      <c r="F1689" s="17"/>
      <c r="G1689" s="17">
        <v>1.53142109017772E-2</v>
      </c>
      <c r="H1689" s="17">
        <v>3.7615508147447102E-2</v>
      </c>
      <c r="I1689" s="17">
        <v>2.66811268646172E-2</v>
      </c>
      <c r="J1689" s="17">
        <v>2.7246875167639399E-2</v>
      </c>
      <c r="K1689" s="17"/>
      <c r="L1689" s="17">
        <v>8.69090990718226E-3</v>
      </c>
      <c r="M1689" s="17">
        <v>3.6854607718237301E-2</v>
      </c>
      <c r="N1689" s="17">
        <v>1.8948673023337501E-2</v>
      </c>
      <c r="O1689" s="17">
        <v>4.0165739031100801E-2</v>
      </c>
    </row>
    <row r="1690" spans="2:15" x14ac:dyDescent="0.3">
      <c r="B1690" t="s">
        <v>143</v>
      </c>
      <c r="C1690" s="17">
        <v>0.77090869152598596</v>
      </c>
      <c r="D1690" s="17">
        <v>0.74262017181487106</v>
      </c>
      <c r="E1690" s="17">
        <v>0.79749557021252104</v>
      </c>
      <c r="F1690" s="17"/>
      <c r="G1690" s="17">
        <v>0.81376659703227805</v>
      </c>
      <c r="H1690" s="17">
        <v>0.77914050499828202</v>
      </c>
      <c r="I1690" s="17">
        <v>0.712968972639485</v>
      </c>
      <c r="J1690" s="17">
        <v>0.75684227114611102</v>
      </c>
      <c r="K1690" s="17"/>
      <c r="L1690" s="17">
        <v>0.77793589279823405</v>
      </c>
      <c r="M1690" s="17">
        <v>0.818609363340565</v>
      </c>
      <c r="N1690" s="17">
        <v>0.70951285331201697</v>
      </c>
      <c r="O1690" s="17">
        <v>0.77907928924560899</v>
      </c>
    </row>
    <row r="1691" spans="2:15" x14ac:dyDescent="0.3">
      <c r="B1691" t="s">
        <v>144</v>
      </c>
      <c r="C1691" s="17">
        <v>6.3323055846330398E-2</v>
      </c>
      <c r="D1691" s="17">
        <v>6.77096392118125E-2</v>
      </c>
      <c r="E1691" s="17">
        <v>5.9402916555214798E-2</v>
      </c>
      <c r="F1691" s="17"/>
      <c r="G1691" s="17">
        <v>6.3347065893385499E-2</v>
      </c>
      <c r="H1691" s="17">
        <v>7.0590144142620007E-2</v>
      </c>
      <c r="I1691" s="17">
        <v>7.6605264234718001E-2</v>
      </c>
      <c r="J1691" s="17">
        <v>4.3425108176349397E-2</v>
      </c>
      <c r="K1691" s="17"/>
      <c r="L1691" s="17">
        <v>1.58778243285362E-2</v>
      </c>
      <c r="M1691" s="17">
        <v>4.5331926077661101E-2</v>
      </c>
      <c r="N1691" s="17">
        <v>7.2189307621318699E-2</v>
      </c>
      <c r="O1691" s="17">
        <v>0.120517275419637</v>
      </c>
    </row>
    <row r="1692" spans="2:15" x14ac:dyDescent="0.3">
      <c r="C1692" s="17"/>
      <c r="D1692" s="17"/>
      <c r="E1692" s="17"/>
      <c r="F1692" s="17"/>
      <c r="G1692" s="17"/>
      <c r="H1692" s="17"/>
      <c r="I1692" s="17"/>
      <c r="J1692" s="17"/>
      <c r="K1692" s="17"/>
      <c r="L1692" s="17"/>
      <c r="M1692" s="17"/>
      <c r="N1692" s="17"/>
      <c r="O1692" s="17"/>
    </row>
    <row r="1693" spans="2:15" x14ac:dyDescent="0.3">
      <c r="B1693" s="6" t="s">
        <v>518</v>
      </c>
      <c r="C1693" s="17"/>
      <c r="D1693" s="17"/>
      <c r="E1693" s="17"/>
      <c r="F1693" s="17"/>
      <c r="G1693" s="17"/>
      <c r="H1693" s="17"/>
      <c r="I1693" s="17"/>
      <c r="J1693" s="17"/>
      <c r="K1693" s="17"/>
      <c r="L1693" s="17"/>
      <c r="M1693" s="17"/>
      <c r="N1693" s="17"/>
      <c r="O1693" s="17"/>
    </row>
    <row r="1694" spans="2:15" x14ac:dyDescent="0.3">
      <c r="B1694" s="23" t="s">
        <v>46</v>
      </c>
      <c r="C1694" s="17"/>
      <c r="D1694" s="17"/>
      <c r="E1694" s="17"/>
      <c r="F1694" s="17"/>
      <c r="G1694" s="17"/>
      <c r="H1694" s="17"/>
      <c r="I1694" s="17"/>
      <c r="J1694" s="17"/>
      <c r="K1694" s="17"/>
      <c r="L1694" s="17"/>
      <c r="M1694" s="17"/>
      <c r="N1694" s="17"/>
      <c r="O1694" s="17"/>
    </row>
    <row r="1695" spans="2:15" x14ac:dyDescent="0.3">
      <c r="B1695" t="s">
        <v>137</v>
      </c>
      <c r="C1695" s="17">
        <v>0.11861990000912399</v>
      </c>
      <c r="D1695" s="17">
        <v>0.12365732435351801</v>
      </c>
      <c r="E1695" s="17">
        <v>0.114452623708735</v>
      </c>
      <c r="F1695" s="17"/>
      <c r="G1695" s="17">
        <v>0.171239338683631</v>
      </c>
      <c r="H1695" s="17">
        <v>0.12016825957277801</v>
      </c>
      <c r="I1695" s="17">
        <v>0.10850365944290299</v>
      </c>
      <c r="J1695" s="17">
        <v>5.0617032787173298E-2</v>
      </c>
      <c r="K1695" s="17"/>
      <c r="L1695" s="17">
        <v>5.3527863780583503E-2</v>
      </c>
      <c r="M1695" s="17">
        <v>0.119381394023217</v>
      </c>
      <c r="N1695" s="17">
        <v>0.158330453419263</v>
      </c>
      <c r="O1695" s="17">
        <v>0.13987298708879201</v>
      </c>
    </row>
    <row r="1696" spans="2:15" x14ac:dyDescent="0.3">
      <c r="B1696" t="s">
        <v>138</v>
      </c>
      <c r="C1696" s="17">
        <v>0.34590084632285001</v>
      </c>
      <c r="D1696" s="17">
        <v>0.33730067792505503</v>
      </c>
      <c r="E1696" s="17">
        <v>0.34972462738326499</v>
      </c>
      <c r="F1696" s="17"/>
      <c r="G1696" s="17">
        <v>0.40396671957022601</v>
      </c>
      <c r="H1696" s="17">
        <v>0.34353766213686998</v>
      </c>
      <c r="I1696" s="17">
        <v>0.28399254409482999</v>
      </c>
      <c r="J1696" s="17">
        <v>0.33224762511838302</v>
      </c>
      <c r="K1696" s="17"/>
      <c r="L1696" s="17">
        <v>0.39389564251429798</v>
      </c>
      <c r="M1696" s="17">
        <v>0.35676193367504699</v>
      </c>
      <c r="N1696" s="17">
        <v>0.30585353700276002</v>
      </c>
      <c r="O1696" s="17">
        <v>0.32960673822807701</v>
      </c>
    </row>
    <row r="1697" spans="2:15" x14ac:dyDescent="0.3">
      <c r="B1697" t="s">
        <v>139</v>
      </c>
      <c r="C1697" s="17">
        <v>0.25177455582675001</v>
      </c>
      <c r="D1697" s="17">
        <v>0.245234963092991</v>
      </c>
      <c r="E1697" s="17">
        <v>0.26014145793946503</v>
      </c>
      <c r="F1697" s="17"/>
      <c r="G1697" s="17">
        <v>0.19476361134489401</v>
      </c>
      <c r="H1697" s="17">
        <v>0.27573107331258401</v>
      </c>
      <c r="I1697" s="17">
        <v>0.23712886281267601</v>
      </c>
      <c r="J1697" s="17">
        <v>0.31414998186672899</v>
      </c>
      <c r="K1697" s="17"/>
      <c r="L1697" s="17">
        <v>0.19411358644214</v>
      </c>
      <c r="M1697" s="17">
        <v>0.226577190849619</v>
      </c>
      <c r="N1697" s="17">
        <v>0.28843830947751198</v>
      </c>
      <c r="O1697" s="17">
        <v>0.29682271501964602</v>
      </c>
    </row>
    <row r="1698" spans="2:15" x14ac:dyDescent="0.3">
      <c r="B1698" t="s">
        <v>140</v>
      </c>
      <c r="C1698" s="17">
        <v>0.13298123298161499</v>
      </c>
      <c r="D1698" s="17">
        <v>0.13426422595316301</v>
      </c>
      <c r="E1698" s="17">
        <v>0.13266877090641799</v>
      </c>
      <c r="F1698" s="17"/>
      <c r="G1698" s="17">
        <v>0.120926138286677</v>
      </c>
      <c r="H1698" s="17">
        <v>0.111457215546743</v>
      </c>
      <c r="I1698" s="17">
        <v>0.132360279703958</v>
      </c>
      <c r="J1698" s="17">
        <v>0.17472166638661199</v>
      </c>
      <c r="K1698" s="17"/>
      <c r="L1698" s="17">
        <v>0.19131924874974199</v>
      </c>
      <c r="M1698" s="17">
        <v>0.12676675027526499</v>
      </c>
      <c r="N1698" s="17">
        <v>0.13475819552238</v>
      </c>
      <c r="O1698" s="17">
        <v>7.9403451311764406E-2</v>
      </c>
    </row>
    <row r="1699" spans="2:15" x14ac:dyDescent="0.3">
      <c r="B1699" t="s">
        <v>141</v>
      </c>
      <c r="C1699" s="17">
        <v>8.5414456131268898E-2</v>
      </c>
      <c r="D1699" s="17">
        <v>8.7618493585870594E-2</v>
      </c>
      <c r="E1699" s="17">
        <v>8.3835365380216506E-2</v>
      </c>
      <c r="F1699" s="17"/>
      <c r="G1699" s="17">
        <v>7.3611147890689899E-2</v>
      </c>
      <c r="H1699" s="17">
        <v>7.9308435435211794E-2</v>
      </c>
      <c r="I1699" s="17">
        <v>0.13877246689352299</v>
      </c>
      <c r="J1699" s="17">
        <v>5.9690767873578299E-2</v>
      </c>
      <c r="K1699" s="17"/>
      <c r="L1699" s="17">
        <v>9.0334568373679897E-2</v>
      </c>
      <c r="M1699" s="17">
        <v>9.32691746453225E-2</v>
      </c>
      <c r="N1699" s="17">
        <v>4.9293318714267197E-2</v>
      </c>
      <c r="O1699" s="17">
        <v>0.11117580314367299</v>
      </c>
    </row>
    <row r="1700" spans="2:15" x14ac:dyDescent="0.3">
      <c r="B1700" t="s">
        <v>142</v>
      </c>
      <c r="C1700" s="17">
        <v>6.5309008728391502E-2</v>
      </c>
      <c r="D1700" s="17">
        <v>7.1924315089403307E-2</v>
      </c>
      <c r="E1700" s="17">
        <v>5.9177154681899997E-2</v>
      </c>
      <c r="F1700" s="17"/>
      <c r="G1700" s="17">
        <v>3.5493044223881103E-2</v>
      </c>
      <c r="H1700" s="17">
        <v>6.9797353995813396E-2</v>
      </c>
      <c r="I1700" s="17">
        <v>9.9242187052109798E-2</v>
      </c>
      <c r="J1700" s="17">
        <v>6.8572925967524206E-2</v>
      </c>
      <c r="K1700" s="17"/>
      <c r="L1700" s="17">
        <v>7.6809090139557001E-2</v>
      </c>
      <c r="M1700" s="17">
        <v>7.7243556531529006E-2</v>
      </c>
      <c r="N1700" s="17">
        <v>6.3326185863817594E-2</v>
      </c>
      <c r="O1700" s="17">
        <v>4.3118305208048498E-2</v>
      </c>
    </row>
    <row r="1701" spans="2:15" x14ac:dyDescent="0.3">
      <c r="B1701" t="s">
        <v>143</v>
      </c>
      <c r="C1701" s="17">
        <v>0.46452074633197399</v>
      </c>
      <c r="D1701" s="17">
        <v>0.46095800227857198</v>
      </c>
      <c r="E1701" s="17">
        <v>0.46417725109199998</v>
      </c>
      <c r="F1701" s="17"/>
      <c r="G1701" s="17">
        <v>0.57520605825385696</v>
      </c>
      <c r="H1701" s="17">
        <v>0.46370592170964797</v>
      </c>
      <c r="I1701" s="17">
        <v>0.39249620353773301</v>
      </c>
      <c r="J1701" s="17">
        <v>0.38286465790555602</v>
      </c>
      <c r="K1701" s="17"/>
      <c r="L1701" s="17">
        <v>0.44742350629488098</v>
      </c>
      <c r="M1701" s="17">
        <v>0.47614332769826401</v>
      </c>
      <c r="N1701" s="17">
        <v>0.46418399042202302</v>
      </c>
      <c r="O1701" s="17">
        <v>0.46947972531686799</v>
      </c>
    </row>
    <row r="1702" spans="2:15" x14ac:dyDescent="0.3">
      <c r="B1702" t="s">
        <v>144</v>
      </c>
      <c r="C1702" s="17">
        <v>0.21839568911288401</v>
      </c>
      <c r="D1702" s="17">
        <v>0.22188271953903399</v>
      </c>
      <c r="E1702" s="17">
        <v>0.21650413628663401</v>
      </c>
      <c r="F1702" s="17"/>
      <c r="G1702" s="17">
        <v>0.19453728617736701</v>
      </c>
      <c r="H1702" s="17">
        <v>0.190765650981955</v>
      </c>
      <c r="I1702" s="17">
        <v>0.27113274659748099</v>
      </c>
      <c r="J1702" s="17">
        <v>0.23441243426019101</v>
      </c>
      <c r="K1702" s="17"/>
      <c r="L1702" s="17">
        <v>0.28165381712342102</v>
      </c>
      <c r="M1702" s="17">
        <v>0.22003592492058799</v>
      </c>
      <c r="N1702" s="17">
        <v>0.18405151423664701</v>
      </c>
      <c r="O1702" s="17">
        <v>0.190579254455438</v>
      </c>
    </row>
    <row r="1703" spans="2:15" x14ac:dyDescent="0.3">
      <c r="C1703" s="17"/>
      <c r="D1703" s="17"/>
      <c r="E1703" s="17"/>
      <c r="F1703" s="17"/>
      <c r="G1703" s="17"/>
      <c r="H1703" s="17"/>
      <c r="I1703" s="17"/>
      <c r="J1703" s="17"/>
      <c r="K1703" s="17"/>
      <c r="L1703" s="17"/>
      <c r="M1703" s="17"/>
      <c r="N1703" s="17"/>
      <c r="O1703" s="17"/>
    </row>
    <row r="1704" spans="2:15" x14ac:dyDescent="0.3">
      <c r="B1704" s="6" t="s">
        <v>519</v>
      </c>
      <c r="C1704" s="17"/>
      <c r="D1704" s="17"/>
      <c r="E1704" s="17"/>
      <c r="F1704" s="17"/>
      <c r="G1704" s="17"/>
      <c r="H1704" s="17"/>
      <c r="I1704" s="17"/>
      <c r="J1704" s="17"/>
      <c r="K1704" s="17"/>
      <c r="L1704" s="17"/>
      <c r="M1704" s="17"/>
      <c r="N1704" s="17"/>
      <c r="O1704" s="17"/>
    </row>
    <row r="1705" spans="2:15" x14ac:dyDescent="0.3">
      <c r="B1705" s="23" t="s">
        <v>46</v>
      </c>
      <c r="C1705" s="17"/>
      <c r="D1705" s="17"/>
      <c r="E1705" s="17"/>
      <c r="F1705" s="17"/>
      <c r="G1705" s="17"/>
      <c r="H1705" s="17"/>
      <c r="I1705" s="17"/>
      <c r="J1705" s="17"/>
      <c r="K1705" s="17"/>
      <c r="L1705" s="17"/>
      <c r="M1705" s="17"/>
      <c r="N1705" s="17"/>
      <c r="O1705" s="17"/>
    </row>
    <row r="1706" spans="2:15" x14ac:dyDescent="0.3">
      <c r="B1706" t="s">
        <v>137</v>
      </c>
      <c r="C1706" s="17">
        <v>0.119407784247802</v>
      </c>
      <c r="D1706" s="17">
        <v>0.13086851753825199</v>
      </c>
      <c r="E1706" s="17">
        <v>0.108830249582808</v>
      </c>
      <c r="F1706" s="17"/>
      <c r="G1706" s="17">
        <v>0.15814514947733499</v>
      </c>
      <c r="H1706" s="17">
        <v>9.4092247412767394E-2</v>
      </c>
      <c r="I1706" s="17">
        <v>9.3575832770192699E-2</v>
      </c>
      <c r="J1706" s="17">
        <v>0.114310513514811</v>
      </c>
      <c r="K1706" s="17"/>
      <c r="L1706" s="17">
        <v>7.8490771063951303E-2</v>
      </c>
      <c r="M1706" s="17">
        <v>0.13694627489465999</v>
      </c>
      <c r="N1706" s="17">
        <v>0.149173581297328</v>
      </c>
      <c r="O1706" s="17">
        <v>0.10921135311395699</v>
      </c>
    </row>
    <row r="1707" spans="2:15" x14ac:dyDescent="0.3">
      <c r="B1707" t="s">
        <v>138</v>
      </c>
      <c r="C1707" s="17">
        <v>0.34933195382203502</v>
      </c>
      <c r="D1707" s="17">
        <v>0.34419182518559899</v>
      </c>
      <c r="E1707" s="17">
        <v>0.354070245453806</v>
      </c>
      <c r="F1707" s="17"/>
      <c r="G1707" s="17">
        <v>0.39642583885438698</v>
      </c>
      <c r="H1707" s="17">
        <v>0.37767542652004199</v>
      </c>
      <c r="I1707" s="17">
        <v>0.287532414282749</v>
      </c>
      <c r="J1707" s="17">
        <v>0.31503668964245501</v>
      </c>
      <c r="K1707" s="17"/>
      <c r="L1707" s="17">
        <v>0.39585961363308297</v>
      </c>
      <c r="M1707" s="17">
        <v>0.32892240801135603</v>
      </c>
      <c r="N1707" s="17">
        <v>0.31581935479141998</v>
      </c>
      <c r="O1707" s="17">
        <v>0.36106533315109601</v>
      </c>
    </row>
    <row r="1708" spans="2:15" x14ac:dyDescent="0.3">
      <c r="B1708" t="s">
        <v>139</v>
      </c>
      <c r="C1708" s="17">
        <v>0.17879293988786699</v>
      </c>
      <c r="D1708" s="17">
        <v>0.17210873607428201</v>
      </c>
      <c r="E1708" s="17">
        <v>0.186772451329344</v>
      </c>
      <c r="F1708" s="17"/>
      <c r="G1708" s="17">
        <v>0.153710196660199</v>
      </c>
      <c r="H1708" s="17">
        <v>0.14900657445712301</v>
      </c>
      <c r="I1708" s="17">
        <v>0.24355083096320901</v>
      </c>
      <c r="J1708" s="17">
        <v>0.187566391815986</v>
      </c>
      <c r="K1708" s="17"/>
      <c r="L1708" s="17">
        <v>0.13433981619959401</v>
      </c>
      <c r="M1708" s="17">
        <v>0.17227451378174699</v>
      </c>
      <c r="N1708" s="17">
        <v>0.24657502052590399</v>
      </c>
      <c r="O1708" s="17">
        <v>0.156827722483942</v>
      </c>
    </row>
    <row r="1709" spans="2:15" x14ac:dyDescent="0.3">
      <c r="B1709" t="s">
        <v>140</v>
      </c>
      <c r="C1709" s="17">
        <v>0.190696178182584</v>
      </c>
      <c r="D1709" s="17">
        <v>0.180012978828687</v>
      </c>
      <c r="E1709" s="17">
        <v>0.202756876913324</v>
      </c>
      <c r="F1709" s="17"/>
      <c r="G1709" s="17">
        <v>0.15979306025968201</v>
      </c>
      <c r="H1709" s="17">
        <v>0.22080974407107601</v>
      </c>
      <c r="I1709" s="17">
        <v>0.20556423318990899</v>
      </c>
      <c r="J1709" s="17">
        <v>0.184684778127161</v>
      </c>
      <c r="K1709" s="17"/>
      <c r="L1709" s="17">
        <v>0.26430896246392399</v>
      </c>
      <c r="M1709" s="17">
        <v>0.19078554761556499</v>
      </c>
      <c r="N1709" s="17">
        <v>0.146487249100442</v>
      </c>
      <c r="O1709" s="17">
        <v>0.16488026056232799</v>
      </c>
    </row>
    <row r="1710" spans="2:15" x14ac:dyDescent="0.3">
      <c r="B1710" t="s">
        <v>141</v>
      </c>
      <c r="C1710" s="17">
        <v>0.116335871621462</v>
      </c>
      <c r="D1710" s="17">
        <v>0.12568856703293099</v>
      </c>
      <c r="E1710" s="17">
        <v>0.107841590233602</v>
      </c>
      <c r="F1710" s="17"/>
      <c r="G1710" s="17">
        <v>0.110893884911555</v>
      </c>
      <c r="H1710" s="17">
        <v>8.9057960483751503E-2</v>
      </c>
      <c r="I1710" s="17">
        <v>0.123655557952421</v>
      </c>
      <c r="J1710" s="17">
        <v>0.148620877479959</v>
      </c>
      <c r="K1710" s="17"/>
      <c r="L1710" s="17">
        <v>0.10916689496753899</v>
      </c>
      <c r="M1710" s="17">
        <v>0.11417651153316</v>
      </c>
      <c r="N1710" s="17">
        <v>0.10519083891353601</v>
      </c>
      <c r="O1710" s="17">
        <v>0.13790158168275099</v>
      </c>
    </row>
    <row r="1711" spans="2:15" x14ac:dyDescent="0.3">
      <c r="B1711" t="s">
        <v>142</v>
      </c>
      <c r="C1711" s="17">
        <v>4.54352722382491E-2</v>
      </c>
      <c r="D1711" s="17">
        <v>4.7129375340249802E-2</v>
      </c>
      <c r="E1711" s="17">
        <v>3.9728586487116399E-2</v>
      </c>
      <c r="F1711" s="17"/>
      <c r="G1711" s="17">
        <v>2.1031869836841799E-2</v>
      </c>
      <c r="H1711" s="17">
        <v>6.9358047055239305E-2</v>
      </c>
      <c r="I1711" s="17">
        <v>4.6121130841519899E-2</v>
      </c>
      <c r="J1711" s="17">
        <v>4.97807494196277E-2</v>
      </c>
      <c r="K1711" s="17"/>
      <c r="L1711" s="17">
        <v>1.7833941671908601E-2</v>
      </c>
      <c r="M1711" s="17">
        <v>5.6894744163512402E-2</v>
      </c>
      <c r="N1711" s="17">
        <v>3.67539553713696E-2</v>
      </c>
      <c r="O1711" s="17">
        <v>7.0113749005925805E-2</v>
      </c>
    </row>
    <row r="1712" spans="2:15" x14ac:dyDescent="0.3">
      <c r="B1712" t="s">
        <v>143</v>
      </c>
      <c r="C1712" s="17">
        <v>0.46873973806983799</v>
      </c>
      <c r="D1712" s="17">
        <v>0.475060342723851</v>
      </c>
      <c r="E1712" s="17">
        <v>0.46290049503661401</v>
      </c>
      <c r="F1712" s="17"/>
      <c r="G1712" s="17">
        <v>0.55457098833172203</v>
      </c>
      <c r="H1712" s="17">
        <v>0.47176767393280999</v>
      </c>
      <c r="I1712" s="17">
        <v>0.381108247052942</v>
      </c>
      <c r="J1712" s="17">
        <v>0.42934720315726599</v>
      </c>
      <c r="K1712" s="17"/>
      <c r="L1712" s="17">
        <v>0.474350384697035</v>
      </c>
      <c r="M1712" s="17">
        <v>0.46586868290601602</v>
      </c>
      <c r="N1712" s="17">
        <v>0.46499293608874798</v>
      </c>
      <c r="O1712" s="17">
        <v>0.47027668626505298</v>
      </c>
    </row>
    <row r="1713" spans="2:15" x14ac:dyDescent="0.3">
      <c r="B1713" t="s">
        <v>144</v>
      </c>
      <c r="C1713" s="17">
        <v>0.30703204980404603</v>
      </c>
      <c r="D1713" s="17">
        <v>0.30570154586161802</v>
      </c>
      <c r="E1713" s="17">
        <v>0.31059846714692602</v>
      </c>
      <c r="F1713" s="17"/>
      <c r="G1713" s="17">
        <v>0.27068694517123698</v>
      </c>
      <c r="H1713" s="17">
        <v>0.30986770455482798</v>
      </c>
      <c r="I1713" s="17">
        <v>0.32921979114233002</v>
      </c>
      <c r="J1713" s="17">
        <v>0.333305655607121</v>
      </c>
      <c r="K1713" s="17"/>
      <c r="L1713" s="17">
        <v>0.373475857431463</v>
      </c>
      <c r="M1713" s="17">
        <v>0.30496205914872498</v>
      </c>
      <c r="N1713" s="17">
        <v>0.25167808801397801</v>
      </c>
      <c r="O1713" s="17">
        <v>0.30278184224507998</v>
      </c>
    </row>
    <row r="1714" spans="2:15" x14ac:dyDescent="0.3">
      <c r="C1714" s="17"/>
      <c r="D1714" s="17"/>
      <c r="E1714" s="17"/>
      <c r="F1714" s="17"/>
      <c r="G1714" s="17"/>
      <c r="H1714" s="17"/>
      <c r="I1714" s="17"/>
      <c r="J1714" s="17"/>
      <c r="K1714" s="17"/>
      <c r="L1714" s="17"/>
      <c r="M1714" s="17"/>
      <c r="N1714" s="17"/>
      <c r="O1714" s="17"/>
    </row>
    <row r="1715" spans="2:15" x14ac:dyDescent="0.3">
      <c r="B1715" s="6" t="s">
        <v>520</v>
      </c>
      <c r="C1715" s="17"/>
      <c r="D1715" s="17"/>
      <c r="E1715" s="17"/>
      <c r="F1715" s="17"/>
      <c r="G1715" s="17"/>
      <c r="H1715" s="17"/>
      <c r="I1715" s="17"/>
      <c r="J1715" s="17"/>
      <c r="K1715" s="17"/>
      <c r="L1715" s="17"/>
      <c r="M1715" s="17"/>
      <c r="N1715" s="17"/>
      <c r="O1715" s="17"/>
    </row>
    <row r="1716" spans="2:15" x14ac:dyDescent="0.3">
      <c r="B1716" s="23" t="s">
        <v>46</v>
      </c>
      <c r="C1716" s="17"/>
      <c r="D1716" s="17"/>
      <c r="E1716" s="17"/>
      <c r="F1716" s="17"/>
      <c r="G1716" s="17"/>
      <c r="H1716" s="17"/>
      <c r="I1716" s="17"/>
      <c r="J1716" s="17"/>
      <c r="K1716" s="17"/>
      <c r="L1716" s="17"/>
      <c r="M1716" s="17"/>
      <c r="N1716" s="17"/>
      <c r="O1716" s="17"/>
    </row>
    <row r="1717" spans="2:15" x14ac:dyDescent="0.3">
      <c r="B1717" t="s">
        <v>137</v>
      </c>
      <c r="C1717" s="17">
        <v>1.8057507427526601E-2</v>
      </c>
      <c r="D1717" s="17">
        <v>1.5370413784445499E-2</v>
      </c>
      <c r="E1717" s="17">
        <v>2.0873133485690601E-2</v>
      </c>
      <c r="F1717" s="17"/>
      <c r="G1717" s="17">
        <v>3.5013524205329299E-2</v>
      </c>
      <c r="H1717" s="17">
        <v>1.9903544429069601E-2</v>
      </c>
      <c r="I1717" s="17">
        <v>0</v>
      </c>
      <c r="J1717" s="17">
        <v>1.05155280745839E-2</v>
      </c>
      <c r="K1717" s="17"/>
      <c r="L1717" s="17">
        <v>2.22209996833015E-2</v>
      </c>
      <c r="M1717" s="17">
        <v>4.0783789730608304E-3</v>
      </c>
      <c r="N1717" s="17">
        <v>4.4764124512878797E-2</v>
      </c>
      <c r="O1717" s="17">
        <v>0</v>
      </c>
    </row>
    <row r="1718" spans="2:15" x14ac:dyDescent="0.3">
      <c r="B1718" t="s">
        <v>138</v>
      </c>
      <c r="C1718" s="17">
        <v>8.4145655336274106E-2</v>
      </c>
      <c r="D1718" s="17">
        <v>9.3057143790748295E-2</v>
      </c>
      <c r="E1718" s="17">
        <v>7.5857499858565297E-2</v>
      </c>
      <c r="F1718" s="17"/>
      <c r="G1718" s="17">
        <v>0.102608238543504</v>
      </c>
      <c r="H1718" s="17">
        <v>6.3759664298535704E-2</v>
      </c>
      <c r="I1718" s="17">
        <v>8.6081955741267299E-2</v>
      </c>
      <c r="J1718" s="17">
        <v>8.2153201299376005E-2</v>
      </c>
      <c r="K1718" s="17"/>
      <c r="L1718" s="17">
        <v>8.1306419388382095E-2</v>
      </c>
      <c r="M1718" s="17">
        <v>9.4821661709943203E-2</v>
      </c>
      <c r="N1718" s="17">
        <v>7.6677564826858696E-2</v>
      </c>
      <c r="O1718" s="17">
        <v>8.3590527934055595E-2</v>
      </c>
    </row>
    <row r="1719" spans="2:15" x14ac:dyDescent="0.3">
      <c r="B1719" t="s">
        <v>139</v>
      </c>
      <c r="C1719" s="17">
        <v>0.102122558420599</v>
      </c>
      <c r="D1719" s="17">
        <v>0.102345478037247</v>
      </c>
      <c r="E1719" s="17">
        <v>0.102644087760886</v>
      </c>
      <c r="F1719" s="17"/>
      <c r="G1719" s="17">
        <v>9.1106997859928499E-2</v>
      </c>
      <c r="H1719" s="17">
        <v>0.102162373036128</v>
      </c>
      <c r="I1719" s="17">
        <v>9.3787078493935305E-2</v>
      </c>
      <c r="J1719" s="17">
        <v>0.124831490934443</v>
      </c>
      <c r="K1719" s="17"/>
      <c r="L1719" s="17">
        <v>9.0142990678461099E-2</v>
      </c>
      <c r="M1719" s="17">
        <v>5.1042956069634098E-2</v>
      </c>
      <c r="N1719" s="17">
        <v>0.17098241396157099</v>
      </c>
      <c r="O1719" s="17">
        <v>9.4453218522420904E-2</v>
      </c>
    </row>
    <row r="1720" spans="2:15" x14ac:dyDescent="0.3">
      <c r="B1720" t="s">
        <v>140</v>
      </c>
      <c r="C1720" s="17">
        <v>0.18755194806004299</v>
      </c>
      <c r="D1720" s="17">
        <v>0.199045524329935</v>
      </c>
      <c r="E1720" s="17">
        <v>0.174496526596775</v>
      </c>
      <c r="F1720" s="17"/>
      <c r="G1720" s="17">
        <v>0.16848221760864099</v>
      </c>
      <c r="H1720" s="17">
        <v>0.16572788113669901</v>
      </c>
      <c r="I1720" s="17">
        <v>0.191497717265116</v>
      </c>
      <c r="J1720" s="17">
        <v>0.227096501450778</v>
      </c>
      <c r="K1720" s="17"/>
      <c r="L1720" s="17">
        <v>0.21341464946371799</v>
      </c>
      <c r="M1720" s="17">
        <v>0.138785734256725</v>
      </c>
      <c r="N1720" s="17">
        <v>0.20346829250472101</v>
      </c>
      <c r="O1720" s="17">
        <v>0.19690716411456499</v>
      </c>
    </row>
    <row r="1721" spans="2:15" x14ac:dyDescent="0.3">
      <c r="B1721" t="s">
        <v>141</v>
      </c>
      <c r="C1721" s="17">
        <v>0.58246651298089702</v>
      </c>
      <c r="D1721" s="17">
        <v>0.56387243915338703</v>
      </c>
      <c r="E1721" s="17">
        <v>0.60093841336680598</v>
      </c>
      <c r="F1721" s="17"/>
      <c r="G1721" s="17">
        <v>0.58524832240472502</v>
      </c>
      <c r="H1721" s="17">
        <v>0.61141880742990995</v>
      </c>
      <c r="I1721" s="17">
        <v>0.59849852593642205</v>
      </c>
      <c r="J1721" s="17">
        <v>0.53597570827708996</v>
      </c>
      <c r="K1721" s="17"/>
      <c r="L1721" s="17">
        <v>0.56733369596565897</v>
      </c>
      <c r="M1721" s="17">
        <v>0.68030717751579195</v>
      </c>
      <c r="N1721" s="17">
        <v>0.48312327662754501</v>
      </c>
      <c r="O1721" s="17">
        <v>0.59996833328836696</v>
      </c>
    </row>
    <row r="1722" spans="2:15" x14ac:dyDescent="0.3">
      <c r="B1722" t="s">
        <v>142</v>
      </c>
      <c r="C1722" s="17">
        <v>2.565581777466E-2</v>
      </c>
      <c r="D1722" s="17">
        <v>2.6309000904237299E-2</v>
      </c>
      <c r="E1722" s="17">
        <v>2.51903389312776E-2</v>
      </c>
      <c r="F1722" s="17"/>
      <c r="G1722" s="17">
        <v>1.75406993778729E-2</v>
      </c>
      <c r="H1722" s="17">
        <v>3.7027729669656902E-2</v>
      </c>
      <c r="I1722" s="17">
        <v>3.0134722563259001E-2</v>
      </c>
      <c r="J1722" s="17">
        <v>1.94275699637282E-2</v>
      </c>
      <c r="K1722" s="17"/>
      <c r="L1722" s="17">
        <v>2.5581244820478601E-2</v>
      </c>
      <c r="M1722" s="17">
        <v>3.0964091474845901E-2</v>
      </c>
      <c r="N1722" s="17">
        <v>2.09843275664259E-2</v>
      </c>
      <c r="O1722" s="17">
        <v>2.5080756140591801E-2</v>
      </c>
    </row>
    <row r="1723" spans="2:15" x14ac:dyDescent="0.3">
      <c r="B1723" t="s">
        <v>143</v>
      </c>
      <c r="C1723" s="17">
        <v>0.10220316276380099</v>
      </c>
      <c r="D1723" s="17">
        <v>0.108427557575194</v>
      </c>
      <c r="E1723" s="17">
        <v>9.6730633344255995E-2</v>
      </c>
      <c r="F1723" s="17"/>
      <c r="G1723" s="17">
        <v>0.137621762748833</v>
      </c>
      <c r="H1723" s="17">
        <v>8.3663208727605298E-2</v>
      </c>
      <c r="I1723" s="17">
        <v>8.6081955741267299E-2</v>
      </c>
      <c r="J1723" s="17">
        <v>9.2668729373959993E-2</v>
      </c>
      <c r="K1723" s="17"/>
      <c r="L1723" s="17">
        <v>0.103527419071684</v>
      </c>
      <c r="M1723" s="17">
        <v>9.8900040683003995E-2</v>
      </c>
      <c r="N1723" s="17">
        <v>0.12144168933973799</v>
      </c>
      <c r="O1723" s="17">
        <v>8.3590527934055595E-2</v>
      </c>
    </row>
    <row r="1724" spans="2:15" x14ac:dyDescent="0.3">
      <c r="B1724" t="s">
        <v>144</v>
      </c>
      <c r="C1724" s="17">
        <v>0.77001846104093996</v>
      </c>
      <c r="D1724" s="17">
        <v>0.76291796348332197</v>
      </c>
      <c r="E1724" s="17">
        <v>0.77543493996358104</v>
      </c>
      <c r="F1724" s="17"/>
      <c r="G1724" s="17">
        <v>0.75373054001336603</v>
      </c>
      <c r="H1724" s="17">
        <v>0.77714668856660896</v>
      </c>
      <c r="I1724" s="17">
        <v>0.78999624320153805</v>
      </c>
      <c r="J1724" s="17">
        <v>0.76307220972786804</v>
      </c>
      <c r="K1724" s="17"/>
      <c r="L1724" s="17">
        <v>0.78074834542937699</v>
      </c>
      <c r="M1724" s="17">
        <v>0.81909291177251597</v>
      </c>
      <c r="N1724" s="17">
        <v>0.68659156913226604</v>
      </c>
      <c r="O1724" s="17">
        <v>0.79687549740293195</v>
      </c>
    </row>
    <row r="1725" spans="2:15" x14ac:dyDescent="0.3">
      <c r="C1725" s="17"/>
      <c r="D1725" s="17"/>
      <c r="E1725" s="17"/>
      <c r="F1725" s="17"/>
      <c r="G1725" s="17"/>
      <c r="H1725" s="17"/>
      <c r="I1725" s="17"/>
      <c r="J1725" s="17"/>
      <c r="K1725" s="17"/>
      <c r="L1725" s="17"/>
      <c r="M1725" s="17"/>
      <c r="N1725" s="17"/>
      <c r="O1725" s="17"/>
    </row>
    <row r="1726" spans="2:15" x14ac:dyDescent="0.3">
      <c r="B1726" s="6" t="s">
        <v>521</v>
      </c>
      <c r="C1726" s="17"/>
      <c r="D1726" s="17"/>
      <c r="E1726" s="17"/>
      <c r="F1726" s="17"/>
      <c r="G1726" s="17"/>
      <c r="H1726" s="17"/>
      <c r="I1726" s="17"/>
      <c r="J1726" s="17"/>
      <c r="K1726" s="17"/>
      <c r="L1726" s="17"/>
      <c r="M1726" s="17"/>
      <c r="N1726" s="17"/>
      <c r="O1726" s="17"/>
    </row>
    <row r="1727" spans="2:15" x14ac:dyDescent="0.3">
      <c r="B1727" s="23" t="s">
        <v>46</v>
      </c>
      <c r="C1727" s="17"/>
      <c r="D1727" s="17"/>
      <c r="E1727" s="17"/>
      <c r="F1727" s="17"/>
      <c r="G1727" s="17"/>
      <c r="H1727" s="17"/>
      <c r="I1727" s="17"/>
      <c r="J1727" s="17"/>
      <c r="K1727" s="17"/>
      <c r="L1727" s="17"/>
      <c r="M1727" s="17"/>
      <c r="N1727" s="17"/>
      <c r="O1727" s="17"/>
    </row>
    <row r="1728" spans="2:15" x14ac:dyDescent="0.3">
      <c r="B1728" t="s">
        <v>137</v>
      </c>
      <c r="C1728" s="17">
        <v>2.51821204447541E-2</v>
      </c>
      <c r="D1728" s="17">
        <v>3.0949894796464199E-2</v>
      </c>
      <c r="E1728" s="17">
        <v>1.9604418283853502E-2</v>
      </c>
      <c r="F1728" s="17"/>
      <c r="G1728" s="17">
        <v>3.47325821722776E-2</v>
      </c>
      <c r="H1728" s="17">
        <v>2.8342792107232801E-2</v>
      </c>
      <c r="I1728" s="17">
        <v>1.89321301929265E-2</v>
      </c>
      <c r="J1728" s="17">
        <v>1.5067914667240801E-2</v>
      </c>
      <c r="K1728" s="17"/>
      <c r="L1728" s="17">
        <v>3.0152179611074099E-2</v>
      </c>
      <c r="M1728" s="17">
        <v>2.9718922841458301E-2</v>
      </c>
      <c r="N1728" s="17">
        <v>3.9334331272875202E-2</v>
      </c>
      <c r="O1728" s="17">
        <v>0</v>
      </c>
    </row>
    <row r="1729" spans="2:15" x14ac:dyDescent="0.3">
      <c r="B1729" t="s">
        <v>138</v>
      </c>
      <c r="C1729" s="17">
        <v>0.113257546384983</v>
      </c>
      <c r="D1729" s="17">
        <v>0.10475657676005801</v>
      </c>
      <c r="E1729" s="17">
        <v>0.122574181830323</v>
      </c>
      <c r="F1729" s="17"/>
      <c r="G1729" s="17">
        <v>0.13705985804885301</v>
      </c>
      <c r="H1729" s="17">
        <v>0.108868104298394</v>
      </c>
      <c r="I1729" s="17">
        <v>0.1080204315398</v>
      </c>
      <c r="J1729" s="17">
        <v>9.2937131939884496E-2</v>
      </c>
      <c r="K1729" s="17"/>
      <c r="L1729" s="17">
        <v>9.8908780593566295E-2</v>
      </c>
      <c r="M1729" s="17">
        <v>9.4709621500513499E-2</v>
      </c>
      <c r="N1729" s="17">
        <v>0.102347606212148</v>
      </c>
      <c r="O1729" s="17">
        <v>0.15937848473935301</v>
      </c>
    </row>
    <row r="1730" spans="2:15" x14ac:dyDescent="0.3">
      <c r="B1730" t="s">
        <v>139</v>
      </c>
      <c r="C1730" s="17">
        <v>0.14616966228228101</v>
      </c>
      <c r="D1730" s="17">
        <v>0.183721306923193</v>
      </c>
      <c r="E1730" s="17">
        <v>0.10972592618422999</v>
      </c>
      <c r="F1730" s="17"/>
      <c r="G1730" s="17">
        <v>8.8168751979901303E-2</v>
      </c>
      <c r="H1730" s="17">
        <v>0.11395298741286899</v>
      </c>
      <c r="I1730" s="17">
        <v>0.21265743199801601</v>
      </c>
      <c r="J1730" s="17">
        <v>0.19870855527313599</v>
      </c>
      <c r="K1730" s="17"/>
      <c r="L1730" s="17">
        <v>0.16046417484150899</v>
      </c>
      <c r="M1730" s="17">
        <v>0.14048657750244301</v>
      </c>
      <c r="N1730" s="17">
        <v>0.17350418368627299</v>
      </c>
      <c r="O1730" s="17">
        <v>0.108376373040979</v>
      </c>
    </row>
    <row r="1731" spans="2:15" x14ac:dyDescent="0.3">
      <c r="B1731" t="s">
        <v>140</v>
      </c>
      <c r="C1731" s="17">
        <v>0.308020807681672</v>
      </c>
      <c r="D1731" s="17">
        <v>0.30208669871091498</v>
      </c>
      <c r="E1731" s="17">
        <v>0.31325113044604702</v>
      </c>
      <c r="F1731" s="17"/>
      <c r="G1731" s="17">
        <v>0.2825694268326</v>
      </c>
      <c r="H1731" s="17">
        <v>0.34573364186664701</v>
      </c>
      <c r="I1731" s="17">
        <v>0.27572271310464502</v>
      </c>
      <c r="J1731" s="17">
        <v>0.32233103540693497</v>
      </c>
      <c r="K1731" s="17"/>
      <c r="L1731" s="17">
        <v>0.30028628263495499</v>
      </c>
      <c r="M1731" s="17">
        <v>0.29132655624091502</v>
      </c>
      <c r="N1731" s="17">
        <v>0.32942191544732702</v>
      </c>
      <c r="O1731" s="17">
        <v>0.31052976677459398</v>
      </c>
    </row>
    <row r="1732" spans="2:15" x14ac:dyDescent="0.3">
      <c r="B1732" t="s">
        <v>141</v>
      </c>
      <c r="C1732" s="17">
        <v>0.36491936886913601</v>
      </c>
      <c r="D1732" s="17">
        <v>0.31777897679016298</v>
      </c>
      <c r="E1732" s="17">
        <v>0.410319778649399</v>
      </c>
      <c r="F1732" s="17"/>
      <c r="G1732" s="17">
        <v>0.44791364689865698</v>
      </c>
      <c r="H1732" s="17">
        <v>0.34005131062209898</v>
      </c>
      <c r="I1732" s="17">
        <v>0.32738479396862302</v>
      </c>
      <c r="J1732" s="17">
        <v>0.32227030109469301</v>
      </c>
      <c r="K1732" s="17"/>
      <c r="L1732" s="17">
        <v>0.37425415584639099</v>
      </c>
      <c r="M1732" s="17">
        <v>0.39928288101621601</v>
      </c>
      <c r="N1732" s="17">
        <v>0.31798446248087198</v>
      </c>
      <c r="O1732" s="17">
        <v>0.36946392195730698</v>
      </c>
    </row>
    <row r="1733" spans="2:15" x14ac:dyDescent="0.3">
      <c r="B1733" t="s">
        <v>142</v>
      </c>
      <c r="C1733" s="17">
        <v>4.2450494337174099E-2</v>
      </c>
      <c r="D1733" s="17">
        <v>6.0706546019206803E-2</v>
      </c>
      <c r="E1733" s="17">
        <v>2.45245646061471E-2</v>
      </c>
      <c r="F1733" s="17"/>
      <c r="G1733" s="17">
        <v>9.5557340677106997E-3</v>
      </c>
      <c r="H1733" s="17">
        <v>6.30511636927574E-2</v>
      </c>
      <c r="I1733" s="17">
        <v>5.7282499195988601E-2</v>
      </c>
      <c r="J1733" s="17">
        <v>4.8685061618110197E-2</v>
      </c>
      <c r="K1733" s="17"/>
      <c r="L1733" s="17">
        <v>3.5934426472504201E-2</v>
      </c>
      <c r="M1733" s="17">
        <v>4.44754408984546E-2</v>
      </c>
      <c r="N1733" s="17">
        <v>3.7407500900504403E-2</v>
      </c>
      <c r="O1733" s="17">
        <v>5.2251453487767899E-2</v>
      </c>
    </row>
    <row r="1734" spans="2:15" x14ac:dyDescent="0.3">
      <c r="B1734" t="s">
        <v>143</v>
      </c>
      <c r="C1734" s="17">
        <v>0.13843966682973699</v>
      </c>
      <c r="D1734" s="17">
        <v>0.13570647155652199</v>
      </c>
      <c r="E1734" s="17">
        <v>0.14217860011417599</v>
      </c>
      <c r="F1734" s="17"/>
      <c r="G1734" s="17">
        <v>0.17179244022112999</v>
      </c>
      <c r="H1734" s="17">
        <v>0.137210896405627</v>
      </c>
      <c r="I1734" s="17">
        <v>0.12695256173272701</v>
      </c>
      <c r="J1734" s="17">
        <v>0.108005046607125</v>
      </c>
      <c r="K1734" s="17"/>
      <c r="L1734" s="17">
        <v>0.12906096020464</v>
      </c>
      <c r="M1734" s="17">
        <v>0.12442854434197199</v>
      </c>
      <c r="N1734" s="17">
        <v>0.141681937485023</v>
      </c>
      <c r="O1734" s="17">
        <v>0.15937848473935301</v>
      </c>
    </row>
    <row r="1735" spans="2:15" x14ac:dyDescent="0.3">
      <c r="B1735" t="s">
        <v>144</v>
      </c>
      <c r="C1735" s="17">
        <v>0.67294017655080796</v>
      </c>
      <c r="D1735" s="17">
        <v>0.61986567550107796</v>
      </c>
      <c r="E1735" s="17">
        <v>0.72357090909544697</v>
      </c>
      <c r="F1735" s="17"/>
      <c r="G1735" s="17">
        <v>0.73048307373125798</v>
      </c>
      <c r="H1735" s="17">
        <v>0.68578495248874605</v>
      </c>
      <c r="I1735" s="17">
        <v>0.60310750707326899</v>
      </c>
      <c r="J1735" s="17">
        <v>0.64460133650162799</v>
      </c>
      <c r="K1735" s="17"/>
      <c r="L1735" s="17">
        <v>0.67454043848134604</v>
      </c>
      <c r="M1735" s="17">
        <v>0.69060943725713098</v>
      </c>
      <c r="N1735" s="17">
        <v>0.64740637792819899</v>
      </c>
      <c r="O1735" s="17">
        <v>0.67999368873190003</v>
      </c>
    </row>
    <row r="1736" spans="2:15" x14ac:dyDescent="0.3">
      <c r="C1736" s="17"/>
      <c r="D1736" s="17"/>
      <c r="E1736" s="17"/>
      <c r="F1736" s="17"/>
      <c r="G1736" s="17"/>
      <c r="H1736" s="17"/>
      <c r="I1736" s="17"/>
      <c r="J1736" s="17"/>
      <c r="K1736" s="17"/>
      <c r="L1736" s="17"/>
      <c r="M1736" s="17"/>
      <c r="N1736" s="17"/>
      <c r="O1736" s="17"/>
    </row>
    <row r="1737" spans="2:15" x14ac:dyDescent="0.3">
      <c r="B1737" s="6" t="s">
        <v>522</v>
      </c>
      <c r="C1737" s="17"/>
      <c r="D1737" s="17"/>
      <c r="E1737" s="17"/>
      <c r="F1737" s="17"/>
      <c r="G1737" s="17"/>
      <c r="H1737" s="17"/>
      <c r="I1737" s="17"/>
      <c r="J1737" s="17"/>
      <c r="K1737" s="17"/>
      <c r="L1737" s="17"/>
      <c r="M1737" s="17"/>
      <c r="N1737" s="17"/>
      <c r="O1737" s="17"/>
    </row>
    <row r="1738" spans="2:15" x14ac:dyDescent="0.3">
      <c r="B1738" s="23" t="s">
        <v>46</v>
      </c>
      <c r="C1738" s="17"/>
      <c r="D1738" s="17"/>
      <c r="E1738" s="17"/>
      <c r="F1738" s="17"/>
      <c r="G1738" s="17"/>
      <c r="H1738" s="17"/>
      <c r="I1738" s="17"/>
      <c r="J1738" s="17"/>
      <c r="K1738" s="17"/>
      <c r="L1738" s="17"/>
      <c r="M1738" s="17"/>
      <c r="N1738" s="17"/>
      <c r="O1738" s="17"/>
    </row>
    <row r="1739" spans="2:15" x14ac:dyDescent="0.3">
      <c r="B1739" t="s">
        <v>137</v>
      </c>
      <c r="C1739" s="17">
        <v>2.3573584126775401E-2</v>
      </c>
      <c r="D1739" s="17">
        <v>1.28789223052723E-2</v>
      </c>
      <c r="E1739" s="17">
        <v>3.4427863766228799E-2</v>
      </c>
      <c r="F1739" s="17"/>
      <c r="G1739" s="17">
        <v>2.7374407027974799E-2</v>
      </c>
      <c r="H1739" s="17">
        <v>4.1527301588447203E-2</v>
      </c>
      <c r="I1739" s="17">
        <v>0</v>
      </c>
      <c r="J1739" s="17">
        <v>1.9949928389492898E-2</v>
      </c>
      <c r="K1739" s="17"/>
      <c r="L1739" s="17">
        <v>9.1430317647263806E-3</v>
      </c>
      <c r="M1739" s="17">
        <v>1.3696772363256801E-2</v>
      </c>
      <c r="N1739" s="17">
        <v>3.51545922013742E-2</v>
      </c>
      <c r="O1739" s="17">
        <v>3.6083099486945797E-2</v>
      </c>
    </row>
    <row r="1740" spans="2:15" x14ac:dyDescent="0.3">
      <c r="B1740" t="s">
        <v>138</v>
      </c>
      <c r="C1740" s="17">
        <v>7.2391963488404307E-2</v>
      </c>
      <c r="D1740" s="17">
        <v>7.0008295900454598E-2</v>
      </c>
      <c r="E1740" s="17">
        <v>7.5300458951371302E-2</v>
      </c>
      <c r="F1740" s="17"/>
      <c r="G1740" s="17">
        <v>7.1778667385037895E-2</v>
      </c>
      <c r="H1740" s="17">
        <v>6.7766271219705299E-2</v>
      </c>
      <c r="I1740" s="17">
        <v>7.0860724346321499E-2</v>
      </c>
      <c r="J1740" s="17">
        <v>8.0411707506866895E-2</v>
      </c>
      <c r="K1740" s="17"/>
      <c r="L1740" s="17">
        <v>7.7438979201648703E-2</v>
      </c>
      <c r="M1740" s="17">
        <v>8.7192543702830097E-2</v>
      </c>
      <c r="N1740" s="17">
        <v>8.8656320432378602E-2</v>
      </c>
      <c r="O1740" s="17">
        <v>3.3803391461244899E-2</v>
      </c>
    </row>
    <row r="1741" spans="2:15" x14ac:dyDescent="0.3">
      <c r="B1741" t="s">
        <v>139</v>
      </c>
      <c r="C1741" s="17">
        <v>0.12618805009969999</v>
      </c>
      <c r="D1741" s="17">
        <v>0.124229033332747</v>
      </c>
      <c r="E1741" s="17">
        <v>0.129064404895742</v>
      </c>
      <c r="F1741" s="17"/>
      <c r="G1741" s="17">
        <v>9.2008831398252902E-2</v>
      </c>
      <c r="H1741" s="17">
        <v>0.130628679384372</v>
      </c>
      <c r="I1741" s="17">
        <v>0.13568436838721601</v>
      </c>
      <c r="J1741" s="17">
        <v>0.15796871305410801</v>
      </c>
      <c r="K1741" s="17"/>
      <c r="L1741" s="17">
        <v>0.16177145531484999</v>
      </c>
      <c r="M1741" s="17">
        <v>9.6957368675278002E-2</v>
      </c>
      <c r="N1741" s="17">
        <v>0.14867516951124099</v>
      </c>
      <c r="O1741" s="17">
        <v>9.7688725842258295E-2</v>
      </c>
    </row>
    <row r="1742" spans="2:15" x14ac:dyDescent="0.3">
      <c r="B1742" t="s">
        <v>140</v>
      </c>
      <c r="C1742" s="17">
        <v>0.27693661380132101</v>
      </c>
      <c r="D1742" s="17">
        <v>0.31749419051111</v>
      </c>
      <c r="E1742" s="17">
        <v>0.23550163443441399</v>
      </c>
      <c r="F1742" s="17"/>
      <c r="G1742" s="17">
        <v>0.26139481457524699</v>
      </c>
      <c r="H1742" s="17">
        <v>0.25967527336212398</v>
      </c>
      <c r="I1742" s="17">
        <v>0.29507305757596197</v>
      </c>
      <c r="J1742" s="17">
        <v>0.29446967487258402</v>
      </c>
      <c r="K1742" s="17"/>
      <c r="L1742" s="17">
        <v>0.26667974788366</v>
      </c>
      <c r="M1742" s="17">
        <v>0.31893862738574003</v>
      </c>
      <c r="N1742" s="17">
        <v>0.266319946472522</v>
      </c>
      <c r="O1742" s="17">
        <v>0.25351088501467001</v>
      </c>
    </row>
    <row r="1743" spans="2:15" x14ac:dyDescent="0.3">
      <c r="B1743" t="s">
        <v>141</v>
      </c>
      <c r="C1743" s="17">
        <v>0.484058128265899</v>
      </c>
      <c r="D1743" s="17">
        <v>0.45844412801390599</v>
      </c>
      <c r="E1743" s="17">
        <v>0.50882483804904199</v>
      </c>
      <c r="F1743" s="17"/>
      <c r="G1743" s="17">
        <v>0.543568660897218</v>
      </c>
      <c r="H1743" s="17">
        <v>0.48538666748306902</v>
      </c>
      <c r="I1743" s="17">
        <v>0.47801479046058498</v>
      </c>
      <c r="J1743" s="17">
        <v>0.414448911478633</v>
      </c>
      <c r="K1743" s="17"/>
      <c r="L1743" s="17">
        <v>0.46526040423257398</v>
      </c>
      <c r="M1743" s="17">
        <v>0.47578820285609702</v>
      </c>
      <c r="N1743" s="17">
        <v>0.44127523102415001</v>
      </c>
      <c r="O1743" s="17">
        <v>0.55810042588832998</v>
      </c>
    </row>
    <row r="1744" spans="2:15" x14ac:dyDescent="0.3">
      <c r="B1744" t="s">
        <v>142</v>
      </c>
      <c r="C1744" s="17">
        <v>1.6851660217900001E-2</v>
      </c>
      <c r="D1744" s="17">
        <v>1.6945429936509E-2</v>
      </c>
      <c r="E1744" s="17">
        <v>1.6880799903201699E-2</v>
      </c>
      <c r="F1744" s="17"/>
      <c r="G1744" s="17">
        <v>3.8746187162700101E-3</v>
      </c>
      <c r="H1744" s="17">
        <v>1.50158069622819E-2</v>
      </c>
      <c r="I1744" s="17">
        <v>2.0367059229916201E-2</v>
      </c>
      <c r="J1744" s="17">
        <v>3.2751064698314902E-2</v>
      </c>
      <c r="K1744" s="17"/>
      <c r="L1744" s="17">
        <v>1.9706381602541099E-2</v>
      </c>
      <c r="M1744" s="17">
        <v>7.42648501679716E-3</v>
      </c>
      <c r="N1744" s="17">
        <v>1.9918740358333801E-2</v>
      </c>
      <c r="O1744" s="17">
        <v>2.0813472306550999E-2</v>
      </c>
    </row>
    <row r="1745" spans="2:15" x14ac:dyDescent="0.3">
      <c r="B1745" t="s">
        <v>143</v>
      </c>
      <c r="C1745" s="17">
        <v>9.5965547615179697E-2</v>
      </c>
      <c r="D1745" s="17">
        <v>8.2887218205726906E-2</v>
      </c>
      <c r="E1745" s="17">
        <v>0.1097283227176</v>
      </c>
      <c r="F1745" s="17"/>
      <c r="G1745" s="17">
        <v>9.9153074413012604E-2</v>
      </c>
      <c r="H1745" s="17">
        <v>0.10929357280815299</v>
      </c>
      <c r="I1745" s="17">
        <v>7.0860724346321499E-2</v>
      </c>
      <c r="J1745" s="17">
        <v>0.10036163589636</v>
      </c>
      <c r="K1745" s="17"/>
      <c r="L1745" s="17">
        <v>8.6582010966375106E-2</v>
      </c>
      <c r="M1745" s="17">
        <v>0.100889316066087</v>
      </c>
      <c r="N1745" s="17">
        <v>0.123810912633753</v>
      </c>
      <c r="O1745" s="17">
        <v>6.9886490948190605E-2</v>
      </c>
    </row>
    <row r="1746" spans="2:15" x14ac:dyDescent="0.3">
      <c r="B1746" t="s">
        <v>144</v>
      </c>
      <c r="C1746" s="17">
        <v>0.76099474206721995</v>
      </c>
      <c r="D1746" s="17">
        <v>0.77593831852501705</v>
      </c>
      <c r="E1746" s="17">
        <v>0.74432647248345596</v>
      </c>
      <c r="F1746" s="17"/>
      <c r="G1746" s="17">
        <v>0.80496347547246505</v>
      </c>
      <c r="H1746" s="17">
        <v>0.74506194084519295</v>
      </c>
      <c r="I1746" s="17">
        <v>0.77308784803654695</v>
      </c>
      <c r="J1746" s="17">
        <v>0.70891858635121696</v>
      </c>
      <c r="K1746" s="17"/>
      <c r="L1746" s="17">
        <v>0.73194015211623398</v>
      </c>
      <c r="M1746" s="17">
        <v>0.79472683024183799</v>
      </c>
      <c r="N1746" s="17">
        <v>0.707595177496672</v>
      </c>
      <c r="O1746" s="17">
        <v>0.81161131090299998</v>
      </c>
    </row>
    <row r="1747" spans="2:15" x14ac:dyDescent="0.3">
      <c r="C1747" s="17"/>
      <c r="D1747" s="17"/>
      <c r="E1747" s="17"/>
      <c r="F1747" s="17"/>
      <c r="G1747" s="17"/>
      <c r="H1747" s="17"/>
      <c r="I1747" s="17"/>
      <c r="J1747" s="17"/>
      <c r="K1747" s="17"/>
      <c r="L1747" s="17"/>
      <c r="M1747" s="17"/>
      <c r="N1747" s="17"/>
      <c r="O1747" s="17"/>
    </row>
    <row r="1748" spans="2:15" x14ac:dyDescent="0.3">
      <c r="B1748" s="6" t="s">
        <v>523</v>
      </c>
      <c r="C1748" s="17"/>
      <c r="D1748" s="17"/>
      <c r="E1748" s="17"/>
      <c r="F1748" s="17"/>
      <c r="G1748" s="17"/>
      <c r="H1748" s="17"/>
      <c r="I1748" s="17"/>
      <c r="J1748" s="17"/>
      <c r="K1748" s="17"/>
      <c r="L1748" s="17"/>
      <c r="M1748" s="17"/>
      <c r="N1748" s="17"/>
      <c r="O1748" s="17"/>
    </row>
    <row r="1749" spans="2:15" x14ac:dyDescent="0.3">
      <c r="B1749" s="23" t="s">
        <v>46</v>
      </c>
      <c r="C1749" s="17"/>
      <c r="D1749" s="17"/>
      <c r="E1749" s="17"/>
      <c r="F1749" s="17"/>
      <c r="G1749" s="17"/>
      <c r="H1749" s="17"/>
      <c r="I1749" s="17"/>
      <c r="J1749" s="17"/>
      <c r="K1749" s="17"/>
      <c r="L1749" s="17"/>
      <c r="M1749" s="17"/>
      <c r="N1749" s="17"/>
      <c r="O1749" s="17"/>
    </row>
    <row r="1750" spans="2:15" x14ac:dyDescent="0.3">
      <c r="B1750" t="s">
        <v>137</v>
      </c>
      <c r="C1750" s="17">
        <v>2.6309175946068498E-2</v>
      </c>
      <c r="D1750" s="17">
        <v>3.1696941494535599E-2</v>
      </c>
      <c r="E1750" s="17">
        <v>2.1119263343105099E-2</v>
      </c>
      <c r="F1750" s="17"/>
      <c r="G1750" s="17">
        <v>3.92156500737273E-2</v>
      </c>
      <c r="H1750" s="17">
        <v>3.4298765559861499E-2</v>
      </c>
      <c r="I1750" s="17">
        <v>1.84698478408006E-2</v>
      </c>
      <c r="J1750" s="17">
        <v>7.8057171804041398E-3</v>
      </c>
      <c r="K1750" s="17"/>
      <c r="L1750" s="17">
        <v>7.1894244628191101E-3</v>
      </c>
      <c r="M1750" s="17">
        <v>1.9436567824661299E-2</v>
      </c>
      <c r="N1750" s="17">
        <v>3.9208749323411701E-2</v>
      </c>
      <c r="O1750" s="17">
        <v>3.88476498556794E-2</v>
      </c>
    </row>
    <row r="1751" spans="2:15" x14ac:dyDescent="0.3">
      <c r="B1751" t="s">
        <v>138</v>
      </c>
      <c r="C1751" s="17">
        <v>0.1127965681659</v>
      </c>
      <c r="D1751" s="17">
        <v>9.3965162969646299E-2</v>
      </c>
      <c r="E1751" s="17">
        <v>0.12514124867388399</v>
      </c>
      <c r="F1751" s="17"/>
      <c r="G1751" s="17">
        <v>8.8938405706165E-2</v>
      </c>
      <c r="H1751" s="17">
        <v>0.15974903128435899</v>
      </c>
      <c r="I1751" s="17">
        <v>8.5983466086596502E-2</v>
      </c>
      <c r="J1751" s="17">
        <v>0.115924256537556</v>
      </c>
      <c r="K1751" s="17"/>
      <c r="L1751" s="17">
        <v>0.13181706261117701</v>
      </c>
      <c r="M1751" s="17">
        <v>0.10301862156934501</v>
      </c>
      <c r="N1751" s="17">
        <v>0.10322739943655899</v>
      </c>
      <c r="O1751" s="17">
        <v>0.114661373304008</v>
      </c>
    </row>
    <row r="1752" spans="2:15" x14ac:dyDescent="0.3">
      <c r="B1752" t="s">
        <v>139</v>
      </c>
      <c r="C1752" s="17">
        <v>0.17090101759642901</v>
      </c>
      <c r="D1752" s="17">
        <v>0.16720653423602799</v>
      </c>
      <c r="E1752" s="17">
        <v>0.175836699954633</v>
      </c>
      <c r="F1752" s="17"/>
      <c r="G1752" s="17">
        <v>0.108982405949361</v>
      </c>
      <c r="H1752" s="17">
        <v>0.20773858747698401</v>
      </c>
      <c r="I1752" s="17">
        <v>0.21179419503658201</v>
      </c>
      <c r="J1752" s="17">
        <v>0.173719182773309</v>
      </c>
      <c r="K1752" s="17"/>
      <c r="L1752" s="17">
        <v>0.216700349421176</v>
      </c>
      <c r="M1752" s="17">
        <v>0.13144440419164199</v>
      </c>
      <c r="N1752" s="17">
        <v>0.192777132778816</v>
      </c>
      <c r="O1752" s="17">
        <v>0.14384831177469901</v>
      </c>
    </row>
    <row r="1753" spans="2:15" x14ac:dyDescent="0.3">
      <c r="B1753" t="s">
        <v>140</v>
      </c>
      <c r="C1753" s="17">
        <v>0.25132570955184902</v>
      </c>
      <c r="D1753" s="17">
        <v>0.226937491778854</v>
      </c>
      <c r="E1753" s="17">
        <v>0.27751765597526301</v>
      </c>
      <c r="F1753" s="17"/>
      <c r="G1753" s="17">
        <v>0.25787384904045801</v>
      </c>
      <c r="H1753" s="17">
        <v>0.19763061956618599</v>
      </c>
      <c r="I1753" s="17">
        <v>0.25468684811606201</v>
      </c>
      <c r="J1753" s="17">
        <v>0.294738800223384</v>
      </c>
      <c r="K1753" s="17"/>
      <c r="L1753" s="17">
        <v>0.22408038035129799</v>
      </c>
      <c r="M1753" s="17">
        <v>0.266184600790355</v>
      </c>
      <c r="N1753" s="17">
        <v>0.2395026858</v>
      </c>
      <c r="O1753" s="17">
        <v>0.275394749666387</v>
      </c>
    </row>
    <row r="1754" spans="2:15" x14ac:dyDescent="0.3">
      <c r="B1754" t="s">
        <v>141</v>
      </c>
      <c r="C1754" s="17">
        <v>0.42660273503219798</v>
      </c>
      <c r="D1754" s="17">
        <v>0.46747910838429402</v>
      </c>
      <c r="E1754" s="17">
        <v>0.38888164669490699</v>
      </c>
      <c r="F1754" s="17"/>
      <c r="G1754" s="17">
        <v>0.49543395516257799</v>
      </c>
      <c r="H1754" s="17">
        <v>0.38700450858320501</v>
      </c>
      <c r="I1754" s="17">
        <v>0.42018537829560998</v>
      </c>
      <c r="J1754" s="17">
        <v>0.39119770732277198</v>
      </c>
      <c r="K1754" s="17"/>
      <c r="L1754" s="17">
        <v>0.40480011648773601</v>
      </c>
      <c r="M1754" s="17">
        <v>0.46582547173404198</v>
      </c>
      <c r="N1754" s="17">
        <v>0.41369962230128898</v>
      </c>
      <c r="O1754" s="17">
        <v>0.42018956955285602</v>
      </c>
    </row>
    <row r="1755" spans="2:15" x14ac:dyDescent="0.3">
      <c r="B1755" t="s">
        <v>142</v>
      </c>
      <c r="C1755" s="17">
        <v>1.2064793707555799E-2</v>
      </c>
      <c r="D1755" s="17">
        <v>1.2714761136640799E-2</v>
      </c>
      <c r="E1755" s="17">
        <v>1.15034853582071E-2</v>
      </c>
      <c r="F1755" s="17"/>
      <c r="G1755" s="17">
        <v>9.5557340677106997E-3</v>
      </c>
      <c r="H1755" s="17">
        <v>1.35784875294037E-2</v>
      </c>
      <c r="I1755" s="17">
        <v>8.8802646243490296E-3</v>
      </c>
      <c r="J1755" s="17">
        <v>1.66143359625762E-2</v>
      </c>
      <c r="K1755" s="17"/>
      <c r="L1755" s="17">
        <v>1.54126666657937E-2</v>
      </c>
      <c r="M1755" s="17">
        <v>1.4090333889953901E-2</v>
      </c>
      <c r="N1755" s="17">
        <v>1.1584410359923599E-2</v>
      </c>
      <c r="O1755" s="17">
        <v>7.0583458463698298E-3</v>
      </c>
    </row>
    <row r="1756" spans="2:15" x14ac:dyDescent="0.3">
      <c r="B1756" t="s">
        <v>143</v>
      </c>
      <c r="C1756" s="17">
        <v>0.13910574411196899</v>
      </c>
      <c r="D1756" s="17">
        <v>0.125662104464182</v>
      </c>
      <c r="E1756" s="17">
        <v>0.146260512016989</v>
      </c>
      <c r="F1756" s="17"/>
      <c r="G1756" s="17">
        <v>0.128154055779892</v>
      </c>
      <c r="H1756" s="17">
        <v>0.19404779684422099</v>
      </c>
      <c r="I1756" s="17">
        <v>0.104453313927397</v>
      </c>
      <c r="J1756" s="17">
        <v>0.12372997371796</v>
      </c>
      <c r="K1756" s="17"/>
      <c r="L1756" s="17">
        <v>0.13900648707399599</v>
      </c>
      <c r="M1756" s="17">
        <v>0.122455189394006</v>
      </c>
      <c r="N1756" s="17">
        <v>0.14243614875996999</v>
      </c>
      <c r="O1756" s="17">
        <v>0.15350902315968801</v>
      </c>
    </row>
    <row r="1757" spans="2:15" x14ac:dyDescent="0.3">
      <c r="B1757" t="s">
        <v>144</v>
      </c>
      <c r="C1757" s="17">
        <v>0.677928444584046</v>
      </c>
      <c r="D1757" s="17">
        <v>0.69441660016314899</v>
      </c>
      <c r="E1757" s="17">
        <v>0.666399302670171</v>
      </c>
      <c r="F1757" s="17"/>
      <c r="G1757" s="17">
        <v>0.753307804203036</v>
      </c>
      <c r="H1757" s="17">
        <v>0.584635128149391</v>
      </c>
      <c r="I1757" s="17">
        <v>0.67487222641167199</v>
      </c>
      <c r="J1757" s="17">
        <v>0.68593650754615498</v>
      </c>
      <c r="K1757" s="17"/>
      <c r="L1757" s="17">
        <v>0.62888049683903402</v>
      </c>
      <c r="M1757" s="17">
        <v>0.73201007252439698</v>
      </c>
      <c r="N1757" s="17">
        <v>0.65320230810128999</v>
      </c>
      <c r="O1757" s="17">
        <v>0.69558431921924302</v>
      </c>
    </row>
    <row r="1758" spans="2:15" x14ac:dyDescent="0.3">
      <c r="C1758" s="17"/>
      <c r="D1758" s="17"/>
      <c r="E1758" s="17"/>
      <c r="F1758" s="17"/>
      <c r="G1758" s="17"/>
      <c r="H1758" s="17"/>
      <c r="I1758" s="17"/>
      <c r="J1758" s="17"/>
      <c r="K1758" s="17"/>
      <c r="L1758" s="17"/>
      <c r="M1758" s="17"/>
      <c r="N1758" s="17"/>
      <c r="O1758" s="17"/>
    </row>
    <row r="1759" spans="2:15" x14ac:dyDescent="0.3">
      <c r="B1759" s="6" t="s">
        <v>530</v>
      </c>
      <c r="C1759" s="17"/>
      <c r="D1759" s="17"/>
      <c r="E1759" s="17"/>
      <c r="F1759" s="17"/>
      <c r="G1759" s="17"/>
      <c r="H1759" s="17"/>
      <c r="I1759" s="17"/>
      <c r="J1759" s="17"/>
      <c r="K1759" s="17"/>
      <c r="L1759" s="17"/>
      <c r="M1759" s="17"/>
      <c r="N1759" s="17"/>
      <c r="O1759" s="17"/>
    </row>
    <row r="1760" spans="2:15" x14ac:dyDescent="0.3">
      <c r="B1760" s="23" t="s">
        <v>46</v>
      </c>
      <c r="C1760" s="17"/>
      <c r="D1760" s="17"/>
      <c r="E1760" s="17"/>
      <c r="F1760" s="17"/>
      <c r="G1760" s="17"/>
      <c r="H1760" s="17"/>
      <c r="I1760" s="17"/>
      <c r="J1760" s="17"/>
      <c r="K1760" s="17"/>
      <c r="L1760" s="17"/>
      <c r="M1760" s="17"/>
      <c r="N1760" s="17"/>
      <c r="O1760" s="17"/>
    </row>
    <row r="1761" spans="2:15" x14ac:dyDescent="0.3">
      <c r="B1761" t="s">
        <v>137</v>
      </c>
      <c r="C1761" s="17">
        <v>8.7667752185522904E-2</v>
      </c>
      <c r="D1761" s="17">
        <v>8.1935450324230205E-2</v>
      </c>
      <c r="E1761" s="17">
        <v>9.4032390420193998E-2</v>
      </c>
      <c r="F1761" s="17"/>
      <c r="G1761" s="17">
        <v>0.14664363841268199</v>
      </c>
      <c r="H1761" s="17">
        <v>8.4574340917209001E-2</v>
      </c>
      <c r="I1761" s="17">
        <v>5.8549468943694498E-2</v>
      </c>
      <c r="J1761" s="17">
        <v>3.37553464072863E-2</v>
      </c>
      <c r="K1761" s="17"/>
      <c r="L1761" s="17">
        <v>0.110054007234031</v>
      </c>
      <c r="M1761" s="17">
        <v>6.5987716761559498E-2</v>
      </c>
      <c r="N1761" s="17">
        <v>0.100647321155186</v>
      </c>
      <c r="O1761" s="17">
        <v>7.4542759769900505E-2</v>
      </c>
    </row>
    <row r="1762" spans="2:15" x14ac:dyDescent="0.3">
      <c r="B1762" t="s">
        <v>138</v>
      </c>
      <c r="C1762" s="17">
        <v>0.25610594848527002</v>
      </c>
      <c r="D1762" s="17">
        <v>0.274893536669162</v>
      </c>
      <c r="E1762" s="17">
        <v>0.23920605340860701</v>
      </c>
      <c r="F1762" s="17"/>
      <c r="G1762" s="17">
        <v>0.290523891136302</v>
      </c>
      <c r="H1762" s="17">
        <v>0.220132738944504</v>
      </c>
      <c r="I1762" s="17">
        <v>0.238969461624602</v>
      </c>
      <c r="J1762" s="17">
        <v>0.26980704879378098</v>
      </c>
      <c r="K1762" s="17"/>
      <c r="L1762" s="17">
        <v>0.18167779621703001</v>
      </c>
      <c r="M1762" s="17">
        <v>0.32381933640236399</v>
      </c>
      <c r="N1762" s="17">
        <v>0.299018987196075</v>
      </c>
      <c r="O1762" s="17">
        <v>0.211201785451445</v>
      </c>
    </row>
    <row r="1763" spans="2:15" x14ac:dyDescent="0.3">
      <c r="B1763" t="s">
        <v>139</v>
      </c>
      <c r="C1763" s="17">
        <v>0.28132643053256601</v>
      </c>
      <c r="D1763" s="17">
        <v>0.300327937314534</v>
      </c>
      <c r="E1763" s="17">
        <v>0.26145498235599102</v>
      </c>
      <c r="F1763" s="17"/>
      <c r="G1763" s="17">
        <v>0.26636972232765499</v>
      </c>
      <c r="H1763" s="17">
        <v>0.226342352841087</v>
      </c>
      <c r="I1763" s="17">
        <v>0.34604398576280498</v>
      </c>
      <c r="J1763" s="17">
        <v>0.306368613136909</v>
      </c>
      <c r="K1763" s="17"/>
      <c r="L1763" s="17">
        <v>0.28686340144537098</v>
      </c>
      <c r="M1763" s="17">
        <v>0.23011056849844599</v>
      </c>
      <c r="N1763" s="17">
        <v>0.30102933539370302</v>
      </c>
      <c r="O1763" s="17">
        <v>0.30954049760235502</v>
      </c>
    </row>
    <row r="1764" spans="2:15" x14ac:dyDescent="0.3">
      <c r="B1764" t="s">
        <v>140</v>
      </c>
      <c r="C1764" s="17">
        <v>0.188018837467922</v>
      </c>
      <c r="D1764" s="17">
        <v>0.146944713072125</v>
      </c>
      <c r="E1764" s="17">
        <v>0.22607075929414699</v>
      </c>
      <c r="F1764" s="17"/>
      <c r="G1764" s="17">
        <v>0.15194277889300201</v>
      </c>
      <c r="H1764" s="17">
        <v>0.25575322560533598</v>
      </c>
      <c r="I1764" s="17">
        <v>0.17648122693579901</v>
      </c>
      <c r="J1764" s="17">
        <v>0.17011865817234401</v>
      </c>
      <c r="K1764" s="17"/>
      <c r="L1764" s="17">
        <v>0.19650817700496001</v>
      </c>
      <c r="M1764" s="17">
        <v>0.20577684385994999</v>
      </c>
      <c r="N1764" s="17">
        <v>0.166365864103868</v>
      </c>
      <c r="O1764" s="17">
        <v>0.18388357583536699</v>
      </c>
    </row>
    <row r="1765" spans="2:15" x14ac:dyDescent="0.3">
      <c r="B1765" t="s">
        <v>141</v>
      </c>
      <c r="C1765" s="17">
        <v>0.164425338420605</v>
      </c>
      <c r="D1765" s="17">
        <v>0.16972764679989699</v>
      </c>
      <c r="E1765" s="17">
        <v>0.16032727638045599</v>
      </c>
      <c r="F1765" s="17"/>
      <c r="G1765" s="17">
        <v>0.125473353380571</v>
      </c>
      <c r="H1765" s="17">
        <v>0.19969114338043301</v>
      </c>
      <c r="I1765" s="17">
        <v>0.15995769229267701</v>
      </c>
      <c r="J1765" s="17">
        <v>0.18047950322689699</v>
      </c>
      <c r="K1765" s="17"/>
      <c r="L1765" s="17">
        <v>0.172527704180504</v>
      </c>
      <c r="M1765" s="17">
        <v>0.16793468231514899</v>
      </c>
      <c r="N1765" s="17">
        <v>0.101394311995326</v>
      </c>
      <c r="O1765" s="17">
        <v>0.220831381340933</v>
      </c>
    </row>
    <row r="1766" spans="2:15" x14ac:dyDescent="0.3">
      <c r="B1766" t="s">
        <v>142</v>
      </c>
      <c r="C1766" s="17">
        <v>2.2455692908114201E-2</v>
      </c>
      <c r="D1766" s="17">
        <v>2.6170715820051E-2</v>
      </c>
      <c r="E1766" s="17">
        <v>1.8908538140604302E-2</v>
      </c>
      <c r="F1766" s="17"/>
      <c r="G1766" s="17">
        <v>1.9046615849787001E-2</v>
      </c>
      <c r="H1766" s="17">
        <v>1.35061983114311E-2</v>
      </c>
      <c r="I1766" s="17">
        <v>1.9998164440422499E-2</v>
      </c>
      <c r="J1766" s="17">
        <v>3.9470830262783099E-2</v>
      </c>
      <c r="K1766" s="17"/>
      <c r="L1766" s="17">
        <v>5.2368913918104297E-2</v>
      </c>
      <c r="M1766" s="17">
        <v>6.3708521625318896E-3</v>
      </c>
      <c r="N1766" s="17">
        <v>3.1544180155841997E-2</v>
      </c>
      <c r="O1766" s="17">
        <v>0</v>
      </c>
    </row>
    <row r="1767" spans="2:15" x14ac:dyDescent="0.3">
      <c r="B1767" t="s">
        <v>143</v>
      </c>
      <c r="C1767" s="17">
        <v>0.34377370067079299</v>
      </c>
      <c r="D1767" s="17">
        <v>0.35682898699339199</v>
      </c>
      <c r="E1767" s="17">
        <v>0.33323844382880102</v>
      </c>
      <c r="F1767" s="17"/>
      <c r="G1767" s="17">
        <v>0.43716752954898502</v>
      </c>
      <c r="H1767" s="17">
        <v>0.30470707986171303</v>
      </c>
      <c r="I1767" s="17">
        <v>0.29751893056829598</v>
      </c>
      <c r="J1767" s="17">
        <v>0.30356239520106798</v>
      </c>
      <c r="K1767" s="17"/>
      <c r="L1767" s="17">
        <v>0.29173180345106098</v>
      </c>
      <c r="M1767" s="17">
        <v>0.389807053163923</v>
      </c>
      <c r="N1767" s="17">
        <v>0.39966630835126199</v>
      </c>
      <c r="O1767" s="17">
        <v>0.28574454522134501</v>
      </c>
    </row>
    <row r="1768" spans="2:15" x14ac:dyDescent="0.3">
      <c r="B1768" t="s">
        <v>144</v>
      </c>
      <c r="C1768" s="17">
        <v>0.352444175888528</v>
      </c>
      <c r="D1768" s="17">
        <v>0.31667235987202302</v>
      </c>
      <c r="E1768" s="17">
        <v>0.38639803567460301</v>
      </c>
      <c r="F1768" s="17"/>
      <c r="G1768" s="17">
        <v>0.27741613227357298</v>
      </c>
      <c r="H1768" s="17">
        <v>0.45544436898576901</v>
      </c>
      <c r="I1768" s="17">
        <v>0.33643891922847702</v>
      </c>
      <c r="J1768" s="17">
        <v>0.35059816139924099</v>
      </c>
      <c r="K1768" s="17"/>
      <c r="L1768" s="17">
        <v>0.36903588118546399</v>
      </c>
      <c r="M1768" s="17">
        <v>0.37371152617509901</v>
      </c>
      <c r="N1768" s="17">
        <v>0.267760176099194</v>
      </c>
      <c r="O1768" s="17">
        <v>0.40471495717630002</v>
      </c>
    </row>
    <row r="1769" spans="2:15" x14ac:dyDescent="0.3">
      <c r="C1769" s="17"/>
      <c r="D1769" s="17"/>
      <c r="E1769" s="17"/>
      <c r="F1769" s="17"/>
      <c r="G1769" s="17"/>
      <c r="H1769" s="17"/>
      <c r="I1769" s="17"/>
      <c r="J1769" s="17"/>
      <c r="K1769" s="17"/>
      <c r="L1769" s="17"/>
      <c r="M1769" s="17"/>
      <c r="N1769" s="17"/>
      <c r="O1769" s="17"/>
    </row>
    <row r="1770" spans="2:15" x14ac:dyDescent="0.3">
      <c r="B1770" s="6" t="s">
        <v>531</v>
      </c>
      <c r="C1770" s="17"/>
      <c r="D1770" s="17"/>
      <c r="E1770" s="17"/>
      <c r="F1770" s="17"/>
      <c r="G1770" s="17"/>
      <c r="H1770" s="17"/>
      <c r="I1770" s="17"/>
      <c r="J1770" s="17"/>
      <c r="K1770" s="17"/>
      <c r="L1770" s="17"/>
      <c r="M1770" s="17"/>
      <c r="N1770" s="17"/>
      <c r="O1770" s="17"/>
    </row>
    <row r="1771" spans="2:15" x14ac:dyDescent="0.3">
      <c r="B1771" s="23" t="s">
        <v>46</v>
      </c>
      <c r="C1771" s="17"/>
      <c r="D1771" s="17"/>
      <c r="E1771" s="17"/>
      <c r="F1771" s="17"/>
      <c r="G1771" s="17"/>
      <c r="H1771" s="17"/>
      <c r="I1771" s="17"/>
      <c r="J1771" s="17"/>
      <c r="K1771" s="17"/>
      <c r="L1771" s="17"/>
      <c r="M1771" s="17"/>
      <c r="N1771" s="17"/>
      <c r="O1771" s="17"/>
    </row>
    <row r="1772" spans="2:15" x14ac:dyDescent="0.3">
      <c r="B1772" t="s">
        <v>137</v>
      </c>
      <c r="C1772" s="17">
        <v>0.104087441161272</v>
      </c>
      <c r="D1772" s="17">
        <v>8.5277664530760799E-2</v>
      </c>
      <c r="E1772" s="17">
        <v>0.12363432818164501</v>
      </c>
      <c r="F1772" s="17"/>
      <c r="G1772" s="17">
        <v>0.12478684233555</v>
      </c>
      <c r="H1772" s="17">
        <v>8.6209431919646903E-2</v>
      </c>
      <c r="I1772" s="17">
        <v>7.7680681976976196E-2</v>
      </c>
      <c r="J1772" s="17">
        <v>0.114429259095613</v>
      </c>
      <c r="K1772" s="17"/>
      <c r="L1772" s="17">
        <v>0.122378312113622</v>
      </c>
      <c r="M1772" s="17">
        <v>7.1240421986756897E-2</v>
      </c>
      <c r="N1772" s="17">
        <v>0.14949316769945101</v>
      </c>
      <c r="O1772" s="17">
        <v>7.1942462843932894E-2</v>
      </c>
    </row>
    <row r="1773" spans="2:15" x14ac:dyDescent="0.3">
      <c r="B1773" t="s">
        <v>138</v>
      </c>
      <c r="C1773" s="17">
        <v>0.306502502757596</v>
      </c>
      <c r="D1773" s="17">
        <v>0.26115315012604601</v>
      </c>
      <c r="E1773" s="17">
        <v>0.34968821126245297</v>
      </c>
      <c r="F1773" s="17"/>
      <c r="G1773" s="17">
        <v>0.33329382307470001</v>
      </c>
      <c r="H1773" s="17">
        <v>0.28632688712598098</v>
      </c>
      <c r="I1773" s="17">
        <v>0.353123126676193</v>
      </c>
      <c r="J1773" s="17">
        <v>0.25441639188507298</v>
      </c>
      <c r="K1773" s="17"/>
      <c r="L1773" s="17">
        <v>0.31168147245426903</v>
      </c>
      <c r="M1773" s="17">
        <v>0.319812168762861</v>
      </c>
      <c r="N1773" s="17">
        <v>0.29228539006524101</v>
      </c>
      <c r="O1773" s="17">
        <v>0.30240743110834101</v>
      </c>
    </row>
    <row r="1774" spans="2:15" x14ac:dyDescent="0.3">
      <c r="B1774" t="s">
        <v>139</v>
      </c>
      <c r="C1774" s="17">
        <v>0.24565191108620099</v>
      </c>
      <c r="D1774" s="17">
        <v>0.245830622043927</v>
      </c>
      <c r="E1774" s="17">
        <v>0.24432187028862801</v>
      </c>
      <c r="F1774" s="17"/>
      <c r="G1774" s="17">
        <v>0.21186565885390901</v>
      </c>
      <c r="H1774" s="17">
        <v>0.19714223099577299</v>
      </c>
      <c r="I1774" s="17">
        <v>0.29786554420210098</v>
      </c>
      <c r="J1774" s="17">
        <v>0.29898146907259998</v>
      </c>
      <c r="K1774" s="17"/>
      <c r="L1774" s="17">
        <v>0.30694719859124298</v>
      </c>
      <c r="M1774" s="17">
        <v>0.26337840578771099</v>
      </c>
      <c r="N1774" s="17">
        <v>0.22819767889211701</v>
      </c>
      <c r="O1774" s="17">
        <v>0.18419596415797401</v>
      </c>
    </row>
    <row r="1775" spans="2:15" x14ac:dyDescent="0.3">
      <c r="B1775" t="s">
        <v>140</v>
      </c>
      <c r="C1775" s="17">
        <v>0.15996234838286</v>
      </c>
      <c r="D1775" s="17">
        <v>0.16529459484933601</v>
      </c>
      <c r="E1775" s="17">
        <v>0.15580185928047999</v>
      </c>
      <c r="F1775" s="17"/>
      <c r="G1775" s="17">
        <v>0.15699861547215099</v>
      </c>
      <c r="H1775" s="17">
        <v>0.19601178487715201</v>
      </c>
      <c r="I1775" s="17">
        <v>0.120392496182621</v>
      </c>
      <c r="J1775" s="17">
        <v>0.16028507374061701</v>
      </c>
      <c r="K1775" s="17"/>
      <c r="L1775" s="17">
        <v>8.0588274073172997E-2</v>
      </c>
      <c r="M1775" s="17">
        <v>0.187868470162736</v>
      </c>
      <c r="N1775" s="17">
        <v>0.16360538857043</v>
      </c>
      <c r="O1775" s="17">
        <v>0.20536957390796401</v>
      </c>
    </row>
    <row r="1776" spans="2:15" x14ac:dyDescent="0.3">
      <c r="B1776" t="s">
        <v>141</v>
      </c>
      <c r="C1776" s="17">
        <v>0.14391900529420701</v>
      </c>
      <c r="D1776" s="17">
        <v>0.18852698199448201</v>
      </c>
      <c r="E1776" s="17">
        <v>0.100410565342685</v>
      </c>
      <c r="F1776" s="17"/>
      <c r="G1776" s="17">
        <v>0.13721876533796001</v>
      </c>
      <c r="H1776" s="17">
        <v>0.196202284709286</v>
      </c>
      <c r="I1776" s="17">
        <v>0.119321340249514</v>
      </c>
      <c r="J1776" s="17">
        <v>0.116889688855893</v>
      </c>
      <c r="K1776" s="17"/>
      <c r="L1776" s="17">
        <v>0.10646280784593699</v>
      </c>
      <c r="M1776" s="17">
        <v>0.14170388186947599</v>
      </c>
      <c r="N1776" s="17">
        <v>0.120403490998668</v>
      </c>
      <c r="O1776" s="17">
        <v>0.20923327903470301</v>
      </c>
    </row>
    <row r="1777" spans="2:15" x14ac:dyDescent="0.3">
      <c r="B1777" t="s">
        <v>142</v>
      </c>
      <c r="C1777" s="17">
        <v>3.9876791317863799E-2</v>
      </c>
      <c r="D1777" s="17">
        <v>5.3916986455447E-2</v>
      </c>
      <c r="E1777" s="17">
        <v>2.6143165644108901E-2</v>
      </c>
      <c r="F1777" s="17"/>
      <c r="G1777" s="17">
        <v>3.5836294925730101E-2</v>
      </c>
      <c r="H1777" s="17">
        <v>3.8107380372160403E-2</v>
      </c>
      <c r="I1777" s="17">
        <v>3.1616810712594798E-2</v>
      </c>
      <c r="J1777" s="17">
        <v>5.4998117350204802E-2</v>
      </c>
      <c r="K1777" s="17"/>
      <c r="L1777" s="17">
        <v>7.1941934921755199E-2</v>
      </c>
      <c r="M1777" s="17">
        <v>1.5996651430458201E-2</v>
      </c>
      <c r="N1777" s="17">
        <v>4.60148837740929E-2</v>
      </c>
      <c r="O1777" s="17">
        <v>2.6851288947084901E-2</v>
      </c>
    </row>
    <row r="1778" spans="2:15" x14ac:dyDescent="0.3">
      <c r="B1778" t="s">
        <v>143</v>
      </c>
      <c r="C1778" s="17">
        <v>0.41058994391886799</v>
      </c>
      <c r="D1778" s="17">
        <v>0.34643081465680697</v>
      </c>
      <c r="E1778" s="17">
        <v>0.47332253944409802</v>
      </c>
      <c r="F1778" s="17"/>
      <c r="G1778" s="17">
        <v>0.45808066541025</v>
      </c>
      <c r="H1778" s="17">
        <v>0.37253631904562801</v>
      </c>
      <c r="I1778" s="17">
        <v>0.43080380865316897</v>
      </c>
      <c r="J1778" s="17">
        <v>0.368845650980686</v>
      </c>
      <c r="K1778" s="17"/>
      <c r="L1778" s="17">
        <v>0.43405978456789102</v>
      </c>
      <c r="M1778" s="17">
        <v>0.39105259074961801</v>
      </c>
      <c r="N1778" s="17">
        <v>0.44177855776469199</v>
      </c>
      <c r="O1778" s="17">
        <v>0.37434989395227403</v>
      </c>
    </row>
    <row r="1779" spans="2:15" x14ac:dyDescent="0.3">
      <c r="B1779" t="s">
        <v>144</v>
      </c>
      <c r="C1779" s="17">
        <v>0.30388135367706698</v>
      </c>
      <c r="D1779" s="17">
        <v>0.35382157684381799</v>
      </c>
      <c r="E1779" s="17">
        <v>0.25621242462316501</v>
      </c>
      <c r="F1779" s="17"/>
      <c r="G1779" s="17">
        <v>0.29421738081011101</v>
      </c>
      <c r="H1779" s="17">
        <v>0.39221406958643801</v>
      </c>
      <c r="I1779" s="17">
        <v>0.23971383643213501</v>
      </c>
      <c r="J1779" s="17">
        <v>0.27717476259650897</v>
      </c>
      <c r="K1779" s="17"/>
      <c r="L1779" s="17">
        <v>0.18705108191910999</v>
      </c>
      <c r="M1779" s="17">
        <v>0.32957235203221202</v>
      </c>
      <c r="N1779" s="17">
        <v>0.28400887956909798</v>
      </c>
      <c r="O1779" s="17">
        <v>0.41460285294266802</v>
      </c>
    </row>
    <row r="1780" spans="2:15" x14ac:dyDescent="0.3">
      <c r="C1780" s="17"/>
      <c r="D1780" s="17"/>
      <c r="E1780" s="17"/>
      <c r="F1780" s="17"/>
      <c r="G1780" s="17"/>
      <c r="H1780" s="17"/>
      <c r="I1780" s="17"/>
      <c r="J1780" s="17"/>
      <c r="K1780" s="17"/>
      <c r="L1780" s="17"/>
      <c r="M1780" s="17"/>
      <c r="N1780" s="17"/>
      <c r="O1780" s="17"/>
    </row>
    <row r="1781" spans="2:15" x14ac:dyDescent="0.3">
      <c r="B1781" s="6" t="s">
        <v>532</v>
      </c>
      <c r="C1781" s="17"/>
      <c r="D1781" s="17"/>
      <c r="E1781" s="17"/>
      <c r="F1781" s="17"/>
      <c r="G1781" s="17"/>
      <c r="H1781" s="17"/>
      <c r="I1781" s="17"/>
      <c r="J1781" s="17"/>
      <c r="K1781" s="17"/>
      <c r="L1781" s="17"/>
      <c r="M1781" s="17"/>
      <c r="N1781" s="17"/>
      <c r="O1781" s="17"/>
    </row>
    <row r="1782" spans="2:15" x14ac:dyDescent="0.3">
      <c r="B1782" s="23" t="s">
        <v>46</v>
      </c>
      <c r="C1782" s="17"/>
      <c r="D1782" s="17"/>
      <c r="E1782" s="17"/>
      <c r="F1782" s="17"/>
      <c r="G1782" s="17"/>
      <c r="H1782" s="17"/>
      <c r="I1782" s="17"/>
      <c r="J1782" s="17"/>
      <c r="K1782" s="17"/>
      <c r="L1782" s="17"/>
      <c r="M1782" s="17"/>
      <c r="N1782" s="17"/>
      <c r="O1782" s="17"/>
    </row>
    <row r="1783" spans="2:15" x14ac:dyDescent="0.3">
      <c r="B1783" t="s">
        <v>137</v>
      </c>
      <c r="C1783" s="17">
        <v>9.4808800630989495E-2</v>
      </c>
      <c r="D1783" s="17">
        <v>9.5638499761920098E-2</v>
      </c>
      <c r="E1783" s="17">
        <v>9.4670943534715807E-2</v>
      </c>
      <c r="F1783" s="17"/>
      <c r="G1783" s="17">
        <v>0.138027761204017</v>
      </c>
      <c r="H1783" s="17">
        <v>4.9569520485704101E-2</v>
      </c>
      <c r="I1783" s="17">
        <v>7.4517302185937898E-2</v>
      </c>
      <c r="J1783" s="17">
        <v>0.101239754545266</v>
      </c>
      <c r="K1783" s="17"/>
      <c r="L1783" s="17">
        <v>7.1266004411035797E-2</v>
      </c>
      <c r="M1783" s="17">
        <v>0.10150967212302101</v>
      </c>
      <c r="N1783" s="17">
        <v>9.7490869075688602E-2</v>
      </c>
      <c r="O1783" s="17">
        <v>0.108237509430788</v>
      </c>
    </row>
    <row r="1784" spans="2:15" x14ac:dyDescent="0.3">
      <c r="B1784" t="s">
        <v>138</v>
      </c>
      <c r="C1784" s="17">
        <v>0.28781149732622202</v>
      </c>
      <c r="D1784" s="17">
        <v>0.32997202315787899</v>
      </c>
      <c r="E1784" s="17">
        <v>0.244854641106062</v>
      </c>
      <c r="F1784" s="17"/>
      <c r="G1784" s="17">
        <v>0.31348117182588903</v>
      </c>
      <c r="H1784" s="17">
        <v>0.31429465595523698</v>
      </c>
      <c r="I1784" s="17">
        <v>0.316055498237727</v>
      </c>
      <c r="J1784" s="17">
        <v>0.20085180761606899</v>
      </c>
      <c r="K1784" s="17"/>
      <c r="L1784" s="17">
        <v>0.27902395282770998</v>
      </c>
      <c r="M1784" s="17">
        <v>0.29587541626130098</v>
      </c>
      <c r="N1784" s="17">
        <v>0.35495048974772098</v>
      </c>
      <c r="O1784" s="17">
        <v>0.21519031148340301</v>
      </c>
    </row>
    <row r="1785" spans="2:15" x14ac:dyDescent="0.3">
      <c r="B1785" t="s">
        <v>139</v>
      </c>
      <c r="C1785" s="17">
        <v>0.291548652484722</v>
      </c>
      <c r="D1785" s="17">
        <v>0.28716373374636101</v>
      </c>
      <c r="E1785" s="17">
        <v>0.298053177226072</v>
      </c>
      <c r="F1785" s="17"/>
      <c r="G1785" s="17">
        <v>0.229376170770828</v>
      </c>
      <c r="H1785" s="17">
        <v>0.25805196664987301</v>
      </c>
      <c r="I1785" s="17">
        <v>0.35264419476310199</v>
      </c>
      <c r="J1785" s="17">
        <v>0.35704375791995602</v>
      </c>
      <c r="K1785" s="17"/>
      <c r="L1785" s="17">
        <v>0.25934269011911898</v>
      </c>
      <c r="M1785" s="17">
        <v>0.28493595039411801</v>
      </c>
      <c r="N1785" s="17">
        <v>0.30165460925909399</v>
      </c>
      <c r="O1785" s="17">
        <v>0.319920159381618</v>
      </c>
    </row>
    <row r="1786" spans="2:15" x14ac:dyDescent="0.3">
      <c r="B1786" t="s">
        <v>140</v>
      </c>
      <c r="C1786" s="17">
        <v>0.127601461652468</v>
      </c>
      <c r="D1786" s="17">
        <v>9.57941796335125E-2</v>
      </c>
      <c r="E1786" s="17">
        <v>0.15595680768594899</v>
      </c>
      <c r="F1786" s="17"/>
      <c r="G1786" s="17">
        <v>0.14312686192430699</v>
      </c>
      <c r="H1786" s="17">
        <v>0.143494905422582</v>
      </c>
      <c r="I1786" s="17">
        <v>8.4125294617817106E-2</v>
      </c>
      <c r="J1786" s="17">
        <v>0.13004394391587401</v>
      </c>
      <c r="K1786" s="17"/>
      <c r="L1786" s="17">
        <v>0.14137599448938401</v>
      </c>
      <c r="M1786" s="17">
        <v>0.135403026721444</v>
      </c>
      <c r="N1786" s="17">
        <v>0.112780806359873</v>
      </c>
      <c r="O1786" s="17">
        <v>0.121490045990147</v>
      </c>
    </row>
    <row r="1787" spans="2:15" x14ac:dyDescent="0.3">
      <c r="B1787" t="s">
        <v>141</v>
      </c>
      <c r="C1787" s="17">
        <v>0.17856861947424599</v>
      </c>
      <c r="D1787" s="17">
        <v>0.172638278699523</v>
      </c>
      <c r="E1787" s="17">
        <v>0.185793491009036</v>
      </c>
      <c r="F1787" s="17"/>
      <c r="G1787" s="17">
        <v>0.145930304142637</v>
      </c>
      <c r="H1787" s="17">
        <v>0.20750426564576899</v>
      </c>
      <c r="I1787" s="17">
        <v>0.17265771019541601</v>
      </c>
      <c r="J1787" s="17">
        <v>0.19501894498766201</v>
      </c>
      <c r="K1787" s="17"/>
      <c r="L1787" s="17">
        <v>0.19850204372857999</v>
      </c>
      <c r="M1787" s="17">
        <v>0.170496038918137</v>
      </c>
      <c r="N1787" s="17">
        <v>0.115944645192721</v>
      </c>
      <c r="O1787" s="17">
        <v>0.23516197371404399</v>
      </c>
    </row>
    <row r="1788" spans="2:15" x14ac:dyDescent="0.3">
      <c r="B1788" t="s">
        <v>142</v>
      </c>
      <c r="C1788" s="17">
        <v>1.9660968431352701E-2</v>
      </c>
      <c r="D1788" s="17">
        <v>1.8793285000803999E-2</v>
      </c>
      <c r="E1788" s="17">
        <v>2.06709394381644E-2</v>
      </c>
      <c r="F1788" s="17"/>
      <c r="G1788" s="17">
        <v>3.0057730132322099E-2</v>
      </c>
      <c r="H1788" s="17">
        <v>2.7084685840834798E-2</v>
      </c>
      <c r="I1788" s="17">
        <v>0</v>
      </c>
      <c r="J1788" s="17">
        <v>1.5801791015173601E-2</v>
      </c>
      <c r="K1788" s="17"/>
      <c r="L1788" s="17">
        <v>5.0489314424171199E-2</v>
      </c>
      <c r="M1788" s="17">
        <v>1.1779895581978801E-2</v>
      </c>
      <c r="N1788" s="17">
        <v>1.7178580364902499E-2</v>
      </c>
      <c r="O1788" s="17">
        <v>0</v>
      </c>
    </row>
    <row r="1789" spans="2:15" x14ac:dyDescent="0.3">
      <c r="B1789" t="s">
        <v>143</v>
      </c>
      <c r="C1789" s="17">
        <v>0.38262029795721098</v>
      </c>
      <c r="D1789" s="17">
        <v>0.42561052291979901</v>
      </c>
      <c r="E1789" s="17">
        <v>0.33952558464077798</v>
      </c>
      <c r="F1789" s="17"/>
      <c r="G1789" s="17">
        <v>0.45150893302990602</v>
      </c>
      <c r="H1789" s="17">
        <v>0.36386417644094099</v>
      </c>
      <c r="I1789" s="17">
        <v>0.39057280042366499</v>
      </c>
      <c r="J1789" s="17">
        <v>0.30209156216133398</v>
      </c>
      <c r="K1789" s="17"/>
      <c r="L1789" s="17">
        <v>0.35028995723874601</v>
      </c>
      <c r="M1789" s="17">
        <v>0.39738508838432202</v>
      </c>
      <c r="N1789" s="17">
        <v>0.45244135882341002</v>
      </c>
      <c r="O1789" s="17">
        <v>0.32342782091419098</v>
      </c>
    </row>
    <row r="1790" spans="2:15" x14ac:dyDescent="0.3">
      <c r="B1790" t="s">
        <v>144</v>
      </c>
      <c r="C1790" s="17">
        <v>0.30617008112671401</v>
      </c>
      <c r="D1790" s="17">
        <v>0.26843245833303497</v>
      </c>
      <c r="E1790" s="17">
        <v>0.34175029869498502</v>
      </c>
      <c r="F1790" s="17"/>
      <c r="G1790" s="17">
        <v>0.28905716606694398</v>
      </c>
      <c r="H1790" s="17">
        <v>0.35099917106835199</v>
      </c>
      <c r="I1790" s="17">
        <v>0.25678300481323302</v>
      </c>
      <c r="J1790" s="17">
        <v>0.32506288890353602</v>
      </c>
      <c r="K1790" s="17"/>
      <c r="L1790" s="17">
        <v>0.33987803821796397</v>
      </c>
      <c r="M1790" s="17">
        <v>0.30589906563958102</v>
      </c>
      <c r="N1790" s="17">
        <v>0.22872545155259399</v>
      </c>
      <c r="O1790" s="17">
        <v>0.35665201970419103</v>
      </c>
    </row>
    <row r="1791" spans="2:15" x14ac:dyDescent="0.3">
      <c r="C1791" s="17"/>
      <c r="D1791" s="17"/>
      <c r="E1791" s="17"/>
      <c r="F1791" s="17"/>
      <c r="G1791" s="17"/>
      <c r="H1791" s="17"/>
      <c r="I1791" s="17"/>
      <c r="J1791" s="17"/>
      <c r="K1791" s="17"/>
      <c r="L1791" s="17"/>
      <c r="M1791" s="17"/>
      <c r="N1791" s="17"/>
      <c r="O1791" s="17"/>
    </row>
    <row r="1792" spans="2:15" x14ac:dyDescent="0.3">
      <c r="B1792" s="6" t="s">
        <v>533</v>
      </c>
      <c r="C1792" s="17"/>
      <c r="D1792" s="17"/>
      <c r="E1792" s="17"/>
      <c r="F1792" s="17"/>
      <c r="G1792" s="17"/>
      <c r="H1792" s="17"/>
      <c r="I1792" s="17"/>
      <c r="J1792" s="17"/>
      <c r="K1792" s="17"/>
      <c r="L1792" s="17"/>
      <c r="M1792" s="17"/>
      <c r="N1792" s="17"/>
      <c r="O1792" s="17"/>
    </row>
    <row r="1793" spans="2:15" x14ac:dyDescent="0.3">
      <c r="B1793" s="23" t="s">
        <v>46</v>
      </c>
      <c r="C1793" s="17"/>
      <c r="D1793" s="17"/>
      <c r="E1793" s="17"/>
      <c r="F1793" s="17"/>
      <c r="G1793" s="17"/>
      <c r="H1793" s="17"/>
      <c r="I1793" s="17"/>
      <c r="J1793" s="17"/>
      <c r="K1793" s="17"/>
      <c r="L1793" s="17"/>
      <c r="M1793" s="17"/>
      <c r="N1793" s="17"/>
      <c r="O1793" s="17"/>
    </row>
    <row r="1794" spans="2:15" x14ac:dyDescent="0.3">
      <c r="B1794" t="s">
        <v>137</v>
      </c>
      <c r="C1794" s="17">
        <v>9.4420748547286701E-2</v>
      </c>
      <c r="D1794" s="17">
        <v>0.100237543236622</v>
      </c>
      <c r="E1794" s="17">
        <v>8.92986428411114E-2</v>
      </c>
      <c r="F1794" s="17"/>
      <c r="G1794" s="17">
        <v>0.14560973842582201</v>
      </c>
      <c r="H1794" s="17">
        <v>8.4446924629476103E-2</v>
      </c>
      <c r="I1794" s="17">
        <v>7.1307653417660599E-2</v>
      </c>
      <c r="J1794" s="17">
        <v>5.3025609770508499E-2</v>
      </c>
      <c r="K1794" s="17"/>
      <c r="L1794" s="17">
        <v>0.117436562868742</v>
      </c>
      <c r="M1794" s="17">
        <v>6.3182169555091094E-2</v>
      </c>
      <c r="N1794" s="17">
        <v>0.132299512291781</v>
      </c>
      <c r="O1794" s="17">
        <v>6.3974744842719297E-2</v>
      </c>
    </row>
    <row r="1795" spans="2:15" x14ac:dyDescent="0.3">
      <c r="B1795" t="s">
        <v>138</v>
      </c>
      <c r="C1795" s="17">
        <v>0.31573556417901599</v>
      </c>
      <c r="D1795" s="17">
        <v>0.32219525450509201</v>
      </c>
      <c r="E1795" s="17">
        <v>0.30864241005122001</v>
      </c>
      <c r="F1795" s="17"/>
      <c r="G1795" s="17">
        <v>0.33180409939295502</v>
      </c>
      <c r="H1795" s="17">
        <v>0.30544227048496903</v>
      </c>
      <c r="I1795" s="17">
        <v>0.29477007524106802</v>
      </c>
      <c r="J1795" s="17">
        <v>0.32814108900021999</v>
      </c>
      <c r="K1795" s="17"/>
      <c r="L1795" s="17">
        <v>0.20727072840890401</v>
      </c>
      <c r="M1795" s="17">
        <v>0.422888570328049</v>
      </c>
      <c r="N1795" s="17">
        <v>0.28201973594543001</v>
      </c>
      <c r="O1795" s="17">
        <v>0.34545522240549098</v>
      </c>
    </row>
    <row r="1796" spans="2:15" x14ac:dyDescent="0.3">
      <c r="B1796" t="s">
        <v>139</v>
      </c>
      <c r="C1796" s="17">
        <v>0.25718020791851698</v>
      </c>
      <c r="D1796" s="17">
        <v>0.25931299723782397</v>
      </c>
      <c r="E1796" s="17">
        <v>0.25692398871887701</v>
      </c>
      <c r="F1796" s="17"/>
      <c r="G1796" s="17">
        <v>0.22084528633454101</v>
      </c>
      <c r="H1796" s="17">
        <v>0.222649756549581</v>
      </c>
      <c r="I1796" s="17">
        <v>0.32432468275015303</v>
      </c>
      <c r="J1796" s="17">
        <v>0.28442699332138599</v>
      </c>
      <c r="K1796" s="17"/>
      <c r="L1796" s="17">
        <v>0.256765602538647</v>
      </c>
      <c r="M1796" s="17">
        <v>0.21590417546075699</v>
      </c>
      <c r="N1796" s="17">
        <v>0.27644366712266299</v>
      </c>
      <c r="O1796" s="17">
        <v>0.28112907044087998</v>
      </c>
    </row>
    <row r="1797" spans="2:15" x14ac:dyDescent="0.3">
      <c r="B1797" t="s">
        <v>140</v>
      </c>
      <c r="C1797" s="17">
        <v>0.15534771334345501</v>
      </c>
      <c r="D1797" s="17">
        <v>0.14662564030946301</v>
      </c>
      <c r="E1797" s="17">
        <v>0.16084631353839501</v>
      </c>
      <c r="F1797" s="17"/>
      <c r="G1797" s="17">
        <v>0.133136850076472</v>
      </c>
      <c r="H1797" s="17">
        <v>0.19732883318366201</v>
      </c>
      <c r="I1797" s="17">
        <v>0.136190183382213</v>
      </c>
      <c r="J1797" s="17">
        <v>0.155324728351909</v>
      </c>
      <c r="K1797" s="17"/>
      <c r="L1797" s="17">
        <v>0.18535456057840799</v>
      </c>
      <c r="M1797" s="17">
        <v>0.158529189578312</v>
      </c>
      <c r="N1797" s="17">
        <v>0.142889476397353</v>
      </c>
      <c r="O1797" s="17">
        <v>0.135414792305039</v>
      </c>
    </row>
    <row r="1798" spans="2:15" x14ac:dyDescent="0.3">
      <c r="B1798" t="s">
        <v>141</v>
      </c>
      <c r="C1798" s="17">
        <v>0.157131718503144</v>
      </c>
      <c r="D1798" s="17">
        <v>0.15608123183750799</v>
      </c>
      <c r="E1798" s="17">
        <v>0.159326072070582</v>
      </c>
      <c r="F1798" s="17"/>
      <c r="G1798" s="17">
        <v>0.13874408790302301</v>
      </c>
      <c r="H1798" s="17">
        <v>0.16081263174146301</v>
      </c>
      <c r="I1798" s="17">
        <v>0.17340740520890499</v>
      </c>
      <c r="J1798" s="17">
        <v>0.163279788540802</v>
      </c>
      <c r="K1798" s="17"/>
      <c r="L1798" s="17">
        <v>0.186806136795482</v>
      </c>
      <c r="M1798" s="17">
        <v>0.13206941006099401</v>
      </c>
      <c r="N1798" s="17">
        <v>0.139032117005497</v>
      </c>
      <c r="O1798" s="17">
        <v>0.17402617000587101</v>
      </c>
    </row>
    <row r="1799" spans="2:15" x14ac:dyDescent="0.3">
      <c r="B1799" t="s">
        <v>142</v>
      </c>
      <c r="C1799" s="17">
        <v>2.0184047508582E-2</v>
      </c>
      <c r="D1799" s="17">
        <v>1.55473328734898E-2</v>
      </c>
      <c r="E1799" s="17">
        <v>2.4962572779815201E-2</v>
      </c>
      <c r="F1799" s="17"/>
      <c r="G1799" s="17">
        <v>2.9859937867187498E-2</v>
      </c>
      <c r="H1799" s="17">
        <v>2.9319583410849101E-2</v>
      </c>
      <c r="I1799" s="17">
        <v>0</v>
      </c>
      <c r="J1799" s="17">
        <v>1.5801791015173601E-2</v>
      </c>
      <c r="K1799" s="17"/>
      <c r="L1799" s="17">
        <v>4.6366408809817301E-2</v>
      </c>
      <c r="M1799" s="17">
        <v>7.42648501679716E-3</v>
      </c>
      <c r="N1799" s="17">
        <v>2.7315491237275901E-2</v>
      </c>
      <c r="O1799" s="17">
        <v>0</v>
      </c>
    </row>
    <row r="1800" spans="2:15" x14ac:dyDescent="0.3">
      <c r="B1800" t="s">
        <v>143</v>
      </c>
      <c r="C1800" s="17">
        <v>0.41015631272630199</v>
      </c>
      <c r="D1800" s="17">
        <v>0.42243279774171499</v>
      </c>
      <c r="E1800" s="17">
        <v>0.397941052892331</v>
      </c>
      <c r="F1800" s="17"/>
      <c r="G1800" s="17">
        <v>0.477413837818778</v>
      </c>
      <c r="H1800" s="17">
        <v>0.38988919511444498</v>
      </c>
      <c r="I1800" s="17">
        <v>0.36607772865872901</v>
      </c>
      <c r="J1800" s="17">
        <v>0.38116669877072901</v>
      </c>
      <c r="K1800" s="17"/>
      <c r="L1800" s="17">
        <v>0.32470729127764503</v>
      </c>
      <c r="M1800" s="17">
        <v>0.48607073988313998</v>
      </c>
      <c r="N1800" s="17">
        <v>0.414319248237211</v>
      </c>
      <c r="O1800" s="17">
        <v>0.40942996724821001</v>
      </c>
    </row>
    <row r="1801" spans="2:15" x14ac:dyDescent="0.3">
      <c r="B1801" t="s">
        <v>144</v>
      </c>
      <c r="C1801" s="17">
        <v>0.31247943184659799</v>
      </c>
      <c r="D1801" s="17">
        <v>0.30270687214697101</v>
      </c>
      <c r="E1801" s="17">
        <v>0.32017238560897698</v>
      </c>
      <c r="F1801" s="17"/>
      <c r="G1801" s="17">
        <v>0.27188093797949398</v>
      </c>
      <c r="H1801" s="17">
        <v>0.358141464925125</v>
      </c>
      <c r="I1801" s="17">
        <v>0.30959758859111802</v>
      </c>
      <c r="J1801" s="17">
        <v>0.31860451689271202</v>
      </c>
      <c r="K1801" s="17"/>
      <c r="L1801" s="17">
        <v>0.37216069737389001</v>
      </c>
      <c r="M1801" s="17">
        <v>0.29059859963930601</v>
      </c>
      <c r="N1801" s="17">
        <v>0.28192159340285</v>
      </c>
      <c r="O1801" s="17">
        <v>0.30944096231091001</v>
      </c>
    </row>
    <row r="1802" spans="2:15" x14ac:dyDescent="0.3">
      <c r="C1802" s="17"/>
      <c r="D1802" s="17"/>
      <c r="E1802" s="17"/>
      <c r="F1802" s="17"/>
      <c r="G1802" s="17"/>
      <c r="H1802" s="17"/>
      <c r="I1802" s="17"/>
      <c r="J1802" s="17"/>
      <c r="K1802" s="17"/>
      <c r="L1802" s="17"/>
      <c r="M1802" s="17"/>
      <c r="N1802" s="17"/>
      <c r="O1802" s="17"/>
    </row>
    <row r="1803" spans="2:15" x14ac:dyDescent="0.3">
      <c r="B1803" s="6" t="s">
        <v>534</v>
      </c>
      <c r="C1803" s="17"/>
      <c r="D1803" s="17"/>
      <c r="E1803" s="17"/>
      <c r="F1803" s="17"/>
      <c r="G1803" s="17"/>
      <c r="H1803" s="17"/>
      <c r="I1803" s="17"/>
      <c r="J1803" s="17"/>
      <c r="K1803" s="17"/>
      <c r="L1803" s="17"/>
      <c r="M1803" s="17"/>
      <c r="N1803" s="17"/>
      <c r="O1803" s="17"/>
    </row>
    <row r="1804" spans="2:15" x14ac:dyDescent="0.3">
      <c r="B1804" s="23" t="s">
        <v>46</v>
      </c>
      <c r="C1804" s="17"/>
      <c r="D1804" s="17"/>
      <c r="E1804" s="17"/>
      <c r="F1804" s="17"/>
      <c r="G1804" s="17"/>
      <c r="H1804" s="17"/>
      <c r="I1804" s="17"/>
      <c r="J1804" s="17"/>
      <c r="K1804" s="17"/>
      <c r="L1804" s="17"/>
      <c r="M1804" s="17"/>
      <c r="N1804" s="17"/>
      <c r="O1804" s="17"/>
    </row>
    <row r="1805" spans="2:15" x14ac:dyDescent="0.3">
      <c r="B1805" t="s">
        <v>137</v>
      </c>
      <c r="C1805" s="17">
        <v>5.7158800898086302E-2</v>
      </c>
      <c r="D1805" s="17">
        <v>4.8612560358873902E-2</v>
      </c>
      <c r="E1805" s="17">
        <v>6.6111848686743094E-2</v>
      </c>
      <c r="F1805" s="17"/>
      <c r="G1805" s="17">
        <v>6.7481694647209295E-2</v>
      </c>
      <c r="H1805" s="17">
        <v>5.0040209464703098E-2</v>
      </c>
      <c r="I1805" s="17">
        <v>4.9150720700239202E-2</v>
      </c>
      <c r="J1805" s="17">
        <v>5.9563739534071597E-2</v>
      </c>
      <c r="K1805" s="17"/>
      <c r="L1805" s="17">
        <v>0.10002629919059899</v>
      </c>
      <c r="M1805" s="17">
        <v>7.0749633940152407E-2</v>
      </c>
      <c r="N1805" s="17">
        <v>4.5022509758725002E-2</v>
      </c>
      <c r="O1805" s="17">
        <v>1.2818509734022199E-2</v>
      </c>
    </row>
    <row r="1806" spans="2:15" x14ac:dyDescent="0.3">
      <c r="B1806" t="s">
        <v>138</v>
      </c>
      <c r="C1806" s="17">
        <v>0.226618535696859</v>
      </c>
      <c r="D1806" s="17">
        <v>0.17460456301451799</v>
      </c>
      <c r="E1806" s="17">
        <v>0.27587914407602199</v>
      </c>
      <c r="F1806" s="17"/>
      <c r="G1806" s="17">
        <v>0.161083636346843</v>
      </c>
      <c r="H1806" s="17">
        <v>0.27425523495205301</v>
      </c>
      <c r="I1806" s="17">
        <v>0.30815861826409302</v>
      </c>
      <c r="J1806" s="17">
        <v>0.185235116251386</v>
      </c>
      <c r="K1806" s="17"/>
      <c r="L1806" s="17">
        <v>0.235919248972702</v>
      </c>
      <c r="M1806" s="17">
        <v>0.26962811281939297</v>
      </c>
      <c r="N1806" s="17">
        <v>0.23124796388111299</v>
      </c>
      <c r="O1806" s="17">
        <v>0.16603473013504599</v>
      </c>
    </row>
    <row r="1807" spans="2:15" x14ac:dyDescent="0.3">
      <c r="B1807" t="s">
        <v>139</v>
      </c>
      <c r="C1807" s="17">
        <v>0.227985238403943</v>
      </c>
      <c r="D1807" s="17">
        <v>0.23483614868547001</v>
      </c>
      <c r="E1807" s="17">
        <v>0.22280351515958599</v>
      </c>
      <c r="F1807" s="17"/>
      <c r="G1807" s="17">
        <v>0.19571250895242401</v>
      </c>
      <c r="H1807" s="17">
        <v>0.164390558922545</v>
      </c>
      <c r="I1807" s="17">
        <v>0.24058518422368499</v>
      </c>
      <c r="J1807" s="17">
        <v>0.33247639038137999</v>
      </c>
      <c r="K1807" s="17"/>
      <c r="L1807" s="17">
        <v>0.20954144298826299</v>
      </c>
      <c r="M1807" s="17">
        <v>0.20959306668949201</v>
      </c>
      <c r="N1807" s="17">
        <v>0.226462412714038</v>
      </c>
      <c r="O1807" s="17">
        <v>0.26786427970680698</v>
      </c>
    </row>
    <row r="1808" spans="2:15" x14ac:dyDescent="0.3">
      <c r="B1808" t="s">
        <v>140</v>
      </c>
      <c r="C1808" s="17">
        <v>0.25941673263936199</v>
      </c>
      <c r="D1808" s="17">
        <v>0.26960293420190101</v>
      </c>
      <c r="E1808" s="17">
        <v>0.24819089676842301</v>
      </c>
      <c r="F1808" s="17"/>
      <c r="G1808" s="17">
        <v>0.30318902663039299</v>
      </c>
      <c r="H1808" s="17">
        <v>0.28667581194185399</v>
      </c>
      <c r="I1808" s="17">
        <v>0.218018287662088</v>
      </c>
      <c r="J1808" s="17">
        <v>0.203412872815317</v>
      </c>
      <c r="K1808" s="17"/>
      <c r="L1808" s="17">
        <v>0.206534177114608</v>
      </c>
      <c r="M1808" s="17">
        <v>0.27241254453139901</v>
      </c>
      <c r="N1808" s="17">
        <v>0.24390746456668</v>
      </c>
      <c r="O1808" s="17">
        <v>0.31512065214687301</v>
      </c>
    </row>
    <row r="1809" spans="2:15" x14ac:dyDescent="0.3">
      <c r="B1809" t="s">
        <v>141</v>
      </c>
      <c r="C1809" s="17">
        <v>0.207981933775781</v>
      </c>
      <c r="D1809" s="17">
        <v>0.24422530651291499</v>
      </c>
      <c r="E1809" s="17">
        <v>0.173295424005386</v>
      </c>
      <c r="F1809" s="17"/>
      <c r="G1809" s="17">
        <v>0.25406651878979802</v>
      </c>
      <c r="H1809" s="17">
        <v>0.21113198640741301</v>
      </c>
      <c r="I1809" s="17">
        <v>0.16307611984905099</v>
      </c>
      <c r="J1809" s="17">
        <v>0.187055524958012</v>
      </c>
      <c r="K1809" s="17"/>
      <c r="L1809" s="17">
        <v>0.208165903877263</v>
      </c>
      <c r="M1809" s="17">
        <v>0.170208336951262</v>
      </c>
      <c r="N1809" s="17">
        <v>0.217463196863137</v>
      </c>
      <c r="O1809" s="17">
        <v>0.23816182827725199</v>
      </c>
    </row>
    <row r="1810" spans="2:15" x14ac:dyDescent="0.3">
      <c r="B1810" t="s">
        <v>142</v>
      </c>
      <c r="C1810" s="17">
        <v>2.08387585859693E-2</v>
      </c>
      <c r="D1810" s="17">
        <v>2.8118487226321601E-2</v>
      </c>
      <c r="E1810" s="17">
        <v>1.37191713038402E-2</v>
      </c>
      <c r="F1810" s="17"/>
      <c r="G1810" s="17">
        <v>1.8466614633332799E-2</v>
      </c>
      <c r="H1810" s="17">
        <v>1.35061983114311E-2</v>
      </c>
      <c r="I1810" s="17">
        <v>2.1011069300843899E-2</v>
      </c>
      <c r="J1810" s="17">
        <v>3.2256356059833E-2</v>
      </c>
      <c r="K1810" s="17"/>
      <c r="L1810" s="17">
        <v>3.9812927856564297E-2</v>
      </c>
      <c r="M1810" s="17">
        <v>7.40830506830128E-3</v>
      </c>
      <c r="N1810" s="17">
        <v>3.5896452216306801E-2</v>
      </c>
      <c r="O1810" s="17">
        <v>0</v>
      </c>
    </row>
    <row r="1811" spans="2:15" x14ac:dyDescent="0.3">
      <c r="B1811" t="s">
        <v>143</v>
      </c>
      <c r="C1811" s="17">
        <v>0.28377733659494497</v>
      </c>
      <c r="D1811" s="17">
        <v>0.223217123373392</v>
      </c>
      <c r="E1811" s="17">
        <v>0.34199099276276601</v>
      </c>
      <c r="F1811" s="17"/>
      <c r="G1811" s="17">
        <v>0.22856533099405199</v>
      </c>
      <c r="H1811" s="17">
        <v>0.32429544441675601</v>
      </c>
      <c r="I1811" s="17">
        <v>0.35730933896433198</v>
      </c>
      <c r="J1811" s="17">
        <v>0.24479885578545801</v>
      </c>
      <c r="K1811" s="17"/>
      <c r="L1811" s="17">
        <v>0.33594554816330102</v>
      </c>
      <c r="M1811" s="17">
        <v>0.34037774675954502</v>
      </c>
      <c r="N1811" s="17">
        <v>0.27627047363983798</v>
      </c>
      <c r="O1811" s="17">
        <v>0.17885323986906801</v>
      </c>
    </row>
    <row r="1812" spans="2:15" x14ac:dyDescent="0.3">
      <c r="B1812" t="s">
        <v>144</v>
      </c>
      <c r="C1812" s="17">
        <v>0.46739866641514299</v>
      </c>
      <c r="D1812" s="17">
        <v>0.51382824071481703</v>
      </c>
      <c r="E1812" s="17">
        <v>0.42148632077380899</v>
      </c>
      <c r="F1812" s="17"/>
      <c r="G1812" s="17">
        <v>0.55725554542019096</v>
      </c>
      <c r="H1812" s="17">
        <v>0.49780779834926803</v>
      </c>
      <c r="I1812" s="17">
        <v>0.38109440751113899</v>
      </c>
      <c r="J1812" s="17">
        <v>0.39046839777332998</v>
      </c>
      <c r="K1812" s="17"/>
      <c r="L1812" s="17">
        <v>0.414700080991871</v>
      </c>
      <c r="M1812" s="17">
        <v>0.44262088148266099</v>
      </c>
      <c r="N1812" s="17">
        <v>0.46137066142981698</v>
      </c>
      <c r="O1812" s="17">
        <v>0.55328248042412498</v>
      </c>
    </row>
    <row r="1813" spans="2:15" x14ac:dyDescent="0.3">
      <c r="C1813" s="17"/>
      <c r="D1813" s="17"/>
      <c r="E1813" s="17"/>
      <c r="F1813" s="17"/>
      <c r="G1813" s="17"/>
      <c r="H1813" s="17"/>
      <c r="I1813" s="17"/>
      <c r="J1813" s="17"/>
      <c r="K1813" s="17"/>
      <c r="L1813" s="17"/>
      <c r="M1813" s="17"/>
      <c r="N1813" s="17"/>
      <c r="O1813" s="17"/>
    </row>
    <row r="1814" spans="2:15" x14ac:dyDescent="0.3">
      <c r="B1814" s="6" t="s">
        <v>535</v>
      </c>
      <c r="C1814" s="17"/>
      <c r="D1814" s="17"/>
      <c r="E1814" s="17"/>
      <c r="F1814" s="17"/>
      <c r="G1814" s="17"/>
      <c r="H1814" s="17"/>
      <c r="I1814" s="17"/>
      <c r="J1814" s="17"/>
      <c r="K1814" s="17"/>
      <c r="L1814" s="17"/>
      <c r="M1814" s="17"/>
      <c r="N1814" s="17"/>
      <c r="O1814" s="17"/>
    </row>
    <row r="1815" spans="2:15" x14ac:dyDescent="0.3">
      <c r="B1815" s="23" t="s">
        <v>46</v>
      </c>
      <c r="C1815" s="17"/>
      <c r="D1815" s="17"/>
      <c r="E1815" s="17"/>
      <c r="F1815" s="17"/>
      <c r="G1815" s="17"/>
      <c r="H1815" s="17"/>
      <c r="I1815" s="17"/>
      <c r="J1815" s="17"/>
      <c r="K1815" s="17"/>
      <c r="L1815" s="17"/>
      <c r="M1815" s="17"/>
      <c r="N1815" s="17"/>
      <c r="O1815" s="17"/>
    </row>
    <row r="1816" spans="2:15" x14ac:dyDescent="0.3">
      <c r="B1816" t="s">
        <v>137</v>
      </c>
      <c r="C1816" s="17">
        <v>5.0525759445359898E-2</v>
      </c>
      <c r="D1816" s="17">
        <v>4.7702582971509797E-2</v>
      </c>
      <c r="E1816" s="17">
        <v>5.37139186091556E-2</v>
      </c>
      <c r="F1816" s="17"/>
      <c r="G1816" s="17">
        <v>5.2854345924340497E-2</v>
      </c>
      <c r="H1816" s="17">
        <v>4.1772877951290498E-2</v>
      </c>
      <c r="I1816" s="17">
        <v>1.8473787701849102E-2</v>
      </c>
      <c r="J1816" s="17">
        <v>8.7080021363748095E-2</v>
      </c>
      <c r="K1816" s="17"/>
      <c r="L1816" s="17">
        <v>4.8776973797151603E-2</v>
      </c>
      <c r="M1816" s="17">
        <v>5.2107361043420002E-2</v>
      </c>
      <c r="N1816" s="17">
        <v>5.7624790031833399E-2</v>
      </c>
      <c r="O1816" s="17">
        <v>4.2882508723945001E-2</v>
      </c>
    </row>
    <row r="1817" spans="2:15" x14ac:dyDescent="0.3">
      <c r="B1817" t="s">
        <v>138</v>
      </c>
      <c r="C1817" s="17">
        <v>0.172946105642869</v>
      </c>
      <c r="D1817" s="17">
        <v>0.14207007795433399</v>
      </c>
      <c r="E1817" s="17">
        <v>0.20070169596425999</v>
      </c>
      <c r="F1817" s="17"/>
      <c r="G1817" s="17">
        <v>0.15255438441922101</v>
      </c>
      <c r="H1817" s="17">
        <v>0.17862229766828699</v>
      </c>
      <c r="I1817" s="17">
        <v>0.21984028363910199</v>
      </c>
      <c r="J1817" s="17">
        <v>0.15162147793134501</v>
      </c>
      <c r="K1817" s="17"/>
      <c r="L1817" s="17">
        <v>0.21123968928407</v>
      </c>
      <c r="M1817" s="17">
        <v>0.15187837345746899</v>
      </c>
      <c r="N1817" s="17">
        <v>0.16402085071392</v>
      </c>
      <c r="O1817" s="17">
        <v>0.166985320677174</v>
      </c>
    </row>
    <row r="1818" spans="2:15" x14ac:dyDescent="0.3">
      <c r="B1818" t="s">
        <v>139</v>
      </c>
      <c r="C1818" s="17">
        <v>0.23007781431899199</v>
      </c>
      <c r="D1818" s="17">
        <v>0.22371702037539801</v>
      </c>
      <c r="E1818" s="17">
        <v>0.235166344406633</v>
      </c>
      <c r="F1818" s="17"/>
      <c r="G1818" s="17">
        <v>0.178453478610206</v>
      </c>
      <c r="H1818" s="17">
        <v>0.196997867028739</v>
      </c>
      <c r="I1818" s="17">
        <v>0.28148770695345499</v>
      </c>
      <c r="J1818" s="17">
        <v>0.28972244830973398</v>
      </c>
      <c r="K1818" s="17"/>
      <c r="L1818" s="17">
        <v>0.24047164070483401</v>
      </c>
      <c r="M1818" s="17">
        <v>0.216640387954745</v>
      </c>
      <c r="N1818" s="17">
        <v>0.24673755494279501</v>
      </c>
      <c r="O1818" s="17">
        <v>0.21609134880072101</v>
      </c>
    </row>
    <row r="1819" spans="2:15" x14ac:dyDescent="0.3">
      <c r="B1819" t="s">
        <v>140</v>
      </c>
      <c r="C1819" s="17">
        <v>0.26573968128464798</v>
      </c>
      <c r="D1819" s="17">
        <v>0.27637122868368902</v>
      </c>
      <c r="E1819" s="17">
        <v>0.25705674994709798</v>
      </c>
      <c r="F1819" s="17"/>
      <c r="G1819" s="17">
        <v>0.29824000328586497</v>
      </c>
      <c r="H1819" s="17">
        <v>0.309501268495945</v>
      </c>
      <c r="I1819" s="17">
        <v>0.247350873016113</v>
      </c>
      <c r="J1819" s="17">
        <v>0.18472916428724001</v>
      </c>
      <c r="K1819" s="17"/>
      <c r="L1819" s="17">
        <v>0.17038607962217001</v>
      </c>
      <c r="M1819" s="17">
        <v>0.33894631307352202</v>
      </c>
      <c r="N1819" s="17">
        <v>0.28198503032158601</v>
      </c>
      <c r="O1819" s="17">
        <v>0.26474156608119997</v>
      </c>
    </row>
    <row r="1820" spans="2:15" x14ac:dyDescent="0.3">
      <c r="B1820" t="s">
        <v>141</v>
      </c>
      <c r="C1820" s="17">
        <v>0.245322500347017</v>
      </c>
      <c r="D1820" s="17">
        <v>0.27445299771111198</v>
      </c>
      <c r="E1820" s="17">
        <v>0.218012883269249</v>
      </c>
      <c r="F1820" s="17"/>
      <c r="G1820" s="17">
        <v>0.28914301164295603</v>
      </c>
      <c r="H1820" s="17">
        <v>0.23695386276493499</v>
      </c>
      <c r="I1820" s="17">
        <v>0.188643738016639</v>
      </c>
      <c r="J1820" s="17">
        <v>0.25145604781256797</v>
      </c>
      <c r="K1820" s="17"/>
      <c r="L1820" s="17">
        <v>0.24370360053992399</v>
      </c>
      <c r="M1820" s="17">
        <v>0.226630227291514</v>
      </c>
      <c r="N1820" s="17">
        <v>0.206322960763696</v>
      </c>
      <c r="O1820" s="17">
        <v>0.30929925571696099</v>
      </c>
    </row>
    <row r="1821" spans="2:15" x14ac:dyDescent="0.3">
      <c r="B1821" t="s">
        <v>142</v>
      </c>
      <c r="C1821" s="17">
        <v>3.5388138961113098E-2</v>
      </c>
      <c r="D1821" s="17">
        <v>3.5686092303957501E-2</v>
      </c>
      <c r="E1821" s="17">
        <v>3.53484078036033E-2</v>
      </c>
      <c r="F1821" s="17"/>
      <c r="G1821" s="17">
        <v>2.8754776117411101E-2</v>
      </c>
      <c r="H1821" s="17">
        <v>3.6151826090803502E-2</v>
      </c>
      <c r="I1821" s="17">
        <v>4.4203610672841502E-2</v>
      </c>
      <c r="J1821" s="17">
        <v>3.5390840295365801E-2</v>
      </c>
      <c r="K1821" s="17"/>
      <c r="L1821" s="17">
        <v>8.5422016051849695E-2</v>
      </c>
      <c r="M1821" s="17">
        <v>1.37973371793291E-2</v>
      </c>
      <c r="N1821" s="17">
        <v>4.33088132261693E-2</v>
      </c>
      <c r="O1821" s="17">
        <v>0</v>
      </c>
    </row>
    <row r="1822" spans="2:15" x14ac:dyDescent="0.3">
      <c r="B1822" t="s">
        <v>143</v>
      </c>
      <c r="C1822" s="17">
        <v>0.223471865088229</v>
      </c>
      <c r="D1822" s="17">
        <v>0.18977266092584399</v>
      </c>
      <c r="E1822" s="17">
        <v>0.25441561457341599</v>
      </c>
      <c r="F1822" s="17"/>
      <c r="G1822" s="17">
        <v>0.205408730343562</v>
      </c>
      <c r="H1822" s="17">
        <v>0.220395175619578</v>
      </c>
      <c r="I1822" s="17">
        <v>0.23831407134095101</v>
      </c>
      <c r="J1822" s="17">
        <v>0.23870149929509299</v>
      </c>
      <c r="K1822" s="17"/>
      <c r="L1822" s="17">
        <v>0.26001666308122201</v>
      </c>
      <c r="M1822" s="17">
        <v>0.203985734500889</v>
      </c>
      <c r="N1822" s="17">
        <v>0.22164564074575299</v>
      </c>
      <c r="O1822" s="17">
        <v>0.209867829401119</v>
      </c>
    </row>
    <row r="1823" spans="2:15" x14ac:dyDescent="0.3">
      <c r="B1823" t="s">
        <v>144</v>
      </c>
      <c r="C1823" s="17">
        <v>0.51106218163166495</v>
      </c>
      <c r="D1823" s="17">
        <v>0.550824226394801</v>
      </c>
      <c r="E1823" s="17">
        <v>0.47506963321634699</v>
      </c>
      <c r="F1823" s="17"/>
      <c r="G1823" s="17">
        <v>0.58738301492882095</v>
      </c>
      <c r="H1823" s="17">
        <v>0.54645513126087997</v>
      </c>
      <c r="I1823" s="17">
        <v>0.435994611032752</v>
      </c>
      <c r="J1823" s="17">
        <v>0.43618521209980698</v>
      </c>
      <c r="K1823" s="17"/>
      <c r="L1823" s="17">
        <v>0.41408968016209502</v>
      </c>
      <c r="M1823" s="17">
        <v>0.56557654036503702</v>
      </c>
      <c r="N1823" s="17">
        <v>0.488307991085282</v>
      </c>
      <c r="O1823" s="17">
        <v>0.57404082179816096</v>
      </c>
    </row>
    <row r="1824" spans="2:15" x14ac:dyDescent="0.3">
      <c r="C1824" s="17"/>
      <c r="D1824" s="17"/>
      <c r="E1824" s="17"/>
      <c r="F1824" s="17"/>
      <c r="G1824" s="17"/>
      <c r="H1824" s="17"/>
      <c r="I1824" s="17"/>
      <c r="J1824" s="17"/>
      <c r="K1824" s="17"/>
      <c r="L1824" s="17"/>
      <c r="M1824" s="17"/>
      <c r="N1824" s="17"/>
      <c r="O1824" s="17"/>
    </row>
    <row r="1825" spans="2:15" x14ac:dyDescent="0.3">
      <c r="B1825" s="6" t="s">
        <v>553</v>
      </c>
      <c r="C1825" s="17"/>
      <c r="D1825" s="17"/>
      <c r="E1825" s="17"/>
      <c r="F1825" s="17"/>
      <c r="G1825" s="17"/>
      <c r="H1825" s="17"/>
      <c r="I1825" s="17"/>
      <c r="J1825" s="17"/>
      <c r="K1825" s="17"/>
      <c r="L1825" s="17"/>
      <c r="M1825" s="17"/>
      <c r="N1825" s="17"/>
      <c r="O1825" s="17"/>
    </row>
    <row r="1826" spans="2:15" x14ac:dyDescent="0.3">
      <c r="B1826" s="23" t="s">
        <v>46</v>
      </c>
      <c r="C1826" s="17"/>
      <c r="D1826" s="17"/>
      <c r="E1826" s="17"/>
      <c r="F1826" s="17"/>
      <c r="G1826" s="17"/>
      <c r="H1826" s="17"/>
      <c r="I1826" s="17"/>
      <c r="J1826" s="17"/>
      <c r="K1826" s="17"/>
      <c r="L1826" s="17"/>
      <c r="M1826" s="17"/>
      <c r="N1826" s="17"/>
      <c r="O1826" s="17"/>
    </row>
    <row r="1827" spans="2:15" x14ac:dyDescent="0.3">
      <c r="B1827" t="s">
        <v>548</v>
      </c>
      <c r="C1827" s="17">
        <v>0.15836735451485701</v>
      </c>
      <c r="D1827" s="17">
        <v>0.161697514032107</v>
      </c>
      <c r="E1827" s="17">
        <v>0.15619505103592901</v>
      </c>
      <c r="F1827" s="17"/>
      <c r="G1827" s="17">
        <v>0.26164008379852199</v>
      </c>
      <c r="H1827" s="17">
        <v>0.10866796548076001</v>
      </c>
      <c r="I1827" s="17">
        <v>0.131314849628626</v>
      </c>
      <c r="J1827" s="17">
        <v>9.8371573729610196E-2</v>
      </c>
      <c r="K1827" s="17"/>
      <c r="L1827" s="17">
        <v>0.203073102202873</v>
      </c>
      <c r="M1827" s="17">
        <v>0.16161850604931499</v>
      </c>
      <c r="N1827" s="17">
        <v>0.16641226479278001</v>
      </c>
      <c r="O1827" s="17">
        <v>0.10144883646595999</v>
      </c>
    </row>
    <row r="1828" spans="2:15" x14ac:dyDescent="0.3">
      <c r="B1828" t="s">
        <v>549</v>
      </c>
      <c r="C1828" s="17">
        <v>0.414814959263687</v>
      </c>
      <c r="D1828" s="17">
        <v>0.41818556586852801</v>
      </c>
      <c r="E1828" s="17">
        <v>0.411529392729925</v>
      </c>
      <c r="F1828" s="17"/>
      <c r="G1828" s="17">
        <v>0.37610522138187802</v>
      </c>
      <c r="H1828" s="17">
        <v>0.44112646139084299</v>
      </c>
      <c r="I1828" s="17">
        <v>0.396596784997445</v>
      </c>
      <c r="J1828" s="17">
        <v>0.45525106202371102</v>
      </c>
      <c r="K1828" s="17"/>
      <c r="L1828" s="17">
        <v>0.43618820436113298</v>
      </c>
      <c r="M1828" s="17">
        <v>0.450456358902323</v>
      </c>
      <c r="N1828" s="17">
        <v>0.38452419593563603</v>
      </c>
      <c r="O1828" s="17">
        <v>0.38791520209976399</v>
      </c>
    </row>
    <row r="1829" spans="2:15" x14ac:dyDescent="0.3">
      <c r="B1829" t="s">
        <v>550</v>
      </c>
      <c r="C1829" s="17">
        <v>0.36337115247176499</v>
      </c>
      <c r="D1829" s="17">
        <v>0.36829084446286198</v>
      </c>
      <c r="E1829" s="17">
        <v>0.35675943481224398</v>
      </c>
      <c r="F1829" s="17"/>
      <c r="G1829" s="17">
        <v>0.32346527878522102</v>
      </c>
      <c r="H1829" s="17">
        <v>0.370652868670585</v>
      </c>
      <c r="I1829" s="17">
        <v>0.41430221069317502</v>
      </c>
      <c r="J1829" s="17">
        <v>0.36344931670814201</v>
      </c>
      <c r="K1829" s="17"/>
      <c r="L1829" s="17">
        <v>0.30683395909386801</v>
      </c>
      <c r="M1829" s="17">
        <v>0.32407935835830798</v>
      </c>
      <c r="N1829" s="17">
        <v>0.37326811186503001</v>
      </c>
      <c r="O1829" s="17">
        <v>0.45145508502294901</v>
      </c>
    </row>
    <row r="1830" spans="2:15" x14ac:dyDescent="0.3">
      <c r="B1830" t="s">
        <v>551</v>
      </c>
      <c r="C1830" s="17">
        <v>2.728757492423E-2</v>
      </c>
      <c r="D1830" s="17">
        <v>2.8742020903530899E-2</v>
      </c>
      <c r="E1830" s="17">
        <v>2.6033636049312001E-2</v>
      </c>
      <c r="F1830" s="17"/>
      <c r="G1830" s="17">
        <v>1.3127302474163501E-2</v>
      </c>
      <c r="H1830" s="17">
        <v>5.2445667789806E-2</v>
      </c>
      <c r="I1830" s="17">
        <v>1.0842772073534099E-2</v>
      </c>
      <c r="J1830" s="17">
        <v>3.2388361521831201E-2</v>
      </c>
      <c r="K1830" s="17"/>
      <c r="L1830" s="17">
        <v>1.70291714988513E-2</v>
      </c>
      <c r="M1830" s="17">
        <v>1.9090901716474901E-2</v>
      </c>
      <c r="N1830" s="17">
        <v>3.7302662429634703E-2</v>
      </c>
      <c r="O1830" s="17">
        <v>3.55139335180054E-2</v>
      </c>
    </row>
    <row r="1831" spans="2:15" x14ac:dyDescent="0.3">
      <c r="B1831" t="s">
        <v>107</v>
      </c>
      <c r="C1831" s="17">
        <v>3.6158958825461503E-2</v>
      </c>
      <c r="D1831" s="17">
        <v>2.3084054732971201E-2</v>
      </c>
      <c r="E1831" s="17">
        <v>4.9482485372590701E-2</v>
      </c>
      <c r="F1831" s="17"/>
      <c r="G1831" s="17">
        <v>2.5662113560215302E-2</v>
      </c>
      <c r="H1831" s="17">
        <v>2.7107036668006099E-2</v>
      </c>
      <c r="I1831" s="17">
        <v>4.6943382607219898E-2</v>
      </c>
      <c r="J1831" s="17">
        <v>5.0539686016705297E-2</v>
      </c>
      <c r="K1831" s="17"/>
      <c r="L1831" s="17">
        <v>3.6875562843275103E-2</v>
      </c>
      <c r="M1831" s="17">
        <v>4.4754874973578399E-2</v>
      </c>
      <c r="N1831" s="17">
        <v>3.8492764976919301E-2</v>
      </c>
      <c r="O1831" s="17">
        <v>2.3666942893321601E-2</v>
      </c>
    </row>
    <row r="1832" spans="2:15" x14ac:dyDescent="0.3">
      <c r="C1832" s="17"/>
      <c r="D1832" s="17"/>
      <c r="E1832" s="17"/>
      <c r="F1832" s="17"/>
      <c r="G1832" s="17"/>
      <c r="H1832" s="17"/>
      <c r="I1832" s="17"/>
      <c r="J1832" s="17"/>
      <c r="K1832" s="17"/>
      <c r="L1832" s="17"/>
      <c r="M1832" s="17"/>
      <c r="N1832" s="17"/>
      <c r="O1832" s="17"/>
    </row>
    <row r="1833" spans="2:15" x14ac:dyDescent="0.3">
      <c r="B1833" s="6" t="s">
        <v>554</v>
      </c>
      <c r="C1833" s="17"/>
      <c r="D1833" s="17"/>
      <c r="E1833" s="17"/>
      <c r="F1833" s="17"/>
      <c r="G1833" s="17"/>
      <c r="H1833" s="17"/>
      <c r="I1833" s="17"/>
      <c r="J1833" s="17"/>
      <c r="K1833" s="17"/>
      <c r="L1833" s="17"/>
      <c r="M1833" s="17"/>
      <c r="N1833" s="17"/>
      <c r="O1833" s="17"/>
    </row>
    <row r="1834" spans="2:15" x14ac:dyDescent="0.3">
      <c r="B1834" s="23" t="s">
        <v>46</v>
      </c>
      <c r="C1834" s="17"/>
      <c r="D1834" s="17"/>
      <c r="E1834" s="17"/>
      <c r="F1834" s="17"/>
      <c r="G1834" s="17"/>
      <c r="H1834" s="17"/>
      <c r="I1834" s="17"/>
      <c r="J1834" s="17"/>
      <c r="K1834" s="17"/>
      <c r="L1834" s="17"/>
      <c r="M1834" s="17"/>
      <c r="N1834" s="17"/>
      <c r="O1834" s="17"/>
    </row>
    <row r="1835" spans="2:15" x14ac:dyDescent="0.3">
      <c r="B1835" t="s">
        <v>548</v>
      </c>
      <c r="C1835" s="17">
        <v>0.16699937809528601</v>
      </c>
      <c r="D1835" s="17">
        <v>0.16208686396660599</v>
      </c>
      <c r="E1835" s="17">
        <v>0.16877766316324799</v>
      </c>
      <c r="F1835" s="17"/>
      <c r="G1835" s="17">
        <v>0.216636154634439</v>
      </c>
      <c r="H1835" s="17">
        <v>0.14300636324847901</v>
      </c>
      <c r="I1835" s="17">
        <v>0.1324616544127</v>
      </c>
      <c r="J1835" s="17">
        <v>0.16246885935493899</v>
      </c>
      <c r="K1835" s="17"/>
      <c r="L1835" s="17">
        <v>0.18206546752897099</v>
      </c>
      <c r="M1835" s="17">
        <v>0.151309247668652</v>
      </c>
      <c r="N1835" s="17">
        <v>0.19327529934593801</v>
      </c>
      <c r="O1835" s="17">
        <v>0.140346483977804</v>
      </c>
    </row>
    <row r="1836" spans="2:15" x14ac:dyDescent="0.3">
      <c r="B1836" t="s">
        <v>549</v>
      </c>
      <c r="C1836" s="17">
        <v>0.34691917449181298</v>
      </c>
      <c r="D1836" s="17">
        <v>0.34896371066509901</v>
      </c>
      <c r="E1836" s="17">
        <v>0.34446339411865401</v>
      </c>
      <c r="F1836" s="17"/>
      <c r="G1836" s="17">
        <v>0.34663449211972402</v>
      </c>
      <c r="H1836" s="17">
        <v>0.35938063356007599</v>
      </c>
      <c r="I1836" s="17">
        <v>0.31265086929657598</v>
      </c>
      <c r="J1836" s="17">
        <v>0.35923933919429302</v>
      </c>
      <c r="K1836" s="17"/>
      <c r="L1836" s="17">
        <v>0.34933949442140599</v>
      </c>
      <c r="M1836" s="17">
        <v>0.36568365347355702</v>
      </c>
      <c r="N1836" s="17">
        <v>0.36247691538961102</v>
      </c>
      <c r="O1836" s="17">
        <v>0.30745860483651899</v>
      </c>
    </row>
    <row r="1837" spans="2:15" x14ac:dyDescent="0.3">
      <c r="B1837" t="s">
        <v>550</v>
      </c>
      <c r="C1837" s="17">
        <v>0.40616275618556402</v>
      </c>
      <c r="D1837" s="17">
        <v>0.42721328489413501</v>
      </c>
      <c r="E1837" s="17">
        <v>0.38809600098866898</v>
      </c>
      <c r="F1837" s="17"/>
      <c r="G1837" s="17">
        <v>0.38892032881248201</v>
      </c>
      <c r="H1837" s="17">
        <v>0.39395312097945001</v>
      </c>
      <c r="I1837" s="17">
        <v>0.48442403675273399</v>
      </c>
      <c r="J1837" s="17">
        <v>0.374263326443799</v>
      </c>
      <c r="K1837" s="17"/>
      <c r="L1837" s="17">
        <v>0.415950708938295</v>
      </c>
      <c r="M1837" s="17">
        <v>0.39684099008309398</v>
      </c>
      <c r="N1837" s="17">
        <v>0.33340618537856798</v>
      </c>
      <c r="O1837" s="17">
        <v>0.48522238231125198</v>
      </c>
    </row>
    <row r="1838" spans="2:15" x14ac:dyDescent="0.3">
      <c r="B1838" t="s">
        <v>551</v>
      </c>
      <c r="C1838" s="17">
        <v>4.7924697802241401E-2</v>
      </c>
      <c r="D1838" s="17">
        <v>4.3269513458672998E-2</v>
      </c>
      <c r="E1838" s="17">
        <v>5.2923825548286403E-2</v>
      </c>
      <c r="F1838" s="17"/>
      <c r="G1838" s="17">
        <v>1.7401323177154499E-2</v>
      </c>
      <c r="H1838" s="17">
        <v>7.45782256928961E-2</v>
      </c>
      <c r="I1838" s="17">
        <v>6.0805910479062301E-2</v>
      </c>
      <c r="J1838" s="17">
        <v>4.6026775759925302E-2</v>
      </c>
      <c r="K1838" s="17"/>
      <c r="L1838" s="17">
        <v>4.3953419204144799E-2</v>
      </c>
      <c r="M1838" s="17">
        <v>3.6685678263294601E-2</v>
      </c>
      <c r="N1838" s="17">
        <v>6.3296819529357798E-2</v>
      </c>
      <c r="O1838" s="17">
        <v>4.7333304942404397E-2</v>
      </c>
    </row>
    <row r="1839" spans="2:15" x14ac:dyDescent="0.3">
      <c r="B1839" t="s">
        <v>107</v>
      </c>
      <c r="C1839" s="17">
        <v>3.19939934250945E-2</v>
      </c>
      <c r="D1839" s="17">
        <v>1.8466627015487298E-2</v>
      </c>
      <c r="E1839" s="17">
        <v>4.5739116181142403E-2</v>
      </c>
      <c r="F1839" s="17"/>
      <c r="G1839" s="17">
        <v>3.0407701256200501E-2</v>
      </c>
      <c r="H1839" s="17">
        <v>2.90816565190994E-2</v>
      </c>
      <c r="I1839" s="17">
        <v>9.6575290589285493E-3</v>
      </c>
      <c r="J1839" s="17">
        <v>5.8001699247044403E-2</v>
      </c>
      <c r="K1839" s="17"/>
      <c r="L1839" s="17">
        <v>8.69090990718226E-3</v>
      </c>
      <c r="M1839" s="17">
        <v>4.9480430511402003E-2</v>
      </c>
      <c r="N1839" s="17">
        <v>4.75447803565247E-2</v>
      </c>
      <c r="O1839" s="17">
        <v>1.96392239320206E-2</v>
      </c>
    </row>
    <row r="1840" spans="2:15" x14ac:dyDescent="0.3">
      <c r="C1840" s="17"/>
      <c r="D1840" s="17"/>
      <c r="E1840" s="17"/>
      <c r="F1840" s="17"/>
      <c r="G1840" s="17"/>
      <c r="H1840" s="17"/>
      <c r="I1840" s="17"/>
      <c r="J1840" s="17"/>
      <c r="K1840" s="17"/>
      <c r="L1840" s="17"/>
      <c r="M1840" s="17"/>
      <c r="N1840" s="17"/>
      <c r="O1840" s="17"/>
    </row>
    <row r="1841" spans="2:15" x14ac:dyDescent="0.3">
      <c r="B1841" s="6" t="s">
        <v>555</v>
      </c>
      <c r="C1841" s="17"/>
      <c r="D1841" s="17"/>
      <c r="E1841" s="17"/>
      <c r="F1841" s="17"/>
      <c r="G1841" s="17"/>
      <c r="H1841" s="17"/>
      <c r="I1841" s="17"/>
      <c r="J1841" s="17"/>
      <c r="K1841" s="17"/>
      <c r="L1841" s="17"/>
      <c r="M1841" s="17"/>
      <c r="N1841" s="17"/>
      <c r="O1841" s="17"/>
    </row>
    <row r="1842" spans="2:15" x14ac:dyDescent="0.3">
      <c r="B1842" s="23" t="s">
        <v>46</v>
      </c>
      <c r="C1842" s="17"/>
      <c r="D1842" s="17"/>
      <c r="E1842" s="17"/>
      <c r="F1842" s="17"/>
      <c r="G1842" s="17"/>
      <c r="H1842" s="17"/>
      <c r="I1842" s="17"/>
      <c r="J1842" s="17"/>
      <c r="K1842" s="17"/>
      <c r="L1842" s="17"/>
      <c r="M1842" s="17"/>
      <c r="N1842" s="17"/>
      <c r="O1842" s="17"/>
    </row>
    <row r="1843" spans="2:15" x14ac:dyDescent="0.3">
      <c r="B1843" t="s">
        <v>548</v>
      </c>
      <c r="C1843" s="17">
        <v>6.0848451940841097E-2</v>
      </c>
      <c r="D1843" s="17">
        <v>4.3704450115954703E-2</v>
      </c>
      <c r="E1843" s="17">
        <v>7.8416365171869007E-2</v>
      </c>
      <c r="F1843" s="17"/>
      <c r="G1843" s="17">
        <v>6.2823687362871E-2</v>
      </c>
      <c r="H1843" s="17">
        <v>5.9826572993182899E-2</v>
      </c>
      <c r="I1843" s="17">
        <v>5.4931888555479702E-2</v>
      </c>
      <c r="J1843" s="17">
        <v>6.5319370738919996E-2</v>
      </c>
      <c r="K1843" s="17"/>
      <c r="L1843" s="17">
        <v>9.3310984005901404E-2</v>
      </c>
      <c r="M1843" s="17">
        <v>4.47460345121291E-2</v>
      </c>
      <c r="N1843" s="17">
        <v>6.8894015504936207E-2</v>
      </c>
      <c r="O1843" s="17">
        <v>3.6992190218292399E-2</v>
      </c>
    </row>
    <row r="1844" spans="2:15" x14ac:dyDescent="0.3">
      <c r="B1844" t="s">
        <v>549</v>
      </c>
      <c r="C1844" s="17">
        <v>0.225227058212249</v>
      </c>
      <c r="D1844" s="17">
        <v>0.14617949986916301</v>
      </c>
      <c r="E1844" s="17">
        <v>0.305825960530893</v>
      </c>
      <c r="F1844" s="17"/>
      <c r="G1844" s="17">
        <v>0.24612447119620501</v>
      </c>
      <c r="H1844" s="17">
        <v>0.2659721765459</v>
      </c>
      <c r="I1844" s="17">
        <v>0.21784690932165199</v>
      </c>
      <c r="J1844" s="17">
        <v>0.16030576594131801</v>
      </c>
      <c r="K1844" s="17"/>
      <c r="L1844" s="17">
        <v>0.19225366403323599</v>
      </c>
      <c r="M1844" s="17">
        <v>0.21303918378970599</v>
      </c>
      <c r="N1844" s="17">
        <v>0.23519145315565801</v>
      </c>
      <c r="O1844" s="17">
        <v>0.26051688944500101</v>
      </c>
    </row>
    <row r="1845" spans="2:15" x14ac:dyDescent="0.3">
      <c r="B1845" t="s">
        <v>550</v>
      </c>
      <c r="C1845" s="17">
        <v>0.55189334434433801</v>
      </c>
      <c r="D1845" s="17">
        <v>0.62980689282815805</v>
      </c>
      <c r="E1845" s="17">
        <v>0.47080297629664197</v>
      </c>
      <c r="F1845" s="17"/>
      <c r="G1845" s="17">
        <v>0.57640974793793598</v>
      </c>
      <c r="H1845" s="17">
        <v>0.46282451420973503</v>
      </c>
      <c r="I1845" s="17">
        <v>0.61133825407999298</v>
      </c>
      <c r="J1845" s="17">
        <v>0.57120169748628802</v>
      </c>
      <c r="K1845" s="17"/>
      <c r="L1845" s="17">
        <v>0.52566576650035601</v>
      </c>
      <c r="M1845" s="17">
        <v>0.56481902943115703</v>
      </c>
      <c r="N1845" s="17">
        <v>0.565308220317156</v>
      </c>
      <c r="O1845" s="17">
        <v>0.54968323623042903</v>
      </c>
    </row>
    <row r="1846" spans="2:15" x14ac:dyDescent="0.3">
      <c r="B1846" t="s">
        <v>551</v>
      </c>
      <c r="C1846" s="17">
        <v>8.6368497268307795E-2</v>
      </c>
      <c r="D1846" s="17">
        <v>0.103058012933209</v>
      </c>
      <c r="E1846" s="17">
        <v>7.0327363621966593E-2</v>
      </c>
      <c r="F1846" s="17"/>
      <c r="G1846" s="17">
        <v>6.58955081166612E-2</v>
      </c>
      <c r="H1846" s="17">
        <v>0.13022829751308401</v>
      </c>
      <c r="I1846" s="17">
        <v>4.3040552675754497E-2</v>
      </c>
      <c r="J1846" s="17">
        <v>9.5530225867597393E-2</v>
      </c>
      <c r="K1846" s="17"/>
      <c r="L1846" s="17">
        <v>7.5896915542146504E-2</v>
      </c>
      <c r="M1846" s="17">
        <v>9.8180321230287998E-2</v>
      </c>
      <c r="N1846" s="17">
        <v>8.76724681321637E-2</v>
      </c>
      <c r="O1846" s="17">
        <v>8.2720784781343606E-2</v>
      </c>
    </row>
    <row r="1847" spans="2:15" x14ac:dyDescent="0.3">
      <c r="B1847" t="s">
        <v>107</v>
      </c>
      <c r="C1847" s="17">
        <v>7.5662648234264399E-2</v>
      </c>
      <c r="D1847" s="17">
        <v>7.7251144253515994E-2</v>
      </c>
      <c r="E1847" s="17">
        <v>7.4627334378630006E-2</v>
      </c>
      <c r="F1847" s="17"/>
      <c r="G1847" s="17">
        <v>4.8746585386326903E-2</v>
      </c>
      <c r="H1847" s="17">
        <v>8.1148438738098794E-2</v>
      </c>
      <c r="I1847" s="17">
        <v>7.2842395367119894E-2</v>
      </c>
      <c r="J1847" s="17">
        <v>0.107642939965877</v>
      </c>
      <c r="K1847" s="17"/>
      <c r="L1847" s="17">
        <v>0.11287266991835999</v>
      </c>
      <c r="M1847" s="17">
        <v>7.9215431036719797E-2</v>
      </c>
      <c r="N1847" s="17">
        <v>4.2933842890085297E-2</v>
      </c>
      <c r="O1847" s="17">
        <v>7.0086899324933699E-2</v>
      </c>
    </row>
    <row r="1848" spans="2:15" x14ac:dyDescent="0.3">
      <c r="C1848" s="17"/>
      <c r="D1848" s="17"/>
      <c r="E1848" s="17"/>
      <c r="F1848" s="17"/>
      <c r="G1848" s="17"/>
      <c r="H1848" s="17"/>
      <c r="I1848" s="17"/>
      <c r="J1848" s="17"/>
      <c r="K1848" s="17"/>
      <c r="L1848" s="17"/>
      <c r="M1848" s="17"/>
      <c r="N1848" s="17"/>
      <c r="O1848" s="17"/>
    </row>
    <row r="1849" spans="2:15" x14ac:dyDescent="0.3">
      <c r="B1849" s="6" t="s">
        <v>556</v>
      </c>
      <c r="C1849" s="17"/>
      <c r="D1849" s="17"/>
      <c r="E1849" s="17"/>
      <c r="F1849" s="17"/>
      <c r="G1849" s="17"/>
      <c r="H1849" s="17"/>
      <c r="I1849" s="17"/>
      <c r="J1849" s="17"/>
      <c r="K1849" s="17"/>
      <c r="L1849" s="17"/>
      <c r="M1849" s="17"/>
      <c r="N1849" s="17"/>
      <c r="O1849" s="17"/>
    </row>
    <row r="1850" spans="2:15" x14ac:dyDescent="0.3">
      <c r="B1850" s="23" t="s">
        <v>46</v>
      </c>
      <c r="C1850" s="17"/>
      <c r="D1850" s="17"/>
      <c r="E1850" s="17"/>
      <c r="F1850" s="17"/>
      <c r="G1850" s="17"/>
      <c r="H1850" s="17"/>
      <c r="I1850" s="17"/>
      <c r="J1850" s="17"/>
      <c r="K1850" s="17"/>
      <c r="L1850" s="17"/>
      <c r="M1850" s="17"/>
      <c r="N1850" s="17"/>
      <c r="O1850" s="17"/>
    </row>
    <row r="1851" spans="2:15" x14ac:dyDescent="0.3">
      <c r="B1851" t="s">
        <v>548</v>
      </c>
      <c r="C1851" s="17">
        <v>0.11181725316044</v>
      </c>
      <c r="D1851" s="17">
        <v>0.124915937376263</v>
      </c>
      <c r="E1851" s="17">
        <v>9.9548317089129701E-2</v>
      </c>
      <c r="F1851" s="17"/>
      <c r="G1851" s="17">
        <v>0.15622198481500901</v>
      </c>
      <c r="H1851" s="17">
        <v>8.96530754170487E-2</v>
      </c>
      <c r="I1851" s="17">
        <v>8.7351217346711099E-2</v>
      </c>
      <c r="J1851" s="17">
        <v>9.4460271863528206E-2</v>
      </c>
      <c r="K1851" s="17"/>
      <c r="L1851" s="17">
        <v>0.13626921910997</v>
      </c>
      <c r="M1851" s="17">
        <v>0.11891279715644799</v>
      </c>
      <c r="N1851" s="17">
        <v>0.100377502835804</v>
      </c>
      <c r="O1851" s="17">
        <v>9.2125264854769795E-2</v>
      </c>
    </row>
    <row r="1852" spans="2:15" x14ac:dyDescent="0.3">
      <c r="B1852" t="s">
        <v>549</v>
      </c>
      <c r="C1852" s="17">
        <v>0.29811803447727903</v>
      </c>
      <c r="D1852" s="17">
        <v>0.28790293687558699</v>
      </c>
      <c r="E1852" s="17">
        <v>0.31049397685198998</v>
      </c>
      <c r="F1852" s="17"/>
      <c r="G1852" s="17">
        <v>0.30841818861758302</v>
      </c>
      <c r="H1852" s="17">
        <v>0.28396889011179599</v>
      </c>
      <c r="I1852" s="17">
        <v>0.34673002718511098</v>
      </c>
      <c r="J1852" s="17">
        <v>0.25877241720482802</v>
      </c>
      <c r="K1852" s="17"/>
      <c r="L1852" s="17">
        <v>0.32203592914592399</v>
      </c>
      <c r="M1852" s="17">
        <v>0.31126626048594802</v>
      </c>
      <c r="N1852" s="17">
        <v>0.28119614202306698</v>
      </c>
      <c r="O1852" s="17">
        <v>0.27838788623076499</v>
      </c>
    </row>
    <row r="1853" spans="2:15" x14ac:dyDescent="0.3">
      <c r="B1853" t="s">
        <v>550</v>
      </c>
      <c r="C1853" s="17">
        <v>0.495647759890115</v>
      </c>
      <c r="D1853" s="17">
        <v>0.490229438475762</v>
      </c>
      <c r="E1853" s="17">
        <v>0.49738456170646</v>
      </c>
      <c r="F1853" s="17"/>
      <c r="G1853" s="17">
        <v>0.477837543344032</v>
      </c>
      <c r="H1853" s="17">
        <v>0.51367620524138502</v>
      </c>
      <c r="I1853" s="17">
        <v>0.50237484051374504</v>
      </c>
      <c r="J1853" s="17">
        <v>0.49615944503360199</v>
      </c>
      <c r="K1853" s="17"/>
      <c r="L1853" s="17">
        <v>0.48865122669736999</v>
      </c>
      <c r="M1853" s="17">
        <v>0.47117742075852298</v>
      </c>
      <c r="N1853" s="17">
        <v>0.51220325940213796</v>
      </c>
      <c r="O1853" s="17">
        <v>0.51103332131366896</v>
      </c>
    </row>
    <row r="1854" spans="2:15" x14ac:dyDescent="0.3">
      <c r="B1854" t="s">
        <v>551</v>
      </c>
      <c r="C1854" s="17">
        <v>5.4755761395798901E-2</v>
      </c>
      <c r="D1854" s="17">
        <v>6.9283610032524104E-2</v>
      </c>
      <c r="E1854" s="17">
        <v>4.0643464287140801E-2</v>
      </c>
      <c r="F1854" s="17"/>
      <c r="G1854" s="17">
        <v>3.3150873394504801E-2</v>
      </c>
      <c r="H1854" s="17">
        <v>4.3209599207013297E-2</v>
      </c>
      <c r="I1854" s="17">
        <v>4.2225487650292999E-2</v>
      </c>
      <c r="J1854" s="17">
        <v>0.107849150920757</v>
      </c>
      <c r="K1854" s="17"/>
      <c r="L1854" s="17">
        <v>1.7411486000908701E-2</v>
      </c>
      <c r="M1854" s="17">
        <v>6.3381121685797903E-2</v>
      </c>
      <c r="N1854" s="17">
        <v>7.5411393302989793E-2</v>
      </c>
      <c r="O1854" s="17">
        <v>6.04443055489607E-2</v>
      </c>
    </row>
    <row r="1855" spans="2:15" x14ac:dyDescent="0.3">
      <c r="B1855" t="s">
        <v>107</v>
      </c>
      <c r="C1855" s="17">
        <v>3.9661191076367397E-2</v>
      </c>
      <c r="D1855" s="17">
        <v>2.7668077239864499E-2</v>
      </c>
      <c r="E1855" s="17">
        <v>5.1929680065280003E-2</v>
      </c>
      <c r="F1855" s="17"/>
      <c r="G1855" s="17">
        <v>2.43714098288704E-2</v>
      </c>
      <c r="H1855" s="17">
        <v>6.9492230022756202E-2</v>
      </c>
      <c r="I1855" s="17">
        <v>2.1318427304140401E-2</v>
      </c>
      <c r="J1855" s="17">
        <v>4.27587149772852E-2</v>
      </c>
      <c r="K1855" s="17"/>
      <c r="L1855" s="17">
        <v>3.5632139045826898E-2</v>
      </c>
      <c r="M1855" s="17">
        <v>3.5262399913282103E-2</v>
      </c>
      <c r="N1855" s="17">
        <v>3.0811702436001599E-2</v>
      </c>
      <c r="O1855" s="17">
        <v>5.8009222051835098E-2</v>
      </c>
    </row>
    <row r="1856" spans="2:15" x14ac:dyDescent="0.3">
      <c r="C1856" s="17"/>
      <c r="D1856" s="17"/>
      <c r="E1856" s="17"/>
      <c r="F1856" s="17"/>
      <c r="G1856" s="17"/>
      <c r="H1856" s="17"/>
      <c r="I1856" s="17"/>
      <c r="J1856" s="17"/>
      <c r="K1856" s="17"/>
      <c r="L1856" s="17"/>
      <c r="M1856" s="17"/>
      <c r="N1856" s="17"/>
      <c r="O1856" s="17"/>
    </row>
    <row r="1857" spans="2:15" x14ac:dyDescent="0.3">
      <c r="B1857" s="6" t="s">
        <v>557</v>
      </c>
      <c r="C1857" s="17"/>
      <c r="D1857" s="17"/>
      <c r="E1857" s="17"/>
      <c r="F1857" s="17"/>
      <c r="G1857" s="17"/>
      <c r="H1857" s="17"/>
      <c r="I1857" s="17"/>
      <c r="J1857" s="17"/>
      <c r="K1857" s="17"/>
      <c r="L1857" s="17"/>
      <c r="M1857" s="17"/>
      <c r="N1857" s="17"/>
      <c r="O1857" s="17"/>
    </row>
    <row r="1858" spans="2:15" x14ac:dyDescent="0.3">
      <c r="B1858" s="23" t="s">
        <v>46</v>
      </c>
      <c r="C1858" s="17"/>
      <c r="D1858" s="17"/>
      <c r="E1858" s="17"/>
      <c r="F1858" s="17"/>
      <c r="G1858" s="17"/>
      <c r="H1858" s="17"/>
      <c r="I1858" s="17"/>
      <c r="J1858" s="17"/>
      <c r="K1858" s="17"/>
      <c r="L1858" s="17"/>
      <c r="M1858" s="17"/>
      <c r="N1858" s="17"/>
      <c r="O1858" s="17"/>
    </row>
    <row r="1859" spans="2:15" x14ac:dyDescent="0.3">
      <c r="B1859" t="s">
        <v>548</v>
      </c>
      <c r="C1859" s="17">
        <v>0.20695887697684001</v>
      </c>
      <c r="D1859" s="17">
        <v>0.23273278055832899</v>
      </c>
      <c r="E1859" s="17">
        <v>0.182722467907627</v>
      </c>
      <c r="F1859" s="17"/>
      <c r="G1859" s="17">
        <v>0.22147904376808999</v>
      </c>
      <c r="H1859" s="17">
        <v>0.205922911345989</v>
      </c>
      <c r="I1859" s="17">
        <v>0.22204092283207499</v>
      </c>
      <c r="J1859" s="17">
        <v>0.169182193475719</v>
      </c>
      <c r="K1859" s="17"/>
      <c r="L1859" s="17">
        <v>0.270354756513559</v>
      </c>
      <c r="M1859" s="17">
        <v>0.159180230758662</v>
      </c>
      <c r="N1859" s="17">
        <v>0.21508839876739599</v>
      </c>
      <c r="O1859" s="17">
        <v>0.186154256128998</v>
      </c>
    </row>
    <row r="1860" spans="2:15" x14ac:dyDescent="0.3">
      <c r="B1860" t="s">
        <v>549</v>
      </c>
      <c r="C1860" s="17">
        <v>0.452624283578202</v>
      </c>
      <c r="D1860" s="17">
        <v>0.42281544817630301</v>
      </c>
      <c r="E1860" s="17">
        <v>0.47841032157896501</v>
      </c>
      <c r="F1860" s="17"/>
      <c r="G1860" s="17">
        <v>0.43896369703356602</v>
      </c>
      <c r="H1860" s="17">
        <v>0.42452431574894101</v>
      </c>
      <c r="I1860" s="17">
        <v>0.481864307564557</v>
      </c>
      <c r="J1860" s="17">
        <v>0.47920230301028</v>
      </c>
      <c r="K1860" s="17"/>
      <c r="L1860" s="17">
        <v>0.44299757901319597</v>
      </c>
      <c r="M1860" s="17">
        <v>0.54250576185550703</v>
      </c>
      <c r="N1860" s="17">
        <v>0.43617324396684298</v>
      </c>
      <c r="O1860" s="17">
        <v>0.38338226654508201</v>
      </c>
    </row>
    <row r="1861" spans="2:15" x14ac:dyDescent="0.3">
      <c r="B1861" t="s">
        <v>550</v>
      </c>
      <c r="C1861" s="17">
        <v>0.277389351846969</v>
      </c>
      <c r="D1861" s="17">
        <v>0.29166241304921497</v>
      </c>
      <c r="E1861" s="17">
        <v>0.26515394473464898</v>
      </c>
      <c r="F1861" s="17"/>
      <c r="G1861" s="17">
        <v>0.27753308351426997</v>
      </c>
      <c r="H1861" s="17">
        <v>0.27873714790265303</v>
      </c>
      <c r="I1861" s="17">
        <v>0.267222496010532</v>
      </c>
      <c r="J1861" s="17">
        <v>0.28715087035062598</v>
      </c>
      <c r="K1861" s="17"/>
      <c r="L1861" s="17">
        <v>0.25627976580709999</v>
      </c>
      <c r="M1861" s="17">
        <v>0.246236269858226</v>
      </c>
      <c r="N1861" s="17">
        <v>0.25319936224839701</v>
      </c>
      <c r="O1861" s="17">
        <v>0.35821792390954199</v>
      </c>
    </row>
    <row r="1862" spans="2:15" x14ac:dyDescent="0.3">
      <c r="B1862" t="s">
        <v>551</v>
      </c>
      <c r="C1862" s="17">
        <v>2.97281545479442E-2</v>
      </c>
      <c r="D1862" s="17">
        <v>3.2109960788010199E-2</v>
      </c>
      <c r="E1862" s="17">
        <v>2.7565695828898298E-2</v>
      </c>
      <c r="F1862" s="17"/>
      <c r="G1862" s="17">
        <v>2.1966050524708999E-2</v>
      </c>
      <c r="H1862" s="17">
        <v>5.9245481744180602E-2</v>
      </c>
      <c r="I1862" s="17">
        <v>7.8673597639276407E-3</v>
      </c>
      <c r="J1862" s="17">
        <v>2.65158134942154E-2</v>
      </c>
      <c r="K1862" s="17"/>
      <c r="L1862" s="17">
        <v>2.1676988758962699E-2</v>
      </c>
      <c r="M1862" s="17">
        <v>2.6125067426297E-2</v>
      </c>
      <c r="N1862" s="17">
        <v>5.3216278529315701E-2</v>
      </c>
      <c r="O1862" s="17">
        <v>1.6209900957666501E-2</v>
      </c>
    </row>
    <row r="1863" spans="2:15" x14ac:dyDescent="0.3">
      <c r="B1863" t="s">
        <v>107</v>
      </c>
      <c r="C1863" s="17">
        <v>3.3299333050045003E-2</v>
      </c>
      <c r="D1863" s="17">
        <v>2.0679397428142898E-2</v>
      </c>
      <c r="E1863" s="17">
        <v>4.61475699498596E-2</v>
      </c>
      <c r="F1863" s="17"/>
      <c r="G1863" s="17">
        <v>4.0058125159364202E-2</v>
      </c>
      <c r="H1863" s="17">
        <v>3.1570143258236802E-2</v>
      </c>
      <c r="I1863" s="17">
        <v>2.1004913828908199E-2</v>
      </c>
      <c r="J1863" s="17">
        <v>3.7948819669159098E-2</v>
      </c>
      <c r="K1863" s="17"/>
      <c r="L1863" s="17">
        <v>8.69090990718226E-3</v>
      </c>
      <c r="M1863" s="17">
        <v>2.5952670101308199E-2</v>
      </c>
      <c r="N1863" s="17">
        <v>4.2322716488048098E-2</v>
      </c>
      <c r="O1863" s="17">
        <v>5.6035652458712303E-2</v>
      </c>
    </row>
    <row r="1864" spans="2:15" x14ac:dyDescent="0.3">
      <c r="C1864" s="17"/>
      <c r="D1864" s="17"/>
      <c r="E1864" s="17"/>
      <c r="F1864" s="17"/>
      <c r="G1864" s="17"/>
      <c r="H1864" s="17"/>
      <c r="I1864" s="17"/>
      <c r="J1864" s="17"/>
      <c r="K1864" s="17"/>
      <c r="L1864" s="17"/>
      <c r="M1864" s="17"/>
      <c r="N1864" s="17"/>
      <c r="O1864" s="17"/>
    </row>
    <row r="1865" spans="2:15" x14ac:dyDescent="0.3">
      <c r="B1865" s="6" t="s">
        <v>558</v>
      </c>
      <c r="C1865" s="17"/>
      <c r="D1865" s="17"/>
      <c r="E1865" s="17"/>
      <c r="F1865" s="17"/>
      <c r="G1865" s="17"/>
      <c r="H1865" s="17"/>
      <c r="I1865" s="17"/>
      <c r="J1865" s="17"/>
      <c r="K1865" s="17"/>
      <c r="L1865" s="17"/>
      <c r="M1865" s="17"/>
      <c r="N1865" s="17"/>
      <c r="O1865" s="17"/>
    </row>
    <row r="1866" spans="2:15" x14ac:dyDescent="0.3">
      <c r="B1866" s="23" t="s">
        <v>46</v>
      </c>
      <c r="C1866" s="17"/>
      <c r="D1866" s="17"/>
      <c r="E1866" s="17"/>
      <c r="F1866" s="17"/>
      <c r="G1866" s="17"/>
      <c r="H1866" s="17"/>
      <c r="I1866" s="17"/>
      <c r="J1866" s="17"/>
      <c r="K1866" s="17"/>
      <c r="L1866" s="17"/>
      <c r="M1866" s="17"/>
      <c r="N1866" s="17"/>
      <c r="O1866" s="17"/>
    </row>
    <row r="1867" spans="2:15" x14ac:dyDescent="0.3">
      <c r="B1867" t="s">
        <v>548</v>
      </c>
      <c r="C1867" s="17">
        <v>0.17393677050564499</v>
      </c>
      <c r="D1867" s="17">
        <v>0.18254114541300001</v>
      </c>
      <c r="E1867" s="17">
        <v>0.16660971177596201</v>
      </c>
      <c r="F1867" s="17"/>
      <c r="G1867" s="17">
        <v>0.224033825697629</v>
      </c>
      <c r="H1867" s="17">
        <v>0.16402054993590401</v>
      </c>
      <c r="I1867" s="17">
        <v>0.14606176025364001</v>
      </c>
      <c r="J1867" s="17">
        <v>0.13887380762461199</v>
      </c>
      <c r="K1867" s="17"/>
      <c r="L1867" s="17">
        <v>0.18480746498815401</v>
      </c>
      <c r="M1867" s="17">
        <v>0.16257703891571201</v>
      </c>
      <c r="N1867" s="17">
        <v>0.20084285585346701</v>
      </c>
      <c r="O1867" s="17">
        <v>0.146138134212772</v>
      </c>
    </row>
    <row r="1868" spans="2:15" x14ac:dyDescent="0.3">
      <c r="B1868" t="s">
        <v>549</v>
      </c>
      <c r="C1868" s="17">
        <v>0.31440690188355203</v>
      </c>
      <c r="D1868" s="17">
        <v>0.33629968571079799</v>
      </c>
      <c r="E1868" s="17">
        <v>0.29188853316574498</v>
      </c>
      <c r="F1868" s="17"/>
      <c r="G1868" s="17">
        <v>0.37307622983814698</v>
      </c>
      <c r="H1868" s="17">
        <v>0.23756386560642101</v>
      </c>
      <c r="I1868" s="17">
        <v>0.30841298127637401</v>
      </c>
      <c r="J1868" s="17">
        <v>0.333222808197155</v>
      </c>
      <c r="K1868" s="17"/>
      <c r="L1868" s="17">
        <v>0.29639054643171597</v>
      </c>
      <c r="M1868" s="17">
        <v>0.35529598293348902</v>
      </c>
      <c r="N1868" s="17">
        <v>0.30398798536292099</v>
      </c>
      <c r="O1868" s="17">
        <v>0.29972367819417001</v>
      </c>
    </row>
    <row r="1869" spans="2:15" x14ac:dyDescent="0.3">
      <c r="B1869" t="s">
        <v>550</v>
      </c>
      <c r="C1869" s="17">
        <v>0.42572356695749303</v>
      </c>
      <c r="D1869" s="17">
        <v>0.42459237739210898</v>
      </c>
      <c r="E1869" s="17">
        <v>0.42561022485759697</v>
      </c>
      <c r="F1869" s="17"/>
      <c r="G1869" s="17">
        <v>0.33773894115442199</v>
      </c>
      <c r="H1869" s="17">
        <v>0.468924759333537</v>
      </c>
      <c r="I1869" s="17">
        <v>0.48858281152599298</v>
      </c>
      <c r="J1869" s="17">
        <v>0.43722072624935698</v>
      </c>
      <c r="K1869" s="17"/>
      <c r="L1869" s="17">
        <v>0.44379338100482002</v>
      </c>
      <c r="M1869" s="17">
        <v>0.37737787163056302</v>
      </c>
      <c r="N1869" s="17">
        <v>0.425048045771727</v>
      </c>
      <c r="O1869" s="17">
        <v>0.46039381553129199</v>
      </c>
    </row>
    <row r="1870" spans="2:15" x14ac:dyDescent="0.3">
      <c r="B1870" t="s">
        <v>551</v>
      </c>
      <c r="C1870" s="17">
        <v>4.1439304036301798E-2</v>
      </c>
      <c r="D1870" s="17">
        <v>4.48446130947645E-2</v>
      </c>
      <c r="E1870" s="17">
        <v>3.8339849519527798E-2</v>
      </c>
      <c r="F1870" s="17"/>
      <c r="G1870" s="17">
        <v>4.6679853372324602E-2</v>
      </c>
      <c r="H1870" s="17">
        <v>6.6784216224193796E-2</v>
      </c>
      <c r="I1870" s="17">
        <v>0</v>
      </c>
      <c r="J1870" s="17">
        <v>4.3998836290632302E-2</v>
      </c>
      <c r="K1870" s="17"/>
      <c r="L1870" s="17">
        <v>2.73518066805758E-2</v>
      </c>
      <c r="M1870" s="17">
        <v>6.0364175932821201E-2</v>
      </c>
      <c r="N1870" s="17">
        <v>3.56913863175954E-2</v>
      </c>
      <c r="O1870" s="17">
        <v>4.1395137941037101E-2</v>
      </c>
    </row>
    <row r="1871" spans="2:15" x14ac:dyDescent="0.3">
      <c r="B1871" t="s">
        <v>107</v>
      </c>
      <c r="C1871" s="17">
        <v>4.4493456617008202E-2</v>
      </c>
      <c r="D1871" s="17">
        <v>1.17221783893286E-2</v>
      </c>
      <c r="E1871" s="17">
        <v>7.7551680681168703E-2</v>
      </c>
      <c r="F1871" s="17"/>
      <c r="G1871" s="17">
        <v>1.8471149937477799E-2</v>
      </c>
      <c r="H1871" s="17">
        <v>6.2706608899945296E-2</v>
      </c>
      <c r="I1871" s="17">
        <v>5.6942446943992801E-2</v>
      </c>
      <c r="J1871" s="17">
        <v>4.6683821638243701E-2</v>
      </c>
      <c r="K1871" s="17"/>
      <c r="L1871" s="17">
        <v>4.76568008947343E-2</v>
      </c>
      <c r="M1871" s="17">
        <v>4.4384930587415501E-2</v>
      </c>
      <c r="N1871" s="17">
        <v>3.44297266942893E-2</v>
      </c>
      <c r="O1871" s="17">
        <v>5.2349234120728602E-2</v>
      </c>
    </row>
    <row r="1872" spans="2:15" x14ac:dyDescent="0.3">
      <c r="C1872" s="17"/>
      <c r="D1872" s="17"/>
      <c r="E1872" s="17"/>
      <c r="F1872" s="17"/>
      <c r="G1872" s="17"/>
      <c r="H1872" s="17"/>
      <c r="I1872" s="17"/>
      <c r="J1872" s="17"/>
      <c r="K1872" s="17"/>
      <c r="L1872" s="17"/>
      <c r="M1872" s="17"/>
      <c r="N1872" s="17"/>
      <c r="O1872" s="17"/>
    </row>
    <row r="1873" spans="2:15" x14ac:dyDescent="0.3">
      <c r="B1873" s="6" t="s">
        <v>559</v>
      </c>
      <c r="C1873" s="17"/>
      <c r="D1873" s="17"/>
      <c r="E1873" s="17"/>
      <c r="F1873" s="17"/>
      <c r="G1873" s="17"/>
      <c r="H1873" s="17"/>
      <c r="I1873" s="17"/>
      <c r="J1873" s="17"/>
      <c r="K1873" s="17"/>
      <c r="L1873" s="17"/>
      <c r="M1873" s="17"/>
      <c r="N1873" s="17"/>
      <c r="O1873" s="17"/>
    </row>
    <row r="1874" spans="2:15" x14ac:dyDescent="0.3">
      <c r="B1874" s="23" t="s">
        <v>46</v>
      </c>
      <c r="C1874" s="17"/>
      <c r="D1874" s="17"/>
      <c r="E1874" s="17"/>
      <c r="F1874" s="17"/>
      <c r="G1874" s="17"/>
      <c r="H1874" s="17"/>
      <c r="I1874" s="17"/>
      <c r="J1874" s="17"/>
      <c r="K1874" s="17"/>
      <c r="L1874" s="17"/>
      <c r="M1874" s="17"/>
      <c r="N1874" s="17"/>
      <c r="O1874" s="17"/>
    </row>
    <row r="1875" spans="2:15" x14ac:dyDescent="0.3">
      <c r="B1875" t="s">
        <v>548</v>
      </c>
      <c r="C1875" s="17">
        <v>0.23164697823518701</v>
      </c>
      <c r="D1875" s="17">
        <v>0.23807879886243999</v>
      </c>
      <c r="E1875" s="17">
        <v>0.22691055187489101</v>
      </c>
      <c r="F1875" s="17"/>
      <c r="G1875" s="17">
        <v>0.26853445116782898</v>
      </c>
      <c r="H1875" s="17">
        <v>0.18819590752170501</v>
      </c>
      <c r="I1875" s="17">
        <v>0.23263071359465701</v>
      </c>
      <c r="J1875" s="17">
        <v>0.22595900315909501</v>
      </c>
      <c r="K1875" s="17"/>
      <c r="L1875" s="17">
        <v>0.23889580989984699</v>
      </c>
      <c r="M1875" s="17">
        <v>0.21747052831678701</v>
      </c>
      <c r="N1875" s="17">
        <v>0.26187020312017101</v>
      </c>
      <c r="O1875" s="17">
        <v>0.20690674300886</v>
      </c>
    </row>
    <row r="1876" spans="2:15" x14ac:dyDescent="0.3">
      <c r="B1876" t="s">
        <v>549</v>
      </c>
      <c r="C1876" s="17">
        <v>0.35883639979812698</v>
      </c>
      <c r="D1876" s="17">
        <v>0.38408161680726399</v>
      </c>
      <c r="E1876" s="17">
        <v>0.33329318264184699</v>
      </c>
      <c r="F1876" s="17"/>
      <c r="G1876" s="17">
        <v>0.38016679838399198</v>
      </c>
      <c r="H1876" s="17">
        <v>0.335754830973443</v>
      </c>
      <c r="I1876" s="17">
        <v>0.28784799060473998</v>
      </c>
      <c r="J1876" s="17">
        <v>0.42489950696080098</v>
      </c>
      <c r="K1876" s="17"/>
      <c r="L1876" s="17">
        <v>0.32858080692766101</v>
      </c>
      <c r="M1876" s="17">
        <v>0.400421738474527</v>
      </c>
      <c r="N1876" s="17">
        <v>0.37208115803974501</v>
      </c>
      <c r="O1876" s="17">
        <v>0.33000776145192401</v>
      </c>
    </row>
    <row r="1877" spans="2:15" x14ac:dyDescent="0.3">
      <c r="B1877" t="s">
        <v>550</v>
      </c>
      <c r="C1877" s="17">
        <v>0.347729052299804</v>
      </c>
      <c r="D1877" s="17">
        <v>0.33633552840630898</v>
      </c>
      <c r="E1877" s="17">
        <v>0.35729799949202001</v>
      </c>
      <c r="F1877" s="17"/>
      <c r="G1877" s="17">
        <v>0.32594110584110098</v>
      </c>
      <c r="H1877" s="17">
        <v>0.36678092804430101</v>
      </c>
      <c r="I1877" s="17">
        <v>0.42673552325359698</v>
      </c>
      <c r="J1877" s="17">
        <v>0.28512200597855702</v>
      </c>
      <c r="K1877" s="17"/>
      <c r="L1877" s="17">
        <v>0.36999019960308099</v>
      </c>
      <c r="M1877" s="17">
        <v>0.32634879095803099</v>
      </c>
      <c r="N1877" s="17">
        <v>0.29652728322775701</v>
      </c>
      <c r="O1877" s="17">
        <v>0.40393646626800001</v>
      </c>
    </row>
    <row r="1878" spans="2:15" x14ac:dyDescent="0.3">
      <c r="B1878" t="s">
        <v>551</v>
      </c>
      <c r="C1878" s="17">
        <v>2.2031017921071299E-2</v>
      </c>
      <c r="D1878" s="17">
        <v>2.2193654953679101E-2</v>
      </c>
      <c r="E1878" s="17">
        <v>2.2029112066693501E-2</v>
      </c>
      <c r="F1878" s="17"/>
      <c r="G1878" s="17">
        <v>1.42650881341391E-2</v>
      </c>
      <c r="H1878" s="17">
        <v>5.21265755959089E-2</v>
      </c>
      <c r="I1878" s="17">
        <v>1.0747827483622401E-2</v>
      </c>
      <c r="J1878" s="17">
        <v>8.4533682503133301E-3</v>
      </c>
      <c r="K1878" s="17"/>
      <c r="L1878" s="17">
        <v>1.4876382674676799E-2</v>
      </c>
      <c r="M1878" s="17">
        <v>1.8721294943660999E-2</v>
      </c>
      <c r="N1878" s="17">
        <v>3.0357935596297101E-2</v>
      </c>
      <c r="O1878" s="17">
        <v>2.3725285252579002E-2</v>
      </c>
    </row>
    <row r="1879" spans="2:15" x14ac:dyDescent="0.3">
      <c r="B1879" t="s">
        <v>107</v>
      </c>
      <c r="C1879" s="17">
        <v>3.9756551745810997E-2</v>
      </c>
      <c r="D1879" s="17">
        <v>1.93104009703081E-2</v>
      </c>
      <c r="E1879" s="17">
        <v>6.0469153924548297E-2</v>
      </c>
      <c r="F1879" s="17"/>
      <c r="G1879" s="17">
        <v>1.10925564729384E-2</v>
      </c>
      <c r="H1879" s="17">
        <v>5.7141757864642102E-2</v>
      </c>
      <c r="I1879" s="17">
        <v>4.2037945063382501E-2</v>
      </c>
      <c r="J1879" s="17">
        <v>5.5566115651232699E-2</v>
      </c>
      <c r="K1879" s="17"/>
      <c r="L1879" s="17">
        <v>4.76568008947343E-2</v>
      </c>
      <c r="M1879" s="17">
        <v>3.7037647306993403E-2</v>
      </c>
      <c r="N1879" s="17">
        <v>3.9163420016029397E-2</v>
      </c>
      <c r="O1879" s="17">
        <v>3.5423744018636703E-2</v>
      </c>
    </row>
    <row r="1880" spans="2:15" x14ac:dyDescent="0.3">
      <c r="C1880" s="17"/>
      <c r="D1880" s="17"/>
      <c r="E1880" s="17"/>
      <c r="F1880" s="17"/>
      <c r="G1880" s="17"/>
      <c r="H1880" s="17"/>
      <c r="I1880" s="17"/>
      <c r="J1880" s="17"/>
      <c r="K1880" s="17"/>
      <c r="L1880" s="17"/>
      <c r="M1880" s="17"/>
      <c r="N1880" s="17"/>
      <c r="O1880" s="17"/>
    </row>
    <row r="1881" spans="2:15" x14ac:dyDescent="0.3">
      <c r="B1881" s="6" t="s">
        <v>560</v>
      </c>
      <c r="C1881" s="17"/>
      <c r="D1881" s="17"/>
      <c r="E1881" s="17"/>
      <c r="F1881" s="17"/>
      <c r="G1881" s="17"/>
      <c r="H1881" s="17"/>
      <c r="I1881" s="17"/>
      <c r="J1881" s="17"/>
      <c r="K1881" s="17"/>
      <c r="L1881" s="17"/>
      <c r="M1881" s="17"/>
      <c r="N1881" s="17"/>
      <c r="O1881" s="17"/>
    </row>
    <row r="1882" spans="2:15" x14ac:dyDescent="0.3">
      <c r="B1882" s="23" t="s">
        <v>46</v>
      </c>
      <c r="C1882" s="17"/>
      <c r="D1882" s="17"/>
      <c r="E1882" s="17"/>
      <c r="F1882" s="17"/>
      <c r="G1882" s="17"/>
      <c r="H1882" s="17"/>
      <c r="I1882" s="17"/>
      <c r="J1882" s="17"/>
      <c r="K1882" s="17"/>
      <c r="L1882" s="17"/>
      <c r="M1882" s="17"/>
      <c r="N1882" s="17"/>
      <c r="O1882" s="17"/>
    </row>
    <row r="1883" spans="2:15" x14ac:dyDescent="0.3">
      <c r="B1883" t="s">
        <v>548</v>
      </c>
      <c r="C1883" s="17">
        <v>0.112213280680419</v>
      </c>
      <c r="D1883" s="17">
        <v>7.5624460962618698E-2</v>
      </c>
      <c r="E1883" s="17">
        <v>0.14957819534091399</v>
      </c>
      <c r="F1883" s="17"/>
      <c r="G1883" s="17">
        <v>0.16380428457593699</v>
      </c>
      <c r="H1883" s="17">
        <v>0.108750067004176</v>
      </c>
      <c r="I1883" s="17">
        <v>5.1778781143322697E-2</v>
      </c>
      <c r="J1883" s="17">
        <v>0.105037402003973</v>
      </c>
      <c r="K1883" s="17"/>
      <c r="L1883" s="17">
        <v>0.16343928861579901</v>
      </c>
      <c r="M1883" s="17">
        <v>8.3700661466277707E-2</v>
      </c>
      <c r="N1883" s="17">
        <v>9.2061938693508205E-2</v>
      </c>
      <c r="O1883" s="17">
        <v>0.113490559355163</v>
      </c>
    </row>
    <row r="1884" spans="2:15" x14ac:dyDescent="0.3">
      <c r="B1884" t="s">
        <v>549</v>
      </c>
      <c r="C1884" s="17">
        <v>0.21584947928685499</v>
      </c>
      <c r="D1884" s="17">
        <v>0.149903783880277</v>
      </c>
      <c r="E1884" s="17">
        <v>0.278947480462857</v>
      </c>
      <c r="F1884" s="17"/>
      <c r="G1884" s="17">
        <v>0.239281919695538</v>
      </c>
      <c r="H1884" s="17">
        <v>0.20251880908763401</v>
      </c>
      <c r="I1884" s="17">
        <v>0.21898135470906999</v>
      </c>
      <c r="J1884" s="17">
        <v>0.19140301418910999</v>
      </c>
      <c r="K1884" s="17"/>
      <c r="L1884" s="17">
        <v>0.21531896783895099</v>
      </c>
      <c r="M1884" s="17">
        <v>0.19019340825730299</v>
      </c>
      <c r="N1884" s="17">
        <v>0.246359135217112</v>
      </c>
      <c r="O1884" s="17">
        <v>0.21092757625119801</v>
      </c>
    </row>
    <row r="1885" spans="2:15" x14ac:dyDescent="0.3">
      <c r="B1885" t="s">
        <v>550</v>
      </c>
      <c r="C1885" s="17">
        <v>0.55614759240534495</v>
      </c>
      <c r="D1885" s="17">
        <v>0.62484361751103801</v>
      </c>
      <c r="E1885" s="17">
        <v>0.48864087078509599</v>
      </c>
      <c r="F1885" s="17"/>
      <c r="G1885" s="17">
        <v>0.50680167151904798</v>
      </c>
      <c r="H1885" s="17">
        <v>0.56394873092418096</v>
      </c>
      <c r="I1885" s="17">
        <v>0.61708626187103199</v>
      </c>
      <c r="J1885" s="17">
        <v>0.56031913461124105</v>
      </c>
      <c r="K1885" s="17"/>
      <c r="L1885" s="17">
        <v>0.52114206062925195</v>
      </c>
      <c r="M1885" s="17">
        <v>0.56800920509799602</v>
      </c>
      <c r="N1885" s="17">
        <v>0.53279481673468598</v>
      </c>
      <c r="O1885" s="17">
        <v>0.60369174477649501</v>
      </c>
    </row>
    <row r="1886" spans="2:15" x14ac:dyDescent="0.3">
      <c r="B1886" t="s">
        <v>551</v>
      </c>
      <c r="C1886" s="17">
        <v>6.8465690387476297E-2</v>
      </c>
      <c r="D1886" s="17">
        <v>0.10056707951649201</v>
      </c>
      <c r="E1886" s="17">
        <v>3.6899757671276297E-2</v>
      </c>
      <c r="F1886" s="17"/>
      <c r="G1886" s="17">
        <v>6.7377150659677795E-2</v>
      </c>
      <c r="H1886" s="17">
        <v>5.97795612964113E-2</v>
      </c>
      <c r="I1886" s="17">
        <v>7.9245292933157893E-2</v>
      </c>
      <c r="J1886" s="17">
        <v>7.0446542881349203E-2</v>
      </c>
      <c r="K1886" s="17"/>
      <c r="L1886" s="17">
        <v>5.2506882765371098E-2</v>
      </c>
      <c r="M1886" s="17">
        <v>0.101490939761459</v>
      </c>
      <c r="N1886" s="17">
        <v>7.5875488667232496E-2</v>
      </c>
      <c r="O1886" s="17">
        <v>4.0870054334500097E-2</v>
      </c>
    </row>
    <row r="1887" spans="2:15" x14ac:dyDescent="0.3">
      <c r="B1887" t="s">
        <v>107</v>
      </c>
      <c r="C1887" s="17">
        <v>4.73239572399047E-2</v>
      </c>
      <c r="D1887" s="17">
        <v>4.9061058129574397E-2</v>
      </c>
      <c r="E1887" s="17">
        <v>4.5933695739856797E-2</v>
      </c>
      <c r="F1887" s="17"/>
      <c r="G1887" s="17">
        <v>2.27349735497996E-2</v>
      </c>
      <c r="H1887" s="17">
        <v>6.5002831687597698E-2</v>
      </c>
      <c r="I1887" s="17">
        <v>3.2908309343417597E-2</v>
      </c>
      <c r="J1887" s="17">
        <v>7.2793906314327403E-2</v>
      </c>
      <c r="K1887" s="17"/>
      <c r="L1887" s="17">
        <v>4.7592800150627203E-2</v>
      </c>
      <c r="M1887" s="17">
        <v>5.6605785416963497E-2</v>
      </c>
      <c r="N1887" s="17">
        <v>5.2908620687461799E-2</v>
      </c>
      <c r="O1887" s="17">
        <v>3.10200652826444E-2</v>
      </c>
    </row>
    <row r="1888" spans="2:15" x14ac:dyDescent="0.3">
      <c r="C1888" s="17"/>
      <c r="D1888" s="17"/>
      <c r="E1888" s="17"/>
      <c r="F1888" s="17"/>
      <c r="G1888" s="17"/>
      <c r="H1888" s="17"/>
      <c r="I1888" s="17"/>
      <c r="J1888" s="17"/>
      <c r="K1888" s="17"/>
      <c r="L1888" s="17"/>
      <c r="M1888" s="17"/>
      <c r="N1888" s="17"/>
      <c r="O1888" s="17"/>
    </row>
    <row r="1889" spans="2:15" x14ac:dyDescent="0.3">
      <c r="B1889" s="6" t="s">
        <v>561</v>
      </c>
      <c r="C1889" s="17"/>
      <c r="D1889" s="17"/>
      <c r="E1889" s="17"/>
      <c r="F1889" s="17"/>
      <c r="G1889" s="17"/>
      <c r="H1889" s="17"/>
      <c r="I1889" s="17"/>
      <c r="J1889" s="17"/>
      <c r="K1889" s="17"/>
      <c r="L1889" s="17"/>
      <c r="M1889" s="17"/>
      <c r="N1889" s="17"/>
      <c r="O1889" s="17"/>
    </row>
    <row r="1890" spans="2:15" x14ac:dyDescent="0.3">
      <c r="B1890" s="23" t="s">
        <v>46</v>
      </c>
      <c r="C1890" s="17"/>
      <c r="D1890" s="17"/>
      <c r="E1890" s="17"/>
      <c r="F1890" s="17"/>
      <c r="G1890" s="17"/>
      <c r="H1890" s="17"/>
      <c r="I1890" s="17"/>
      <c r="J1890" s="17"/>
      <c r="K1890" s="17"/>
      <c r="L1890" s="17"/>
      <c r="M1890" s="17"/>
      <c r="N1890" s="17"/>
      <c r="O1890" s="17"/>
    </row>
    <row r="1891" spans="2:15" x14ac:dyDescent="0.3">
      <c r="B1891" t="s">
        <v>548</v>
      </c>
      <c r="C1891" s="17">
        <v>0.16123889653474599</v>
      </c>
      <c r="D1891" s="17">
        <v>0.158988639519724</v>
      </c>
      <c r="E1891" s="17">
        <v>0.16466158537990799</v>
      </c>
      <c r="F1891" s="17"/>
      <c r="G1891" s="17">
        <v>0.20197808784308</v>
      </c>
      <c r="H1891" s="17">
        <v>0.116038025259741</v>
      </c>
      <c r="I1891" s="17">
        <v>0.15119938200562799</v>
      </c>
      <c r="J1891" s="17">
        <v>0.162024877893158</v>
      </c>
      <c r="K1891" s="17"/>
      <c r="L1891" s="17">
        <v>0.192973109069799</v>
      </c>
      <c r="M1891" s="17">
        <v>0.142688310119819</v>
      </c>
      <c r="N1891" s="17">
        <v>0.18384556454043399</v>
      </c>
      <c r="O1891" s="17">
        <v>0.124970060864133</v>
      </c>
    </row>
    <row r="1892" spans="2:15" x14ac:dyDescent="0.3">
      <c r="B1892" t="s">
        <v>549</v>
      </c>
      <c r="C1892" s="17">
        <v>0.274477487013708</v>
      </c>
      <c r="D1892" s="17">
        <v>0.29782295564454903</v>
      </c>
      <c r="E1892" s="17">
        <v>0.25315877635658102</v>
      </c>
      <c r="F1892" s="17"/>
      <c r="G1892" s="17">
        <v>0.31139227077461201</v>
      </c>
      <c r="H1892" s="17">
        <v>0.25336287226426402</v>
      </c>
      <c r="I1892" s="17">
        <v>0.30873853347750502</v>
      </c>
      <c r="J1892" s="17">
        <v>0.221306088160729</v>
      </c>
      <c r="K1892" s="17"/>
      <c r="L1892" s="17">
        <v>0.25608820371121199</v>
      </c>
      <c r="M1892" s="17">
        <v>0.312413934608754</v>
      </c>
      <c r="N1892" s="17">
        <v>0.27701825003792102</v>
      </c>
      <c r="O1892" s="17">
        <v>0.24930385614227399</v>
      </c>
    </row>
    <row r="1893" spans="2:15" x14ac:dyDescent="0.3">
      <c r="B1893" t="s">
        <v>550</v>
      </c>
      <c r="C1893" s="17">
        <v>0.45284493535582698</v>
      </c>
      <c r="D1893" s="17">
        <v>0.46240058603405598</v>
      </c>
      <c r="E1893" s="17">
        <v>0.43931288787999101</v>
      </c>
      <c r="F1893" s="17"/>
      <c r="G1893" s="17">
        <v>0.39955536800904301</v>
      </c>
      <c r="H1893" s="17">
        <v>0.47344216664369099</v>
      </c>
      <c r="I1893" s="17">
        <v>0.45387645768782903</v>
      </c>
      <c r="J1893" s="17">
        <v>0.50147744312045195</v>
      </c>
      <c r="K1893" s="17"/>
      <c r="L1893" s="17">
        <v>0.46642728885831403</v>
      </c>
      <c r="M1893" s="17">
        <v>0.42891567146464898</v>
      </c>
      <c r="N1893" s="17">
        <v>0.42901898610301498</v>
      </c>
      <c r="O1893" s="17">
        <v>0.49081611379045897</v>
      </c>
    </row>
    <row r="1894" spans="2:15" x14ac:dyDescent="0.3">
      <c r="B1894" t="s">
        <v>551</v>
      </c>
      <c r="C1894" s="17">
        <v>6.3726690119101995E-2</v>
      </c>
      <c r="D1894" s="17">
        <v>5.3047784515671201E-2</v>
      </c>
      <c r="E1894" s="17">
        <v>7.4857838246341707E-2</v>
      </c>
      <c r="F1894" s="17"/>
      <c r="G1894" s="17">
        <v>5.6397533715154602E-2</v>
      </c>
      <c r="H1894" s="17">
        <v>8.8164856527229205E-2</v>
      </c>
      <c r="I1894" s="17">
        <v>4.2444166911883602E-2</v>
      </c>
      <c r="J1894" s="17">
        <v>6.5457389679560593E-2</v>
      </c>
      <c r="K1894" s="17"/>
      <c r="L1894" s="17">
        <v>5.5266452148820103E-2</v>
      </c>
      <c r="M1894" s="17">
        <v>5.8921304912462898E-2</v>
      </c>
      <c r="N1894" s="17">
        <v>7.1027220900603802E-2</v>
      </c>
      <c r="O1894" s="17">
        <v>6.9447449283232293E-2</v>
      </c>
    </row>
    <row r="1895" spans="2:15" x14ac:dyDescent="0.3">
      <c r="B1895" t="s">
        <v>107</v>
      </c>
      <c r="C1895" s="17">
        <v>4.7711990976616797E-2</v>
      </c>
      <c r="D1895" s="17">
        <v>2.7740034285999301E-2</v>
      </c>
      <c r="E1895" s="17">
        <v>6.8008912137178607E-2</v>
      </c>
      <c r="F1895" s="17"/>
      <c r="G1895" s="17">
        <v>3.0676739658110502E-2</v>
      </c>
      <c r="H1895" s="17">
        <v>6.8992079305074602E-2</v>
      </c>
      <c r="I1895" s="17">
        <v>4.3741459917154002E-2</v>
      </c>
      <c r="J1895" s="17">
        <v>4.9734201146100603E-2</v>
      </c>
      <c r="K1895" s="17"/>
      <c r="L1895" s="17">
        <v>2.92449462118551E-2</v>
      </c>
      <c r="M1895" s="17">
        <v>5.7060778894315101E-2</v>
      </c>
      <c r="N1895" s="17">
        <v>3.9089978418026798E-2</v>
      </c>
      <c r="O1895" s="17">
        <v>6.5462519919902901E-2</v>
      </c>
    </row>
    <row r="1896" spans="2:15" x14ac:dyDescent="0.3">
      <c r="C1896" s="17"/>
      <c r="D1896" s="17"/>
      <c r="E1896" s="17"/>
      <c r="F1896" s="17"/>
      <c r="G1896" s="17"/>
      <c r="H1896" s="17"/>
      <c r="I1896" s="17"/>
      <c r="J1896" s="17"/>
      <c r="K1896" s="17"/>
      <c r="L1896" s="17"/>
      <c r="M1896" s="17"/>
      <c r="N1896" s="17"/>
      <c r="O1896" s="17"/>
    </row>
    <row r="1897" spans="2:15" x14ac:dyDescent="0.3">
      <c r="B1897" s="6" t="s">
        <v>562</v>
      </c>
      <c r="C1897" s="17"/>
      <c r="D1897" s="17"/>
      <c r="E1897" s="17"/>
      <c r="F1897" s="17"/>
      <c r="G1897" s="17"/>
      <c r="H1897" s="17"/>
      <c r="I1897" s="17"/>
      <c r="J1897" s="17"/>
      <c r="K1897" s="17"/>
      <c r="L1897" s="17"/>
      <c r="M1897" s="17"/>
      <c r="N1897" s="17"/>
      <c r="O1897" s="17"/>
    </row>
    <row r="1898" spans="2:15" x14ac:dyDescent="0.3">
      <c r="B1898" s="23" t="s">
        <v>46</v>
      </c>
      <c r="C1898" s="17"/>
      <c r="D1898" s="17"/>
      <c r="E1898" s="17"/>
      <c r="F1898" s="17"/>
      <c r="G1898" s="17"/>
      <c r="H1898" s="17"/>
      <c r="I1898" s="17"/>
      <c r="J1898" s="17"/>
      <c r="K1898" s="17"/>
      <c r="L1898" s="17"/>
      <c r="M1898" s="17"/>
      <c r="N1898" s="17"/>
      <c r="O1898" s="17"/>
    </row>
    <row r="1899" spans="2:15" x14ac:dyDescent="0.3">
      <c r="B1899" t="s">
        <v>548</v>
      </c>
      <c r="C1899" s="17">
        <v>0.14358588140171499</v>
      </c>
      <c r="D1899" s="17">
        <v>0.152603224011674</v>
      </c>
      <c r="E1899" s="17">
        <v>0.13127953982665999</v>
      </c>
      <c r="F1899" s="17"/>
      <c r="G1899" s="17">
        <v>0.15353283787916899</v>
      </c>
      <c r="H1899" s="17">
        <v>0.158333707917999</v>
      </c>
      <c r="I1899" s="17">
        <v>0.11781249437338399</v>
      </c>
      <c r="J1899" s="17">
        <v>0.13062905555600701</v>
      </c>
      <c r="K1899" s="17"/>
      <c r="L1899" s="17">
        <v>0.18225744041432301</v>
      </c>
      <c r="M1899" s="17">
        <v>0.103553934388336</v>
      </c>
      <c r="N1899" s="17">
        <v>0.15926557034642699</v>
      </c>
      <c r="O1899" s="17">
        <v>0.13099266297097201</v>
      </c>
    </row>
    <row r="1900" spans="2:15" x14ac:dyDescent="0.3">
      <c r="B1900" t="s">
        <v>549</v>
      </c>
      <c r="C1900" s="17">
        <v>0.32306325939050901</v>
      </c>
      <c r="D1900" s="17">
        <v>0.33254778499326298</v>
      </c>
      <c r="E1900" s="17">
        <v>0.31594377740996099</v>
      </c>
      <c r="F1900" s="17"/>
      <c r="G1900" s="17">
        <v>0.407725888438009</v>
      </c>
      <c r="H1900" s="17">
        <v>0.230659268590622</v>
      </c>
      <c r="I1900" s="17">
        <v>0.31144234156977402</v>
      </c>
      <c r="J1900" s="17">
        <v>0.330912344943396</v>
      </c>
      <c r="K1900" s="17"/>
      <c r="L1900" s="17">
        <v>0.29397204701358398</v>
      </c>
      <c r="M1900" s="17">
        <v>0.36536848932801602</v>
      </c>
      <c r="N1900" s="17">
        <v>0.34892592244728898</v>
      </c>
      <c r="O1900" s="17">
        <v>0.27862641518981701</v>
      </c>
    </row>
    <row r="1901" spans="2:15" x14ac:dyDescent="0.3">
      <c r="B1901" t="s">
        <v>550</v>
      </c>
      <c r="C1901" s="17">
        <v>0.45199947963364401</v>
      </c>
      <c r="D1901" s="17">
        <v>0.45423052405641401</v>
      </c>
      <c r="E1901" s="17">
        <v>0.45012315245314899</v>
      </c>
      <c r="F1901" s="17"/>
      <c r="G1901" s="17">
        <v>0.38903010767858798</v>
      </c>
      <c r="H1901" s="17">
        <v>0.50021450166862003</v>
      </c>
      <c r="I1901" s="17">
        <v>0.48568278426739903</v>
      </c>
      <c r="J1901" s="17">
        <v>0.45208159494643102</v>
      </c>
      <c r="K1901" s="17"/>
      <c r="L1901" s="17">
        <v>0.45497721184239398</v>
      </c>
      <c r="M1901" s="17">
        <v>0.46471776420403699</v>
      </c>
      <c r="N1901" s="17">
        <v>0.39149631257703998</v>
      </c>
      <c r="O1901" s="17">
        <v>0.50088505409230499</v>
      </c>
    </row>
    <row r="1902" spans="2:15" x14ac:dyDescent="0.3">
      <c r="B1902" t="s">
        <v>551</v>
      </c>
      <c r="C1902" s="17">
        <v>4.7211149393948798E-2</v>
      </c>
      <c r="D1902" s="17">
        <v>3.7218945229607198E-2</v>
      </c>
      <c r="E1902" s="17">
        <v>5.7536024168047102E-2</v>
      </c>
      <c r="F1902" s="17"/>
      <c r="G1902" s="17">
        <v>2.8812668901053801E-2</v>
      </c>
      <c r="H1902" s="17">
        <v>6.3834291831730894E-2</v>
      </c>
      <c r="I1902" s="17">
        <v>6.3274046054019498E-2</v>
      </c>
      <c r="J1902" s="17">
        <v>3.8006878131322898E-2</v>
      </c>
      <c r="K1902" s="17"/>
      <c r="L1902" s="17">
        <v>3.4907581813156001E-2</v>
      </c>
      <c r="M1902" s="17">
        <v>4.4448977826639001E-2</v>
      </c>
      <c r="N1902" s="17">
        <v>5.7285164031579801E-2</v>
      </c>
      <c r="O1902" s="17">
        <v>5.1572628106383599E-2</v>
      </c>
    </row>
    <row r="1903" spans="2:15" x14ac:dyDescent="0.3">
      <c r="B1903" t="s">
        <v>107</v>
      </c>
      <c r="C1903" s="17">
        <v>3.4140230180182897E-2</v>
      </c>
      <c r="D1903" s="17">
        <v>2.3399521709042099E-2</v>
      </c>
      <c r="E1903" s="17">
        <v>4.5117506142182899E-2</v>
      </c>
      <c r="F1903" s="17"/>
      <c r="G1903" s="17">
        <v>2.08984971031798E-2</v>
      </c>
      <c r="H1903" s="17">
        <v>4.6958229991028201E-2</v>
      </c>
      <c r="I1903" s="17">
        <v>2.1788333735423399E-2</v>
      </c>
      <c r="J1903" s="17">
        <v>4.8370126422842601E-2</v>
      </c>
      <c r="K1903" s="17"/>
      <c r="L1903" s="17">
        <v>3.3885718916542198E-2</v>
      </c>
      <c r="M1903" s="17">
        <v>2.1910834252972002E-2</v>
      </c>
      <c r="N1903" s="17">
        <v>4.3027030597663801E-2</v>
      </c>
      <c r="O1903" s="17">
        <v>3.7923239640522098E-2</v>
      </c>
    </row>
    <row r="1904" spans="2:15" x14ac:dyDescent="0.3">
      <c r="C1904" s="17"/>
      <c r="D1904" s="17"/>
      <c r="E1904" s="17"/>
      <c r="F1904" s="17"/>
      <c r="G1904" s="17"/>
      <c r="H1904" s="17"/>
      <c r="I1904" s="17"/>
      <c r="J1904" s="17"/>
      <c r="K1904" s="17"/>
      <c r="L1904" s="17"/>
      <c r="M1904" s="17"/>
      <c r="N1904" s="17"/>
      <c r="O1904" s="17"/>
    </row>
    <row r="1905" spans="2:15" x14ac:dyDescent="0.3">
      <c r="B1905" s="6" t="s">
        <v>563</v>
      </c>
      <c r="C1905" s="17"/>
      <c r="D1905" s="17"/>
      <c r="E1905" s="17"/>
      <c r="F1905" s="17"/>
      <c r="G1905" s="17"/>
      <c r="H1905" s="17"/>
      <c r="I1905" s="17"/>
      <c r="J1905" s="17"/>
      <c r="K1905" s="17"/>
      <c r="L1905" s="17"/>
      <c r="M1905" s="17"/>
      <c r="N1905" s="17"/>
      <c r="O1905" s="17"/>
    </row>
    <row r="1906" spans="2:15" x14ac:dyDescent="0.3">
      <c r="B1906" s="23" t="s">
        <v>46</v>
      </c>
      <c r="C1906" s="17"/>
      <c r="D1906" s="17"/>
      <c r="E1906" s="17"/>
      <c r="F1906" s="17"/>
      <c r="G1906" s="17"/>
      <c r="H1906" s="17"/>
      <c r="I1906" s="17"/>
      <c r="J1906" s="17"/>
      <c r="K1906" s="17"/>
      <c r="L1906" s="17"/>
      <c r="M1906" s="17"/>
      <c r="N1906" s="17"/>
      <c r="O1906" s="17"/>
    </row>
    <row r="1907" spans="2:15" x14ac:dyDescent="0.3">
      <c r="B1907" t="s">
        <v>548</v>
      </c>
      <c r="C1907" s="17">
        <v>0.11552795041642799</v>
      </c>
      <c r="D1907" s="17">
        <v>0.111924245307525</v>
      </c>
      <c r="E1907" s="17">
        <v>0.119969438980148</v>
      </c>
      <c r="F1907" s="17"/>
      <c r="G1907" s="17">
        <v>0.14428148307737901</v>
      </c>
      <c r="H1907" s="17">
        <v>0.11694417981942699</v>
      </c>
      <c r="I1907" s="17">
        <v>4.3175995791493497E-2</v>
      </c>
      <c r="J1907" s="17">
        <v>0.135508584913724</v>
      </c>
      <c r="K1907" s="17"/>
      <c r="L1907" s="17">
        <v>0.17395197504773999</v>
      </c>
      <c r="M1907" s="17">
        <v>9.6523587904188302E-2</v>
      </c>
      <c r="N1907" s="17">
        <v>0.120222027634379</v>
      </c>
      <c r="O1907" s="17">
        <v>7.2462762410655496E-2</v>
      </c>
    </row>
    <row r="1908" spans="2:15" x14ac:dyDescent="0.3">
      <c r="B1908" t="s">
        <v>549</v>
      </c>
      <c r="C1908" s="17">
        <v>0.21878270165882199</v>
      </c>
      <c r="D1908" s="17">
        <v>0.20022039018185001</v>
      </c>
      <c r="E1908" s="17">
        <v>0.23891822116647701</v>
      </c>
      <c r="F1908" s="17"/>
      <c r="G1908" s="17">
        <v>0.2292719693427</v>
      </c>
      <c r="H1908" s="17">
        <v>0.232965486409099</v>
      </c>
      <c r="I1908" s="17">
        <v>0.22294487313096201</v>
      </c>
      <c r="J1908" s="17">
        <v>0.186970601172464</v>
      </c>
      <c r="K1908" s="17"/>
      <c r="L1908" s="17">
        <v>0.221348593528233</v>
      </c>
      <c r="M1908" s="17">
        <v>0.225815457945058</v>
      </c>
      <c r="N1908" s="17">
        <v>0.223445810861851</v>
      </c>
      <c r="O1908" s="17">
        <v>0.203599567299421</v>
      </c>
    </row>
    <row r="1909" spans="2:15" x14ac:dyDescent="0.3">
      <c r="B1909" t="s">
        <v>550</v>
      </c>
      <c r="C1909" s="17">
        <v>0.57078752923992104</v>
      </c>
      <c r="D1909" s="17">
        <v>0.58704553789154101</v>
      </c>
      <c r="E1909" s="17">
        <v>0.55576584037990795</v>
      </c>
      <c r="F1909" s="17"/>
      <c r="G1909" s="17">
        <v>0.55903573951309704</v>
      </c>
      <c r="H1909" s="17">
        <v>0.53696280822006703</v>
      </c>
      <c r="I1909" s="17">
        <v>0.66448023262748801</v>
      </c>
      <c r="J1909" s="17">
        <v>0.54349708831570598</v>
      </c>
      <c r="K1909" s="17"/>
      <c r="L1909" s="17">
        <v>0.52250720037764697</v>
      </c>
      <c r="M1909" s="17">
        <v>0.58566949487282505</v>
      </c>
      <c r="N1909" s="17">
        <v>0.52198069676129799</v>
      </c>
      <c r="O1909" s="17">
        <v>0.65593253934894302</v>
      </c>
    </row>
    <row r="1910" spans="2:15" x14ac:dyDescent="0.3">
      <c r="B1910" t="s">
        <v>551</v>
      </c>
      <c r="C1910" s="17">
        <v>5.0175684233963402E-2</v>
      </c>
      <c r="D1910" s="17">
        <v>6.1161640224868502E-2</v>
      </c>
      <c r="E1910" s="17">
        <v>3.9567873181417301E-2</v>
      </c>
      <c r="F1910" s="17"/>
      <c r="G1910" s="17">
        <v>4.6981665613183198E-2</v>
      </c>
      <c r="H1910" s="17">
        <v>6.5712994950517495E-2</v>
      </c>
      <c r="I1910" s="17">
        <v>3.1626938132533797E-2</v>
      </c>
      <c r="J1910" s="17">
        <v>5.4024056327887801E-2</v>
      </c>
      <c r="K1910" s="17"/>
      <c r="L1910" s="17">
        <v>3.82744328291321E-2</v>
      </c>
      <c r="M1910" s="17">
        <v>6.4318931568218204E-2</v>
      </c>
      <c r="N1910" s="17">
        <v>5.9704758215859903E-2</v>
      </c>
      <c r="O1910" s="17">
        <v>3.6539066692768803E-2</v>
      </c>
    </row>
    <row r="1911" spans="2:15" x14ac:dyDescent="0.3">
      <c r="B1911" t="s">
        <v>107</v>
      </c>
      <c r="C1911" s="17">
        <v>4.4726134450864999E-2</v>
      </c>
      <c r="D1911" s="17">
        <v>3.9648186394215003E-2</v>
      </c>
      <c r="E1911" s="17">
        <v>4.57786262920492E-2</v>
      </c>
      <c r="F1911" s="17"/>
      <c r="G1911" s="17">
        <v>2.0429142453640501E-2</v>
      </c>
      <c r="H1911" s="17">
        <v>4.7414530600889897E-2</v>
      </c>
      <c r="I1911" s="17">
        <v>3.77719603175228E-2</v>
      </c>
      <c r="J1911" s="17">
        <v>7.9999669270217705E-2</v>
      </c>
      <c r="K1911" s="17"/>
      <c r="L1911" s="17">
        <v>4.39177982172472E-2</v>
      </c>
      <c r="M1911" s="17">
        <v>2.76725277097097E-2</v>
      </c>
      <c r="N1911" s="17">
        <v>7.4646706526612094E-2</v>
      </c>
      <c r="O1911" s="17">
        <v>3.14660642482118E-2</v>
      </c>
    </row>
    <row r="1912" spans="2:15" x14ac:dyDescent="0.3">
      <c r="C1912" s="17"/>
      <c r="D1912" s="17"/>
      <c r="E1912" s="17"/>
      <c r="F1912" s="17"/>
      <c r="G1912" s="17"/>
      <c r="H1912" s="17"/>
      <c r="I1912" s="17"/>
      <c r="J1912" s="17"/>
      <c r="K1912" s="17"/>
      <c r="L1912" s="17"/>
      <c r="M1912" s="17"/>
      <c r="N1912" s="17"/>
      <c r="O1912" s="17"/>
    </row>
    <row r="1913" spans="2:15" x14ac:dyDescent="0.3">
      <c r="B1913" s="6" t="s">
        <v>564</v>
      </c>
      <c r="C1913" s="17"/>
      <c r="D1913" s="17"/>
      <c r="E1913" s="17"/>
      <c r="F1913" s="17"/>
      <c r="G1913" s="17"/>
      <c r="H1913" s="17"/>
      <c r="I1913" s="17"/>
      <c r="J1913" s="17"/>
      <c r="K1913" s="17"/>
      <c r="L1913" s="17"/>
      <c r="M1913" s="17"/>
      <c r="N1913" s="17"/>
      <c r="O1913" s="17"/>
    </row>
    <row r="1914" spans="2:15" x14ac:dyDescent="0.3">
      <c r="B1914" s="23" t="s">
        <v>46</v>
      </c>
      <c r="C1914" s="17"/>
      <c r="D1914" s="17"/>
      <c r="E1914" s="17"/>
      <c r="F1914" s="17"/>
      <c r="G1914" s="17"/>
      <c r="H1914" s="17"/>
      <c r="I1914" s="17"/>
      <c r="J1914" s="17"/>
      <c r="K1914" s="17"/>
      <c r="L1914" s="17"/>
      <c r="M1914" s="17"/>
      <c r="N1914" s="17"/>
      <c r="O1914" s="17"/>
    </row>
    <row r="1915" spans="2:15" x14ac:dyDescent="0.3">
      <c r="B1915" t="s">
        <v>548</v>
      </c>
      <c r="C1915" s="17">
        <v>0.109895329359949</v>
      </c>
      <c r="D1915" s="17">
        <v>0.10045193865513501</v>
      </c>
      <c r="E1915" s="17">
        <v>0.12012881210453499</v>
      </c>
      <c r="F1915" s="17"/>
      <c r="G1915" s="17">
        <v>0.14008541187450799</v>
      </c>
      <c r="H1915" s="17">
        <v>0.110128559104167</v>
      </c>
      <c r="I1915" s="17">
        <v>5.2055635954945299E-2</v>
      </c>
      <c r="J1915" s="17">
        <v>0.123992124303493</v>
      </c>
      <c r="K1915" s="17"/>
      <c r="L1915" s="17">
        <v>0.14790188556970399</v>
      </c>
      <c r="M1915" s="17">
        <v>8.1650840807797206E-2</v>
      </c>
      <c r="N1915" s="17">
        <v>0.121589139953645</v>
      </c>
      <c r="O1915" s="17">
        <v>8.9604700873733095E-2</v>
      </c>
    </row>
    <row r="1916" spans="2:15" x14ac:dyDescent="0.3">
      <c r="B1916" t="s">
        <v>549</v>
      </c>
      <c r="C1916" s="17">
        <v>0.21396916817244499</v>
      </c>
      <c r="D1916" s="17">
        <v>0.216995404827798</v>
      </c>
      <c r="E1916" s="17">
        <v>0.20956396096160701</v>
      </c>
      <c r="F1916" s="17"/>
      <c r="G1916" s="17">
        <v>0.23034844050266801</v>
      </c>
      <c r="H1916" s="17">
        <v>0.241824057499789</v>
      </c>
      <c r="I1916" s="17">
        <v>0.16463394466989001</v>
      </c>
      <c r="J1916" s="17">
        <v>0.199824946657366</v>
      </c>
      <c r="K1916" s="17"/>
      <c r="L1916" s="17">
        <v>0.20818355444671699</v>
      </c>
      <c r="M1916" s="17">
        <v>0.20997357388450599</v>
      </c>
      <c r="N1916" s="17">
        <v>0.207475729068897</v>
      </c>
      <c r="O1916" s="17">
        <v>0.23108763175191899</v>
      </c>
    </row>
    <row r="1917" spans="2:15" x14ac:dyDescent="0.3">
      <c r="B1917" t="s">
        <v>550</v>
      </c>
      <c r="C1917" s="17">
        <v>0.57317649013233196</v>
      </c>
      <c r="D1917" s="17">
        <v>0.57850612949569702</v>
      </c>
      <c r="E1917" s="17">
        <v>0.567684201038539</v>
      </c>
      <c r="F1917" s="17"/>
      <c r="G1917" s="17">
        <v>0.54125529987366505</v>
      </c>
      <c r="H1917" s="17">
        <v>0.52935170403102805</v>
      </c>
      <c r="I1917" s="17">
        <v>0.68128736683494695</v>
      </c>
      <c r="J1917" s="17">
        <v>0.57034820852345103</v>
      </c>
      <c r="K1917" s="17"/>
      <c r="L1917" s="17">
        <v>0.563486053465725</v>
      </c>
      <c r="M1917" s="17">
        <v>0.59895229501441105</v>
      </c>
      <c r="N1917" s="17">
        <v>0.52878131756959601</v>
      </c>
      <c r="O1917" s="17">
        <v>0.60323317970208901</v>
      </c>
    </row>
    <row r="1918" spans="2:15" x14ac:dyDescent="0.3">
      <c r="B1918" t="s">
        <v>551</v>
      </c>
      <c r="C1918" s="17">
        <v>5.6218401590025002E-2</v>
      </c>
      <c r="D1918" s="17">
        <v>6.0849132074633099E-2</v>
      </c>
      <c r="E1918" s="17">
        <v>5.20026194151249E-2</v>
      </c>
      <c r="F1918" s="17"/>
      <c r="G1918" s="17">
        <v>6.2200589944078198E-2</v>
      </c>
      <c r="H1918" s="17">
        <v>7.1281148764125196E-2</v>
      </c>
      <c r="I1918" s="17">
        <v>5.2604699701602801E-2</v>
      </c>
      <c r="J1918" s="17">
        <v>3.5080522441983598E-2</v>
      </c>
      <c r="K1918" s="17"/>
      <c r="L1918" s="17">
        <v>4.6364831310142303E-2</v>
      </c>
      <c r="M1918" s="17">
        <v>6.5128629874686705E-2</v>
      </c>
      <c r="N1918" s="17">
        <v>7.36983850176645E-2</v>
      </c>
      <c r="O1918" s="17">
        <v>3.7550077577677303E-2</v>
      </c>
    </row>
    <row r="1919" spans="2:15" x14ac:dyDescent="0.3">
      <c r="B1919" t="s">
        <v>107</v>
      </c>
      <c r="C1919" s="17">
        <v>4.6740610745249697E-2</v>
      </c>
      <c r="D1919" s="17">
        <v>4.3197394946736703E-2</v>
      </c>
      <c r="E1919" s="17">
        <v>5.0620406480194301E-2</v>
      </c>
      <c r="F1919" s="17"/>
      <c r="G1919" s="17">
        <v>2.6110257805081201E-2</v>
      </c>
      <c r="H1919" s="17">
        <v>4.7414530600889897E-2</v>
      </c>
      <c r="I1919" s="17">
        <v>4.9418352838614697E-2</v>
      </c>
      <c r="J1919" s="17">
        <v>7.0754198073707406E-2</v>
      </c>
      <c r="K1919" s="17"/>
      <c r="L1919" s="17">
        <v>3.4063675207712397E-2</v>
      </c>
      <c r="M1919" s="17">
        <v>4.4294660418599197E-2</v>
      </c>
      <c r="N1919" s="17">
        <v>6.8455428390197096E-2</v>
      </c>
      <c r="O1919" s="17">
        <v>3.8524410094581699E-2</v>
      </c>
    </row>
    <row r="1920" spans="2:15" x14ac:dyDescent="0.3">
      <c r="C1920" s="17"/>
      <c r="D1920" s="17"/>
      <c r="E1920" s="17"/>
      <c r="F1920" s="17"/>
      <c r="G1920" s="17"/>
      <c r="H1920" s="17"/>
      <c r="I1920" s="17"/>
      <c r="J1920" s="17"/>
      <c r="K1920" s="17"/>
      <c r="L1920" s="17"/>
      <c r="M1920" s="17"/>
      <c r="N1920" s="17"/>
      <c r="O1920" s="17"/>
    </row>
    <row r="1921" spans="2:15" x14ac:dyDescent="0.3">
      <c r="B1921" s="6" t="s">
        <v>579</v>
      </c>
      <c r="C1921" s="17"/>
      <c r="D1921" s="17"/>
      <c r="E1921" s="17"/>
      <c r="F1921" s="17"/>
      <c r="G1921" s="17"/>
      <c r="H1921" s="17"/>
      <c r="I1921" s="17"/>
      <c r="J1921" s="17"/>
      <c r="K1921" s="17"/>
      <c r="L1921" s="17"/>
      <c r="M1921" s="17"/>
      <c r="N1921" s="17"/>
      <c r="O1921" s="17"/>
    </row>
    <row r="1922" spans="2:15" x14ac:dyDescent="0.3">
      <c r="B1922" s="23" t="s">
        <v>46</v>
      </c>
      <c r="C1922" s="17"/>
      <c r="D1922" s="17"/>
      <c r="E1922" s="17"/>
      <c r="F1922" s="17"/>
      <c r="G1922" s="17"/>
      <c r="H1922" s="17"/>
      <c r="I1922" s="17"/>
      <c r="J1922" s="17"/>
      <c r="K1922" s="17"/>
      <c r="L1922" s="17"/>
      <c r="M1922" s="17"/>
      <c r="N1922" s="17"/>
      <c r="O1922" s="17"/>
    </row>
    <row r="1923" spans="2:15" x14ac:dyDescent="0.3">
      <c r="B1923" t="s">
        <v>565</v>
      </c>
      <c r="C1923" s="17">
        <v>0.28063492707663101</v>
      </c>
      <c r="D1923" s="17">
        <v>0.29405930211777498</v>
      </c>
      <c r="E1923" s="17">
        <v>0.26927089181304198</v>
      </c>
      <c r="F1923" s="17"/>
      <c r="G1923" s="17">
        <v>0.328935648211927</v>
      </c>
      <c r="H1923" s="17">
        <v>0.248237800895175</v>
      </c>
      <c r="I1923" s="17">
        <v>0.26085722511556803</v>
      </c>
      <c r="J1923" s="17">
        <v>0.27481313289965997</v>
      </c>
      <c r="K1923" s="17"/>
      <c r="L1923" s="17">
        <v>0.25158350099458499</v>
      </c>
      <c r="M1923" s="17">
        <v>0.306918338116561</v>
      </c>
      <c r="N1923" s="17">
        <v>0.25064734668565702</v>
      </c>
      <c r="O1923" s="17">
        <v>0.31389832003927698</v>
      </c>
    </row>
    <row r="1924" spans="2:15" x14ac:dyDescent="0.3">
      <c r="B1924" t="s">
        <v>566</v>
      </c>
      <c r="C1924" s="17">
        <v>0.27789321285301</v>
      </c>
      <c r="D1924" s="17">
        <v>0.31787948007148498</v>
      </c>
      <c r="E1924" s="17">
        <v>0.23997753042814901</v>
      </c>
      <c r="F1924" s="17"/>
      <c r="G1924" s="17">
        <v>0.31393554161229098</v>
      </c>
      <c r="H1924" s="17">
        <v>0.23569043221604899</v>
      </c>
      <c r="I1924" s="17">
        <v>0.30767221138650702</v>
      </c>
      <c r="J1924" s="17">
        <v>0.253908751636932</v>
      </c>
      <c r="K1924" s="17"/>
      <c r="L1924" s="17">
        <v>0.21129280516419899</v>
      </c>
      <c r="M1924" s="17">
        <v>0.29706311504735999</v>
      </c>
      <c r="N1924" s="17">
        <v>0.303046903795749</v>
      </c>
      <c r="O1924" s="17">
        <v>0.296621621175084</v>
      </c>
    </row>
    <row r="1925" spans="2:15" x14ac:dyDescent="0.3">
      <c r="B1925" t="s">
        <v>567</v>
      </c>
      <c r="C1925" s="17">
        <v>0.25958056595286899</v>
      </c>
      <c r="D1925" s="17">
        <v>0.21808569338500799</v>
      </c>
      <c r="E1925" s="17">
        <v>0.29857424727057302</v>
      </c>
      <c r="F1925" s="17"/>
      <c r="G1925" s="17">
        <v>0.152355999230572</v>
      </c>
      <c r="H1925" s="17">
        <v>0.286258683177119</v>
      </c>
      <c r="I1925" s="17">
        <v>0.313357101267973</v>
      </c>
      <c r="J1925" s="17">
        <v>0.32184329544822698</v>
      </c>
      <c r="K1925" s="17"/>
      <c r="L1925" s="17">
        <v>0.27323904404868199</v>
      </c>
      <c r="M1925" s="17">
        <v>0.25788340158969603</v>
      </c>
      <c r="N1925" s="17">
        <v>0.214262827330293</v>
      </c>
      <c r="O1925" s="17">
        <v>0.29684204211916698</v>
      </c>
    </row>
    <row r="1926" spans="2:15" x14ac:dyDescent="0.3">
      <c r="B1926" t="s">
        <v>568</v>
      </c>
      <c r="C1926" s="17">
        <v>0.22586324868722599</v>
      </c>
      <c r="D1926" s="17">
        <v>0.23759648181578299</v>
      </c>
      <c r="E1926" s="17">
        <v>0.21284762810202501</v>
      </c>
      <c r="F1926" s="17"/>
      <c r="G1926" s="17">
        <v>0.230612504229115</v>
      </c>
      <c r="H1926" s="17">
        <v>0.25840607729875997</v>
      </c>
      <c r="I1926" s="17">
        <v>0.21928206029276101</v>
      </c>
      <c r="J1926" s="17">
        <v>0.19054468723992701</v>
      </c>
      <c r="K1926" s="17"/>
      <c r="L1926" s="17">
        <v>0.27091865803348403</v>
      </c>
      <c r="M1926" s="17">
        <v>0.18776483180953099</v>
      </c>
      <c r="N1926" s="17">
        <v>0.261225520112909</v>
      </c>
      <c r="O1926" s="17">
        <v>0.18348337254369601</v>
      </c>
    </row>
    <row r="1927" spans="2:15" x14ac:dyDescent="0.3">
      <c r="B1927" t="s">
        <v>569</v>
      </c>
      <c r="C1927" s="17">
        <v>0.20010744691221599</v>
      </c>
      <c r="D1927" s="17">
        <v>0.19630350460641099</v>
      </c>
      <c r="E1927" s="17">
        <v>0.20536529898266301</v>
      </c>
      <c r="F1927" s="17"/>
      <c r="G1927" s="17">
        <v>0.28318539546841498</v>
      </c>
      <c r="H1927" s="17">
        <v>0.16167074837922901</v>
      </c>
      <c r="I1927" s="17">
        <v>0.144214147875348</v>
      </c>
      <c r="J1927" s="17">
        <v>0.18819591904832</v>
      </c>
      <c r="K1927" s="17"/>
      <c r="L1927" s="17">
        <v>0.21039855298437199</v>
      </c>
      <c r="M1927" s="17">
        <v>0.21520211806829201</v>
      </c>
      <c r="N1927" s="17">
        <v>0.23037607424939399</v>
      </c>
      <c r="O1927" s="17">
        <v>0.14078712104173299</v>
      </c>
    </row>
    <row r="1928" spans="2:15" x14ac:dyDescent="0.3">
      <c r="B1928" t="s">
        <v>570</v>
      </c>
      <c r="C1928" s="17">
        <v>0.154547605326777</v>
      </c>
      <c r="D1928" s="17">
        <v>0.13875609744875</v>
      </c>
      <c r="E1928" s="17">
        <v>0.171447375225174</v>
      </c>
      <c r="F1928" s="17"/>
      <c r="G1928" s="17">
        <v>0.21382418253167601</v>
      </c>
      <c r="H1928" s="17">
        <v>0.107060484475891</v>
      </c>
      <c r="I1928" s="17">
        <v>9.95869370224505E-2</v>
      </c>
      <c r="J1928" s="17">
        <v>0.182674028621405</v>
      </c>
      <c r="K1928" s="17"/>
      <c r="L1928" s="17">
        <v>0.14910928098828</v>
      </c>
      <c r="M1928" s="17">
        <v>0.18930795108578699</v>
      </c>
      <c r="N1928" s="17">
        <v>0.12607004503896199</v>
      </c>
      <c r="O1928" s="17">
        <v>0.15344291469086399</v>
      </c>
    </row>
    <row r="1929" spans="2:15" x14ac:dyDescent="0.3">
      <c r="B1929" t="s">
        <v>571</v>
      </c>
      <c r="C1929" s="17">
        <v>0.153344319224127</v>
      </c>
      <c r="D1929" s="17">
        <v>0.13694477565684199</v>
      </c>
      <c r="E1929" s="17">
        <v>0.17084266425271799</v>
      </c>
      <c r="F1929" s="17"/>
      <c r="G1929" s="17">
        <v>0.177933303825352</v>
      </c>
      <c r="H1929" s="17">
        <v>0.14469615133723199</v>
      </c>
      <c r="I1929" s="17">
        <v>0.14671169746229901</v>
      </c>
      <c r="J1929" s="17">
        <v>0.13842493301342701</v>
      </c>
      <c r="K1929" s="17"/>
      <c r="L1929" s="17">
        <v>0.19630154579659601</v>
      </c>
      <c r="M1929" s="17">
        <v>0.138274705638325</v>
      </c>
      <c r="N1929" s="17">
        <v>0.159944117579084</v>
      </c>
      <c r="O1929" s="17">
        <v>0.119448562079118</v>
      </c>
    </row>
    <row r="1930" spans="2:15" x14ac:dyDescent="0.3">
      <c r="B1930" t="s">
        <v>572</v>
      </c>
      <c r="C1930" s="17">
        <v>0.137190281231612</v>
      </c>
      <c r="D1930" s="17">
        <v>0.17535775924848199</v>
      </c>
      <c r="E1930" s="17">
        <v>0.10006597728078501</v>
      </c>
      <c r="F1930" s="17"/>
      <c r="G1930" s="17">
        <v>0.17892336615907001</v>
      </c>
      <c r="H1930" s="17">
        <v>0.13899140460030601</v>
      </c>
      <c r="I1930" s="17">
        <v>0.106130230549282</v>
      </c>
      <c r="J1930" s="17">
        <v>0.11026158652370401</v>
      </c>
      <c r="K1930" s="17"/>
      <c r="L1930" s="17">
        <v>0.12557103106593001</v>
      </c>
      <c r="M1930" s="17">
        <v>0.110910780302136</v>
      </c>
      <c r="N1930" s="17">
        <v>0.157579168125215</v>
      </c>
      <c r="O1930" s="17">
        <v>0.15499194280790099</v>
      </c>
    </row>
    <row r="1931" spans="2:15" x14ac:dyDescent="0.3">
      <c r="B1931" t="s">
        <v>573</v>
      </c>
      <c r="C1931" s="17">
        <v>0.13586982306752499</v>
      </c>
      <c r="D1931" s="17">
        <v>0.15225293682164101</v>
      </c>
      <c r="E1931" s="17">
        <v>0.120495472516169</v>
      </c>
      <c r="F1931" s="17"/>
      <c r="G1931" s="17">
        <v>0.27034983989581701</v>
      </c>
      <c r="H1931" s="17">
        <v>8.0694790683412898E-2</v>
      </c>
      <c r="I1931" s="17">
        <v>6.8852712487023196E-2</v>
      </c>
      <c r="J1931" s="17">
        <v>8.56951610616251E-2</v>
      </c>
      <c r="K1931" s="17"/>
      <c r="L1931" s="17">
        <v>0.14499941998819499</v>
      </c>
      <c r="M1931" s="17">
        <v>0.111072730220973</v>
      </c>
      <c r="N1931" s="17">
        <v>0.16114012941992101</v>
      </c>
      <c r="O1931" s="17">
        <v>0.1260397214182</v>
      </c>
    </row>
    <row r="1932" spans="2:15" x14ac:dyDescent="0.3">
      <c r="B1932" t="s">
        <v>574</v>
      </c>
      <c r="C1932" s="17">
        <v>0.11217249036335999</v>
      </c>
      <c r="D1932" s="17">
        <v>0.11634618761941801</v>
      </c>
      <c r="E1932" s="17">
        <v>0.108820974265156</v>
      </c>
      <c r="F1932" s="17"/>
      <c r="G1932" s="17">
        <v>0.19860811797178901</v>
      </c>
      <c r="H1932" s="17">
        <v>8.8541731771390395E-2</v>
      </c>
      <c r="I1932" s="17">
        <v>8.5695395845295702E-2</v>
      </c>
      <c r="J1932" s="17">
        <v>5.1544473035309797E-2</v>
      </c>
      <c r="K1932" s="17"/>
      <c r="L1932" s="17">
        <v>6.7129663041764404E-2</v>
      </c>
      <c r="M1932" s="17">
        <v>0.115000174301499</v>
      </c>
      <c r="N1932" s="17">
        <v>0.157646651301661</v>
      </c>
      <c r="O1932" s="17">
        <v>0.104909740916828</v>
      </c>
    </row>
    <row r="1933" spans="2:15" x14ac:dyDescent="0.3">
      <c r="B1933" t="s">
        <v>575</v>
      </c>
      <c r="C1933" s="17">
        <v>0.111520335998298</v>
      </c>
      <c r="D1933" s="17">
        <v>0.115905863143801</v>
      </c>
      <c r="E1933" s="17">
        <v>0.107952478621791</v>
      </c>
      <c r="F1933" s="17"/>
      <c r="G1933" s="17">
        <v>0.18695751720475701</v>
      </c>
      <c r="H1933" s="17">
        <v>0.100394970012139</v>
      </c>
      <c r="I1933" s="17">
        <v>8.0294769084770401E-2</v>
      </c>
      <c r="J1933" s="17">
        <v>5.53425255057634E-2</v>
      </c>
      <c r="K1933" s="17"/>
      <c r="L1933" s="17">
        <v>0.118313793906692</v>
      </c>
      <c r="M1933" s="17">
        <v>0.109601743430464</v>
      </c>
      <c r="N1933" s="17">
        <v>0.14565473962907999</v>
      </c>
      <c r="O1933" s="17">
        <v>6.9811881312863602E-2</v>
      </c>
    </row>
    <row r="1934" spans="2:15" x14ac:dyDescent="0.3">
      <c r="B1934" t="s">
        <v>576</v>
      </c>
      <c r="C1934" s="17">
        <v>9.4343150624892999E-2</v>
      </c>
      <c r="D1934" s="17">
        <v>7.0736363551202205E-2</v>
      </c>
      <c r="E1934" s="17">
        <v>0.11861058025679599</v>
      </c>
      <c r="F1934" s="17"/>
      <c r="G1934" s="17">
        <v>0.14720100653700099</v>
      </c>
      <c r="H1934" s="17">
        <v>8.8243312165154297E-2</v>
      </c>
      <c r="I1934" s="17">
        <v>3.2124136310947203E-2</v>
      </c>
      <c r="J1934" s="17">
        <v>8.2066015267178702E-2</v>
      </c>
      <c r="K1934" s="17"/>
      <c r="L1934" s="17">
        <v>0.125414266559292</v>
      </c>
      <c r="M1934" s="17">
        <v>7.5404305218346096E-2</v>
      </c>
      <c r="N1934" s="17">
        <v>0.107630241389197</v>
      </c>
      <c r="O1934" s="17">
        <v>6.9251292784691804E-2</v>
      </c>
    </row>
    <row r="1935" spans="2:15" x14ac:dyDescent="0.3">
      <c r="B1935" t="s">
        <v>577</v>
      </c>
      <c r="C1935" s="17">
        <v>9.1045837415646896E-2</v>
      </c>
      <c r="D1935" s="17">
        <v>9.4198006096212802E-2</v>
      </c>
      <c r="E1935" s="17">
        <v>8.8560731743707002E-2</v>
      </c>
      <c r="F1935" s="17"/>
      <c r="G1935" s="17">
        <v>0.146377471787734</v>
      </c>
      <c r="H1935" s="17">
        <v>7.5479227330321294E-2</v>
      </c>
      <c r="I1935" s="17">
        <v>5.2921592628625398E-2</v>
      </c>
      <c r="J1935" s="17">
        <v>7.2210200301730101E-2</v>
      </c>
      <c r="K1935" s="17"/>
      <c r="L1935" s="17">
        <v>6.7891209609983197E-2</v>
      </c>
      <c r="M1935" s="17">
        <v>0.126761616349198</v>
      </c>
      <c r="N1935" s="17">
        <v>8.5437999234673795E-2</v>
      </c>
      <c r="O1935" s="17">
        <v>8.1854103488847405E-2</v>
      </c>
    </row>
    <row r="1936" spans="2:15" x14ac:dyDescent="0.3">
      <c r="B1936" t="s">
        <v>578</v>
      </c>
      <c r="C1936" s="17">
        <v>8.1441604010256005E-2</v>
      </c>
      <c r="D1936" s="17">
        <v>9.6921359402102406E-2</v>
      </c>
      <c r="E1936" s="17">
        <v>6.6572950424385102E-2</v>
      </c>
      <c r="F1936" s="17"/>
      <c r="G1936" s="17">
        <v>8.00718901213337E-2</v>
      </c>
      <c r="H1936" s="17">
        <v>0.109516948784184</v>
      </c>
      <c r="I1936" s="17">
        <v>6.07710045344243E-2</v>
      </c>
      <c r="J1936" s="17">
        <v>7.0869856051532898E-2</v>
      </c>
      <c r="K1936" s="17"/>
      <c r="L1936" s="17">
        <v>6.3483218713965298E-2</v>
      </c>
      <c r="M1936" s="17">
        <v>7.8284257626492798E-2</v>
      </c>
      <c r="N1936" s="17">
        <v>0.105838300201514</v>
      </c>
      <c r="O1936" s="17">
        <v>7.6366774390974904E-2</v>
      </c>
    </row>
    <row r="1937" spans="2:15" x14ac:dyDescent="0.3">
      <c r="B1937" t="s">
        <v>179</v>
      </c>
      <c r="C1937" s="17">
        <v>1.3610943978163301E-2</v>
      </c>
      <c r="D1937" s="17">
        <v>1.5276419523302401E-2</v>
      </c>
      <c r="E1937" s="17">
        <v>1.20465502785938E-2</v>
      </c>
      <c r="F1937" s="17"/>
      <c r="G1937" s="17">
        <v>1.6519025516238399E-2</v>
      </c>
      <c r="H1937" s="17">
        <v>6.9692945595327899E-3</v>
      </c>
      <c r="I1937" s="17">
        <v>0</v>
      </c>
      <c r="J1937" s="17">
        <v>2.98930009939243E-2</v>
      </c>
      <c r="K1937" s="17"/>
      <c r="L1937" s="17">
        <v>2.8514125713821899E-2</v>
      </c>
      <c r="M1937" s="17">
        <v>1.8615412403228501E-2</v>
      </c>
      <c r="N1937" s="17">
        <v>0</v>
      </c>
      <c r="O1937" s="17">
        <v>8.0693567312783397E-3</v>
      </c>
    </row>
    <row r="1938" spans="2:15" x14ac:dyDescent="0.3">
      <c r="C1938" s="17"/>
      <c r="D1938" s="17"/>
      <c r="E1938" s="17"/>
      <c r="F1938" s="17"/>
      <c r="G1938" s="17"/>
      <c r="H1938" s="17"/>
      <c r="I1938" s="17"/>
      <c r="J1938" s="17"/>
      <c r="K1938" s="17"/>
      <c r="L1938" s="17"/>
      <c r="M1938" s="17"/>
      <c r="N1938" s="17"/>
      <c r="O1938" s="17"/>
    </row>
    <row r="1939" spans="2:15" x14ac:dyDescent="0.3">
      <c r="B1939" s="6" t="s">
        <v>590</v>
      </c>
      <c r="C1939" s="17"/>
      <c r="D1939" s="17"/>
      <c r="E1939" s="17"/>
      <c r="F1939" s="17"/>
      <c r="G1939" s="17"/>
      <c r="H1939" s="17"/>
      <c r="I1939" s="17"/>
      <c r="J1939" s="17"/>
      <c r="K1939" s="17"/>
      <c r="L1939" s="17"/>
      <c r="M1939" s="17"/>
      <c r="N1939" s="17"/>
      <c r="O1939" s="17"/>
    </row>
    <row r="1940" spans="2:15" x14ac:dyDescent="0.3">
      <c r="B1940" s="23" t="s">
        <v>46</v>
      </c>
      <c r="C1940" s="17"/>
      <c r="D1940" s="17"/>
      <c r="E1940" s="17"/>
      <c r="F1940" s="17"/>
      <c r="G1940" s="17"/>
      <c r="H1940" s="17"/>
      <c r="I1940" s="17"/>
      <c r="J1940" s="17"/>
      <c r="K1940" s="17"/>
      <c r="L1940" s="17"/>
      <c r="M1940" s="17"/>
      <c r="N1940" s="17"/>
      <c r="O1940" s="17"/>
    </row>
    <row r="1941" spans="2:15" x14ac:dyDescent="0.3">
      <c r="B1941" t="s">
        <v>580</v>
      </c>
      <c r="C1941" s="17">
        <v>0.33931559487547602</v>
      </c>
      <c r="D1941" s="17">
        <v>0.39020926084572599</v>
      </c>
      <c r="E1941" s="17">
        <v>0.290952527041349</v>
      </c>
      <c r="F1941" s="17"/>
      <c r="G1941" s="17">
        <v>0.26094621487796599</v>
      </c>
      <c r="H1941" s="17">
        <v>0.306517070531512</v>
      </c>
      <c r="I1941" s="17">
        <v>0.39352335857158099</v>
      </c>
      <c r="J1941" s="17">
        <v>0.43176392111398498</v>
      </c>
      <c r="K1941" s="17"/>
      <c r="L1941" s="17">
        <v>0.30697436386343802</v>
      </c>
      <c r="M1941" s="17">
        <v>0.34818560563411399</v>
      </c>
      <c r="N1941" s="17">
        <v>0.29712644713312197</v>
      </c>
      <c r="O1941" s="17">
        <v>0.40781975467107401</v>
      </c>
    </row>
    <row r="1942" spans="2:15" x14ac:dyDescent="0.3">
      <c r="B1942" t="s">
        <v>581</v>
      </c>
      <c r="C1942" s="17">
        <v>0.19015162575785299</v>
      </c>
      <c r="D1942" s="17">
        <v>0.161373006519483</v>
      </c>
      <c r="E1942" s="17">
        <v>0.21593757563837901</v>
      </c>
      <c r="F1942" s="17"/>
      <c r="G1942" s="17">
        <v>0.190263125148117</v>
      </c>
      <c r="H1942" s="17">
        <v>0.21421260089654101</v>
      </c>
      <c r="I1942" s="17">
        <v>0.17058924872115</v>
      </c>
      <c r="J1942" s="17">
        <v>0.17412740685616199</v>
      </c>
      <c r="K1942" s="17"/>
      <c r="L1942" s="17">
        <v>0.25724862918858898</v>
      </c>
      <c r="M1942" s="17">
        <v>0.21908334539079799</v>
      </c>
      <c r="N1942" s="17">
        <v>0.162377499587569</v>
      </c>
      <c r="O1942" s="17">
        <v>0.12201974243675801</v>
      </c>
    </row>
    <row r="1943" spans="2:15" x14ac:dyDescent="0.3">
      <c r="B1943" t="s">
        <v>582</v>
      </c>
      <c r="C1943" s="17">
        <v>0.172363104073125</v>
      </c>
      <c r="D1943" s="17">
        <v>0.15607238100430701</v>
      </c>
      <c r="E1943" s="17">
        <v>0.18554573782692299</v>
      </c>
      <c r="F1943" s="17"/>
      <c r="G1943" s="17">
        <v>0.25265478879069803</v>
      </c>
      <c r="H1943" s="17">
        <v>0.146805660574056</v>
      </c>
      <c r="I1943" s="17">
        <v>0.12091252618566301</v>
      </c>
      <c r="J1943" s="17">
        <v>0.14518627784740101</v>
      </c>
      <c r="K1943" s="17"/>
      <c r="L1943" s="17">
        <v>0.15276925393333199</v>
      </c>
      <c r="M1943" s="17">
        <v>0.212750747516463</v>
      </c>
      <c r="N1943" s="17">
        <v>0.20913987949958601</v>
      </c>
      <c r="O1943" s="17">
        <v>0.108668134099753</v>
      </c>
    </row>
    <row r="1944" spans="2:15" x14ac:dyDescent="0.3">
      <c r="B1944" t="s">
        <v>569</v>
      </c>
      <c r="C1944" s="17">
        <v>0.15496798340328699</v>
      </c>
      <c r="D1944" s="17">
        <v>0.141669808501839</v>
      </c>
      <c r="E1944" s="17">
        <v>0.169380320887495</v>
      </c>
      <c r="F1944" s="17"/>
      <c r="G1944" s="17">
        <v>0.239271309720823</v>
      </c>
      <c r="H1944" s="17">
        <v>0.161639313316463</v>
      </c>
      <c r="I1944" s="17">
        <v>5.9075917117808102E-2</v>
      </c>
      <c r="J1944" s="17">
        <v>0.12641042156101601</v>
      </c>
      <c r="K1944" s="17"/>
      <c r="L1944" s="17">
        <v>0.13812836158467701</v>
      </c>
      <c r="M1944" s="17">
        <v>0.160353213184042</v>
      </c>
      <c r="N1944" s="17">
        <v>0.17207577658489601</v>
      </c>
      <c r="O1944" s="17">
        <v>0.14748096087464699</v>
      </c>
    </row>
    <row r="1945" spans="2:15" x14ac:dyDescent="0.3">
      <c r="B1945" t="s">
        <v>566</v>
      </c>
      <c r="C1945" s="17">
        <v>0.148096606855983</v>
      </c>
      <c r="D1945" s="17">
        <v>0.130441257768284</v>
      </c>
      <c r="E1945" s="17">
        <v>0.16246547715788701</v>
      </c>
      <c r="F1945" s="17"/>
      <c r="G1945" s="17">
        <v>0.17301681256349</v>
      </c>
      <c r="H1945" s="17">
        <v>0.12910957242447099</v>
      </c>
      <c r="I1945" s="17">
        <v>0.114147118804608</v>
      </c>
      <c r="J1945" s="17">
        <v>0.16936760131693199</v>
      </c>
      <c r="K1945" s="17"/>
      <c r="L1945" s="17">
        <v>0.13617950857737701</v>
      </c>
      <c r="M1945" s="17">
        <v>0.145829685491082</v>
      </c>
      <c r="N1945" s="17">
        <v>0.16698307108549401</v>
      </c>
      <c r="O1945" s="17">
        <v>0.14199202671789299</v>
      </c>
    </row>
    <row r="1946" spans="2:15" x14ac:dyDescent="0.3">
      <c r="B1946" t="s">
        <v>583</v>
      </c>
      <c r="C1946" s="17">
        <v>0.13410290751742299</v>
      </c>
      <c r="D1946" s="17">
        <v>0.147958123256792</v>
      </c>
      <c r="E1946" s="17">
        <v>0.11829903595706399</v>
      </c>
      <c r="F1946" s="17"/>
      <c r="G1946" s="17">
        <v>0.20452270895379801</v>
      </c>
      <c r="H1946" s="17">
        <v>9.6435639489064695E-2</v>
      </c>
      <c r="I1946" s="17">
        <v>8.41512905450017E-2</v>
      </c>
      <c r="J1946" s="17">
        <v>0.13184748128591001</v>
      </c>
      <c r="K1946" s="17"/>
      <c r="L1946" s="17">
        <v>8.3862170593834398E-2</v>
      </c>
      <c r="M1946" s="17">
        <v>0.174112764647777</v>
      </c>
      <c r="N1946" s="17">
        <v>0.14773165130062099</v>
      </c>
      <c r="O1946" s="17">
        <v>0.12653826509625701</v>
      </c>
    </row>
    <row r="1947" spans="2:15" x14ac:dyDescent="0.3">
      <c r="B1947" t="s">
        <v>584</v>
      </c>
      <c r="C1947" s="17">
        <v>0.128736433328906</v>
      </c>
      <c r="D1947" s="17">
        <v>0.130973512732489</v>
      </c>
      <c r="E1947" s="17">
        <v>0.127440037444052</v>
      </c>
      <c r="F1947" s="17"/>
      <c r="G1947" s="17">
        <v>0.195456146620164</v>
      </c>
      <c r="H1947" s="17">
        <v>0.123023654779254</v>
      </c>
      <c r="I1947" s="17">
        <v>8.6098853080945503E-2</v>
      </c>
      <c r="J1947" s="17">
        <v>8.8312795955901205E-2</v>
      </c>
      <c r="K1947" s="17"/>
      <c r="L1947" s="17">
        <v>0.109076819581751</v>
      </c>
      <c r="M1947" s="17">
        <v>0.13915353764924601</v>
      </c>
      <c r="N1947" s="17">
        <v>0.140756100959888</v>
      </c>
      <c r="O1947" s="17">
        <v>0.124168461585767</v>
      </c>
    </row>
    <row r="1948" spans="2:15" x14ac:dyDescent="0.3">
      <c r="B1948" t="s">
        <v>572</v>
      </c>
      <c r="C1948" s="17">
        <v>0.11780890546136499</v>
      </c>
      <c r="D1948" s="17">
        <v>0.11252477346492699</v>
      </c>
      <c r="E1948" s="17">
        <v>0.123945530712815</v>
      </c>
      <c r="F1948" s="17"/>
      <c r="G1948" s="17">
        <v>0.11468053445941701</v>
      </c>
      <c r="H1948" s="17">
        <v>0.12484179936452</v>
      </c>
      <c r="I1948" s="17">
        <v>0.13347726070186999</v>
      </c>
      <c r="J1948" s="17">
        <v>0.100534328963357</v>
      </c>
      <c r="K1948" s="17"/>
      <c r="L1948" s="17">
        <v>0.112028265435461</v>
      </c>
      <c r="M1948" s="17">
        <v>9.3136524531837905E-2</v>
      </c>
      <c r="N1948" s="17">
        <v>0.169600272889154</v>
      </c>
      <c r="O1948" s="17">
        <v>9.4023731470747704E-2</v>
      </c>
    </row>
    <row r="1949" spans="2:15" x14ac:dyDescent="0.3">
      <c r="B1949" t="s">
        <v>570</v>
      </c>
      <c r="C1949" s="17">
        <v>0.116738824371279</v>
      </c>
      <c r="D1949" s="17">
        <v>0.109514936560426</v>
      </c>
      <c r="E1949" s="17">
        <v>0.124805200222097</v>
      </c>
      <c r="F1949" s="17"/>
      <c r="G1949" s="17">
        <v>0.13953928860078599</v>
      </c>
      <c r="H1949" s="17">
        <v>9.4224491478174494E-2</v>
      </c>
      <c r="I1949" s="17">
        <v>9.2353714242308496E-2</v>
      </c>
      <c r="J1949" s="17">
        <v>0.13579504222779701</v>
      </c>
      <c r="K1949" s="17"/>
      <c r="L1949" s="17">
        <v>0.15121360918552601</v>
      </c>
      <c r="M1949" s="17">
        <v>0.106337088987393</v>
      </c>
      <c r="N1949" s="17">
        <v>0.127657211782815</v>
      </c>
      <c r="O1949" s="17">
        <v>8.1625532168109E-2</v>
      </c>
    </row>
    <row r="1950" spans="2:15" x14ac:dyDescent="0.3">
      <c r="B1950" t="s">
        <v>585</v>
      </c>
      <c r="C1950" s="17">
        <v>0.113667944299531</v>
      </c>
      <c r="D1950" s="17">
        <v>7.8472031018056193E-2</v>
      </c>
      <c r="E1950" s="17">
        <v>0.14965213804070099</v>
      </c>
      <c r="F1950" s="17"/>
      <c r="G1950" s="17">
        <v>0.152407941558099</v>
      </c>
      <c r="H1950" s="17">
        <v>0.116527036364549</v>
      </c>
      <c r="I1950" s="17">
        <v>6.5645207684147902E-2</v>
      </c>
      <c r="J1950" s="17">
        <v>0.104727493272896</v>
      </c>
      <c r="K1950" s="17"/>
      <c r="L1950" s="17">
        <v>0.17090261334955101</v>
      </c>
      <c r="M1950" s="17">
        <v>9.01384122850407E-2</v>
      </c>
      <c r="N1950" s="17">
        <v>0.140050229797826</v>
      </c>
      <c r="O1950" s="17">
        <v>5.3164538278309699E-2</v>
      </c>
    </row>
    <row r="1951" spans="2:15" x14ac:dyDescent="0.3">
      <c r="B1951" t="s">
        <v>573</v>
      </c>
      <c r="C1951" s="17">
        <v>0.104813967728281</v>
      </c>
      <c r="D1951" s="17">
        <v>8.9919162668379404E-2</v>
      </c>
      <c r="E1951" s="17">
        <v>0.12045563240455801</v>
      </c>
      <c r="F1951" s="17"/>
      <c r="G1951" s="17">
        <v>0.174667642946507</v>
      </c>
      <c r="H1951" s="17">
        <v>7.0203890809058797E-2</v>
      </c>
      <c r="I1951" s="17">
        <v>9.7001412748505406E-2</v>
      </c>
      <c r="J1951" s="17">
        <v>6.11377911015102E-2</v>
      </c>
      <c r="K1951" s="17"/>
      <c r="L1951" s="17">
        <v>9.7916964812989907E-2</v>
      </c>
      <c r="M1951" s="17">
        <v>9.3700667494755599E-2</v>
      </c>
      <c r="N1951" s="17">
        <v>0.112382051765332</v>
      </c>
      <c r="O1951" s="17">
        <v>0.115467429854653</v>
      </c>
    </row>
    <row r="1952" spans="2:15" x14ac:dyDescent="0.3">
      <c r="B1952" t="s">
        <v>586</v>
      </c>
      <c r="C1952" s="17">
        <v>9.8848322882413894E-2</v>
      </c>
      <c r="D1952" s="17">
        <v>7.3814676135570495E-2</v>
      </c>
      <c r="E1952" s="17">
        <v>0.124573819005877</v>
      </c>
      <c r="F1952" s="17"/>
      <c r="G1952" s="17">
        <v>0.12015188428333499</v>
      </c>
      <c r="H1952" s="17">
        <v>8.3766885539209093E-2</v>
      </c>
      <c r="I1952" s="17">
        <v>8.5996519748116299E-2</v>
      </c>
      <c r="J1952" s="17">
        <v>0.100749819363589</v>
      </c>
      <c r="K1952" s="17"/>
      <c r="L1952" s="17">
        <v>0.10207356747085899</v>
      </c>
      <c r="M1952" s="17">
        <v>9.45988331900732E-2</v>
      </c>
      <c r="N1952" s="17">
        <v>0.125574397096612</v>
      </c>
      <c r="O1952" s="17">
        <v>7.1241251958226601E-2</v>
      </c>
    </row>
    <row r="1953" spans="2:15" x14ac:dyDescent="0.3">
      <c r="B1953" t="s">
        <v>587</v>
      </c>
      <c r="C1953" s="17">
        <v>9.4835983031083496E-2</v>
      </c>
      <c r="D1953" s="17">
        <v>8.3415655081950105E-2</v>
      </c>
      <c r="E1953" s="17">
        <v>0.102588802113235</v>
      </c>
      <c r="F1953" s="17"/>
      <c r="G1953" s="17">
        <v>9.1141508539128904E-2</v>
      </c>
      <c r="H1953" s="17">
        <v>8.8853275999876399E-2</v>
      </c>
      <c r="I1953" s="17">
        <v>6.0958826644084502E-2</v>
      </c>
      <c r="J1953" s="17">
        <v>0.13810262350861799</v>
      </c>
      <c r="K1953" s="17"/>
      <c r="L1953" s="17">
        <v>0.120974261828902</v>
      </c>
      <c r="M1953" s="17">
        <v>8.2937995258980796E-2</v>
      </c>
      <c r="N1953" s="17">
        <v>9.8129917293357294E-2</v>
      </c>
      <c r="O1953" s="17">
        <v>7.7928625931245707E-2</v>
      </c>
    </row>
    <row r="1954" spans="2:15" x14ac:dyDescent="0.3">
      <c r="B1954" t="s">
        <v>588</v>
      </c>
      <c r="C1954" s="17">
        <v>9.3309913886383294E-2</v>
      </c>
      <c r="D1954" s="17">
        <v>0.10667604258936</v>
      </c>
      <c r="E1954" s="17">
        <v>8.0638969557143003E-2</v>
      </c>
      <c r="F1954" s="17"/>
      <c r="G1954" s="17">
        <v>0.15963259282635101</v>
      </c>
      <c r="H1954" s="17">
        <v>7.7083247896415699E-2</v>
      </c>
      <c r="I1954" s="17">
        <v>7.8175774932219999E-2</v>
      </c>
      <c r="J1954" s="17">
        <v>3.9955544893816197E-2</v>
      </c>
      <c r="K1954" s="17"/>
      <c r="L1954" s="17">
        <v>6.9691870781423401E-2</v>
      </c>
      <c r="M1954" s="17">
        <v>7.7496296197001394E-2</v>
      </c>
      <c r="N1954" s="17">
        <v>0.12581340928763801</v>
      </c>
      <c r="O1954" s="17">
        <v>9.8727456002803499E-2</v>
      </c>
    </row>
    <row r="1955" spans="2:15" x14ac:dyDescent="0.3">
      <c r="B1955" t="s">
        <v>589</v>
      </c>
      <c r="C1955" s="17">
        <v>9.0872043527739907E-2</v>
      </c>
      <c r="D1955" s="17">
        <v>6.6129755018755093E-2</v>
      </c>
      <c r="E1955" s="17">
        <v>0.11624838759707699</v>
      </c>
      <c r="F1955" s="17"/>
      <c r="G1955" s="17">
        <v>0.110814023195404</v>
      </c>
      <c r="H1955" s="17">
        <v>9.3518595893869697E-2</v>
      </c>
      <c r="I1955" s="17">
        <v>7.3058832108360103E-2</v>
      </c>
      <c r="J1955" s="17">
        <v>7.88897394674615E-2</v>
      </c>
      <c r="K1955" s="17"/>
      <c r="L1955" s="17">
        <v>0.103826563727515</v>
      </c>
      <c r="M1955" s="17">
        <v>5.0568835524981801E-2</v>
      </c>
      <c r="N1955" s="17">
        <v>0.121372651204996</v>
      </c>
      <c r="O1955" s="17">
        <v>8.8231679680571495E-2</v>
      </c>
    </row>
    <row r="1956" spans="2:15" x14ac:dyDescent="0.3">
      <c r="B1956" t="s">
        <v>575</v>
      </c>
      <c r="C1956" s="17">
        <v>9.0120401785051304E-2</v>
      </c>
      <c r="D1956" s="17">
        <v>6.8479852843126507E-2</v>
      </c>
      <c r="E1956" s="17">
        <v>0.112393058320322</v>
      </c>
      <c r="F1956" s="17"/>
      <c r="G1956" s="17">
        <v>0.1220231968903</v>
      </c>
      <c r="H1956" s="17">
        <v>9.0632948569235899E-2</v>
      </c>
      <c r="I1956" s="17">
        <v>6.3146766871127302E-2</v>
      </c>
      <c r="J1956" s="17">
        <v>7.3346227658976901E-2</v>
      </c>
      <c r="K1956" s="17"/>
      <c r="L1956" s="17">
        <v>0.101330681841833</v>
      </c>
      <c r="M1956" s="17">
        <v>7.3700849107046801E-2</v>
      </c>
      <c r="N1956" s="17">
        <v>9.5455378399100899E-2</v>
      </c>
      <c r="O1956" s="17">
        <v>9.0794021913629799E-2</v>
      </c>
    </row>
    <row r="1957" spans="2:15" x14ac:dyDescent="0.3">
      <c r="B1957" t="s">
        <v>577</v>
      </c>
      <c r="C1957" s="17">
        <v>8.5027176913659103E-2</v>
      </c>
      <c r="D1957" s="17">
        <v>0.105199715554349</v>
      </c>
      <c r="E1957" s="17">
        <v>6.5497209034055204E-2</v>
      </c>
      <c r="F1957" s="17"/>
      <c r="G1957" s="17">
        <v>0.132795230730407</v>
      </c>
      <c r="H1957" s="17">
        <v>8.8085772539349405E-2</v>
      </c>
      <c r="I1957" s="17">
        <v>2.9724225083869599E-2</v>
      </c>
      <c r="J1957" s="17">
        <v>7.0526504733126896E-2</v>
      </c>
      <c r="K1957" s="17"/>
      <c r="L1957" s="17">
        <v>9.9053270114829506E-2</v>
      </c>
      <c r="M1957" s="17">
        <v>9.1719461401378904E-2</v>
      </c>
      <c r="N1957" s="17">
        <v>8.8637196920526198E-2</v>
      </c>
      <c r="O1957" s="17">
        <v>5.9890952968259997E-2</v>
      </c>
    </row>
    <row r="1958" spans="2:15" x14ac:dyDescent="0.3">
      <c r="B1958" t="s">
        <v>179</v>
      </c>
      <c r="C1958" s="17">
        <v>2.5514158881197002E-3</v>
      </c>
      <c r="D1958" s="17">
        <v>0</v>
      </c>
      <c r="E1958" s="17">
        <v>5.1185214052675903E-3</v>
      </c>
      <c r="F1958" s="17"/>
      <c r="G1958" s="17">
        <v>0</v>
      </c>
      <c r="H1958" s="17">
        <v>0</v>
      </c>
      <c r="I1958" s="17">
        <v>0</v>
      </c>
      <c r="J1958" s="17">
        <v>1.1116563215578501E-2</v>
      </c>
      <c r="K1958" s="17"/>
      <c r="L1958" s="17">
        <v>1.06115706255887E-2</v>
      </c>
      <c r="M1958" s="17">
        <v>0</v>
      </c>
      <c r="N1958" s="17">
        <v>0</v>
      </c>
      <c r="O1958" s="17">
        <v>0</v>
      </c>
    </row>
    <row r="1959" spans="2:15" x14ac:dyDescent="0.3">
      <c r="C1959" s="17"/>
      <c r="D1959" s="17"/>
      <c r="E1959" s="17"/>
      <c r="F1959" s="17"/>
      <c r="G1959" s="17"/>
      <c r="H1959" s="17"/>
      <c r="I1959" s="17"/>
      <c r="J1959" s="17"/>
      <c r="K1959" s="17"/>
      <c r="L1959" s="17"/>
      <c r="M1959" s="17"/>
      <c r="N1959" s="17"/>
      <c r="O1959" s="17"/>
    </row>
    <row r="1960" spans="2:15" x14ac:dyDescent="0.3">
      <c r="C1960" s="17"/>
      <c r="D1960" s="17"/>
      <c r="E1960" s="17"/>
      <c r="F1960" s="17"/>
      <c r="G1960" s="17"/>
      <c r="H1960" s="17"/>
      <c r="I1960" s="17"/>
      <c r="J1960" s="17"/>
      <c r="K1960" s="17"/>
      <c r="L1960" s="17"/>
      <c r="M1960" s="17"/>
      <c r="N1960" s="17"/>
      <c r="O1960" s="17"/>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O2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45</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31</v>
      </c>
      <c r="C9" s="17">
        <v>0.72350628676120199</v>
      </c>
      <c r="D9" s="17">
        <v>0.64530986959125403</v>
      </c>
      <c r="E9" s="17">
        <v>0.80688611481991301</v>
      </c>
      <c r="F9" s="17"/>
      <c r="G9" s="17">
        <v>0.74651097390847898</v>
      </c>
      <c r="H9" s="17">
        <v>0.75756038844927898</v>
      </c>
      <c r="I9" s="17">
        <v>0.67263229184406204</v>
      </c>
      <c r="J9" s="17">
        <v>0.70708029000334505</v>
      </c>
      <c r="K9" s="17"/>
      <c r="L9" s="17">
        <v>0.65927335511979801</v>
      </c>
      <c r="M9" s="17">
        <v>0.67486527069164204</v>
      </c>
      <c r="N9" s="17">
        <v>0.74644154577178401</v>
      </c>
      <c r="O9" s="17">
        <v>0.81521862933718403</v>
      </c>
    </row>
    <row r="10" spans="2:15" x14ac:dyDescent="0.3">
      <c r="B10" s="18" t="s">
        <v>32</v>
      </c>
      <c r="C10" s="17">
        <v>0.667831350038807</v>
      </c>
      <c r="D10" s="17">
        <v>0.85268965832814503</v>
      </c>
      <c r="E10" s="17">
        <v>0.48370445291467801</v>
      </c>
      <c r="F10" s="17"/>
      <c r="G10" s="17">
        <v>0.65295952620831899</v>
      </c>
      <c r="H10" s="17">
        <v>0.62482235000323605</v>
      </c>
      <c r="I10" s="17">
        <v>0.67548847952922997</v>
      </c>
      <c r="J10" s="17">
        <v>0.73431007076792498</v>
      </c>
      <c r="K10" s="17"/>
      <c r="L10" s="17">
        <v>0.73943592322876694</v>
      </c>
      <c r="M10" s="17">
        <v>0.72747506148062901</v>
      </c>
      <c r="N10" s="17">
        <v>0.66054678071162098</v>
      </c>
      <c r="O10" s="17">
        <v>0.53995621919012804</v>
      </c>
    </row>
    <row r="11" spans="2:15" x14ac:dyDescent="0.3">
      <c r="B11" s="18" t="s">
        <v>33</v>
      </c>
      <c r="C11" s="17">
        <v>0.544218595471194</v>
      </c>
      <c r="D11" s="17">
        <v>0.67306119940040898</v>
      </c>
      <c r="E11" s="17">
        <v>0.41654680562410701</v>
      </c>
      <c r="F11" s="17"/>
      <c r="G11" s="17">
        <v>0.66381735467243697</v>
      </c>
      <c r="H11" s="17">
        <v>0.45719873906408698</v>
      </c>
      <c r="I11" s="17">
        <v>0.56731943932585505</v>
      </c>
      <c r="J11" s="17">
        <v>0.47055342228203001</v>
      </c>
      <c r="K11" s="17"/>
      <c r="L11" s="17">
        <v>0.50340177052145196</v>
      </c>
      <c r="M11" s="17">
        <v>0.63659114492722102</v>
      </c>
      <c r="N11" s="17">
        <v>0.597052472327394</v>
      </c>
      <c r="O11" s="17">
        <v>0.42842825062402501</v>
      </c>
    </row>
    <row r="12" spans="2:15" x14ac:dyDescent="0.3">
      <c r="B12" s="18" t="s">
        <v>34</v>
      </c>
      <c r="C12" s="17">
        <v>0.52153269226518995</v>
      </c>
      <c r="D12" s="17">
        <v>0.458322822881777</v>
      </c>
      <c r="E12" s="17">
        <v>0.58412557852852698</v>
      </c>
      <c r="F12" s="17"/>
      <c r="G12" s="17">
        <v>0.55118767705045901</v>
      </c>
      <c r="H12" s="17">
        <v>0.48992832802307301</v>
      </c>
      <c r="I12" s="17">
        <v>0.52907744994877703</v>
      </c>
      <c r="J12" s="17">
        <v>0.51605608688049498</v>
      </c>
      <c r="K12" s="17"/>
      <c r="L12" s="17">
        <v>0.49117912142924602</v>
      </c>
      <c r="M12" s="17">
        <v>0.457063061040684</v>
      </c>
      <c r="N12" s="17">
        <v>0.51565288797254505</v>
      </c>
      <c r="O12" s="17">
        <v>0.62760974528089097</v>
      </c>
    </row>
    <row r="13" spans="2:15" x14ac:dyDescent="0.3">
      <c r="B13" s="18" t="s">
        <v>35</v>
      </c>
      <c r="C13" s="17">
        <v>0.43808564256044302</v>
      </c>
      <c r="D13" s="17">
        <v>0.36699176745949702</v>
      </c>
      <c r="E13" s="17">
        <v>0.50934940486728197</v>
      </c>
      <c r="F13" s="17"/>
      <c r="G13" s="17">
        <v>0.57310908685870998</v>
      </c>
      <c r="H13" s="17">
        <v>0.41398259487839101</v>
      </c>
      <c r="I13" s="17">
        <v>0.35329834953084699</v>
      </c>
      <c r="J13" s="17">
        <v>0.36262074770659403</v>
      </c>
      <c r="K13" s="17"/>
      <c r="L13" s="17">
        <v>0.46490236193755702</v>
      </c>
      <c r="M13" s="17">
        <v>0.38884917039598799</v>
      </c>
      <c r="N13" s="17">
        <v>0.41184219212557999</v>
      </c>
      <c r="O13" s="17">
        <v>0.49266583575558598</v>
      </c>
    </row>
    <row r="14" spans="2:15" x14ac:dyDescent="0.3">
      <c r="B14" s="18" t="s">
        <v>36</v>
      </c>
      <c r="C14" s="17">
        <v>0.32332742636366901</v>
      </c>
      <c r="D14" s="17">
        <v>0.135585172947845</v>
      </c>
      <c r="E14" s="17">
        <v>0.51321222508781705</v>
      </c>
      <c r="F14" s="17"/>
      <c r="G14" s="17">
        <v>0.38140965996117199</v>
      </c>
      <c r="H14" s="17">
        <v>0.36136848382282499</v>
      </c>
      <c r="I14" s="17">
        <v>0.23198372233103501</v>
      </c>
      <c r="J14" s="17">
        <v>0.29047934180442297</v>
      </c>
      <c r="K14" s="17"/>
      <c r="L14" s="17">
        <v>0.332476251870366</v>
      </c>
      <c r="M14" s="17">
        <v>0.22234271614961201</v>
      </c>
      <c r="N14" s="17">
        <v>0.335021907642087</v>
      </c>
      <c r="O14" s="17">
        <v>0.410144646520475</v>
      </c>
    </row>
    <row r="15" spans="2:15" x14ac:dyDescent="0.3">
      <c r="B15" s="18" t="s">
        <v>37</v>
      </c>
      <c r="C15" s="17">
        <v>0.30002967351639198</v>
      </c>
      <c r="D15" s="17">
        <v>0.29799629646864001</v>
      </c>
      <c r="E15" s="17">
        <v>0.30424713591814601</v>
      </c>
      <c r="F15" s="17"/>
      <c r="G15" s="17">
        <v>0.42324005855663799</v>
      </c>
      <c r="H15" s="17">
        <v>0.24141150778189799</v>
      </c>
      <c r="I15" s="17">
        <v>0.19713009364764</v>
      </c>
      <c r="J15" s="17">
        <v>0.30247866029904702</v>
      </c>
      <c r="K15" s="17"/>
      <c r="L15" s="17">
        <v>0.24645469310951701</v>
      </c>
      <c r="M15" s="17">
        <v>0.25300143130556502</v>
      </c>
      <c r="N15" s="17">
        <v>0.29932477637412402</v>
      </c>
      <c r="O15" s="17">
        <v>0.40495928032691803</v>
      </c>
    </row>
    <row r="16" spans="2:15" x14ac:dyDescent="0.3">
      <c r="B16" s="18" t="s">
        <v>38</v>
      </c>
      <c r="C16" s="17">
        <v>0.27728795920273203</v>
      </c>
      <c r="D16" s="17">
        <v>0.297713223305071</v>
      </c>
      <c r="E16" s="17">
        <v>0.25596494433583</v>
      </c>
      <c r="F16" s="17"/>
      <c r="G16" s="17">
        <v>0.32429558274638498</v>
      </c>
      <c r="H16" s="17">
        <v>0.29178217445884602</v>
      </c>
      <c r="I16" s="17">
        <v>0.23095767968891801</v>
      </c>
      <c r="J16" s="17">
        <v>0.24413475105917001</v>
      </c>
      <c r="K16" s="17"/>
      <c r="L16" s="17">
        <v>0.18570443605550099</v>
      </c>
      <c r="M16" s="17">
        <v>0.25778394525215198</v>
      </c>
      <c r="N16" s="17">
        <v>0.32956673456271901</v>
      </c>
      <c r="O16" s="17">
        <v>0.33321773314166298</v>
      </c>
    </row>
    <row r="17" spans="2:15" x14ac:dyDescent="0.3">
      <c r="B17" s="18" t="s">
        <v>39</v>
      </c>
      <c r="C17" s="17">
        <v>0.22395644539340401</v>
      </c>
      <c r="D17" s="17">
        <v>0.119085147987617</v>
      </c>
      <c r="E17" s="17">
        <v>0.32739877622437602</v>
      </c>
      <c r="F17" s="17"/>
      <c r="G17" s="17">
        <v>0.26906243239227601</v>
      </c>
      <c r="H17" s="17">
        <v>0.194070967909791</v>
      </c>
      <c r="I17" s="17">
        <v>0.21308864682065301</v>
      </c>
      <c r="J17" s="17">
        <v>0.21086154630814999</v>
      </c>
      <c r="K17" s="17"/>
      <c r="L17" s="17">
        <v>0.314122286186648</v>
      </c>
      <c r="M17" s="17">
        <v>0.27286232949810302</v>
      </c>
      <c r="N17" s="17">
        <v>0.18384713049596099</v>
      </c>
      <c r="O17" s="17">
        <v>0.12463148708097201</v>
      </c>
    </row>
    <row r="18" spans="2:15" x14ac:dyDescent="0.3">
      <c r="B18" s="18" t="s">
        <v>40</v>
      </c>
      <c r="C18" s="17">
        <v>0.184988157057495</v>
      </c>
      <c r="D18" s="17">
        <v>0.21283742461902</v>
      </c>
      <c r="E18" s="17">
        <v>0.15557697230906001</v>
      </c>
      <c r="F18" s="17"/>
      <c r="G18" s="17">
        <v>0.290592983626898</v>
      </c>
      <c r="H18" s="17">
        <v>0.18554012323928301</v>
      </c>
      <c r="I18" s="17">
        <v>0.105078010641936</v>
      </c>
      <c r="J18" s="17">
        <v>0.121304083633266</v>
      </c>
      <c r="K18" s="17"/>
      <c r="L18" s="17">
        <v>0.15548522326315201</v>
      </c>
      <c r="M18" s="17">
        <v>0.18725218514363801</v>
      </c>
      <c r="N18" s="17">
        <v>0.20551617281863899</v>
      </c>
      <c r="O18" s="17">
        <v>0.18981686174520199</v>
      </c>
    </row>
    <row r="19" spans="2:15" x14ac:dyDescent="0.3">
      <c r="B19" s="18" t="s">
        <v>41</v>
      </c>
      <c r="C19" s="17">
        <v>0.15942855800463099</v>
      </c>
      <c r="D19" s="17">
        <v>0.139500901489963</v>
      </c>
      <c r="E19" s="17">
        <v>0.18049533888737401</v>
      </c>
      <c r="F19" s="17"/>
      <c r="G19" s="17">
        <v>0.252228124338509</v>
      </c>
      <c r="H19" s="17">
        <v>0.14936434915237401</v>
      </c>
      <c r="I19" s="17">
        <v>7.7709512537123701E-2</v>
      </c>
      <c r="J19" s="17">
        <v>0.12590803852572399</v>
      </c>
      <c r="K19" s="17"/>
      <c r="L19" s="17">
        <v>0.17137211927455701</v>
      </c>
      <c r="M19" s="17">
        <v>0.20694411240867799</v>
      </c>
      <c r="N19" s="17">
        <v>0.11913045138976899</v>
      </c>
      <c r="O19" s="17">
        <v>0.14002606128432801</v>
      </c>
    </row>
    <row r="20" spans="2:15" x14ac:dyDescent="0.3">
      <c r="B20" s="18" t="s">
        <v>42</v>
      </c>
      <c r="C20" s="17">
        <v>0.14835414094590699</v>
      </c>
      <c r="D20" s="17">
        <v>0.17670798367704901</v>
      </c>
      <c r="E20" s="17">
        <v>0.121113659524101</v>
      </c>
      <c r="F20" s="17"/>
      <c r="G20" s="17">
        <v>0.17147499548676001</v>
      </c>
      <c r="H20" s="17">
        <v>0.114035661693644</v>
      </c>
      <c r="I20" s="17">
        <v>0.13054186784622199</v>
      </c>
      <c r="J20" s="17">
        <v>0.17464297247729599</v>
      </c>
      <c r="K20" s="17"/>
      <c r="L20" s="17">
        <v>0.10742733087204399</v>
      </c>
      <c r="M20" s="17">
        <v>0.16080752774964199</v>
      </c>
      <c r="N20" s="17">
        <v>0.17151630305389801</v>
      </c>
      <c r="O20" s="17">
        <v>0.15079178353815501</v>
      </c>
    </row>
    <row r="21" spans="2:15" x14ac:dyDescent="0.3">
      <c r="B21" s="18" t="s">
        <v>43</v>
      </c>
      <c r="C21" s="17">
        <v>3.9512882035545399E-2</v>
      </c>
      <c r="D21" s="17">
        <v>4.7943780797370397E-2</v>
      </c>
      <c r="E21" s="17">
        <v>3.1379518039599798E-2</v>
      </c>
      <c r="F21" s="17"/>
      <c r="G21" s="17">
        <v>7.1123247652195701E-2</v>
      </c>
      <c r="H21" s="17">
        <v>1.7314683676564298E-2</v>
      </c>
      <c r="I21" s="17">
        <v>4.7765631518862997E-2</v>
      </c>
      <c r="J21" s="17">
        <v>1.63464124657655E-2</v>
      </c>
      <c r="K21" s="17"/>
      <c r="L21" s="17">
        <v>1.3721274995450601E-2</v>
      </c>
      <c r="M21" s="17">
        <v>3.5597651111228097E-2</v>
      </c>
      <c r="N21" s="17">
        <v>6.8075559784139303E-2</v>
      </c>
      <c r="O21" s="17">
        <v>3.85734275090047E-2</v>
      </c>
    </row>
    <row r="22" spans="2:15" x14ac:dyDescent="0.3">
      <c r="B22" s="18" t="s">
        <v>44</v>
      </c>
      <c r="C22" s="19">
        <v>1.6161600949667E-3</v>
      </c>
      <c r="D22" s="19">
        <v>3.2459521273142601E-3</v>
      </c>
      <c r="E22" s="19">
        <v>0</v>
      </c>
      <c r="F22" s="19"/>
      <c r="G22" s="19">
        <v>0</v>
      </c>
      <c r="H22" s="19">
        <v>6.2043501081490201E-3</v>
      </c>
      <c r="I22" s="19">
        <v>0</v>
      </c>
      <c r="J22" s="19">
        <v>0</v>
      </c>
      <c r="K22" s="19"/>
      <c r="L22" s="19">
        <v>6.7217567586114798E-3</v>
      </c>
      <c r="M22" s="19">
        <v>0</v>
      </c>
      <c r="N22" s="19">
        <v>0</v>
      </c>
      <c r="O22" s="19">
        <v>0</v>
      </c>
    </row>
    <row r="23" spans="2:15" x14ac:dyDescent="0.3">
      <c r="B23" s="16"/>
    </row>
    <row r="24" spans="2:15" x14ac:dyDescent="0.3">
      <c r="B24" t="s">
        <v>47</v>
      </c>
    </row>
    <row r="25" spans="2:15" x14ac:dyDescent="0.3">
      <c r="B25" t="s">
        <v>48</v>
      </c>
    </row>
    <row r="27" spans="2:15" x14ac:dyDescent="0.3">
      <c r="B27"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O14"/>
  <sheetViews>
    <sheetView showGridLines="0" workbookViewId="0">
      <pane xSplit="2" topLeftCell="C1" activePane="topRight" state="frozen"/>
      <selection pane="topRight" activeCell="E9" sqref="E9"/>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ht="28.8" x14ac:dyDescent="0.3">
      <c r="B9" s="18" t="s">
        <v>49</v>
      </c>
      <c r="C9" s="17">
        <v>1</v>
      </c>
      <c r="D9" s="17">
        <v>1</v>
      </c>
      <c r="E9" s="17">
        <v>1</v>
      </c>
      <c r="F9" s="17"/>
      <c r="G9" s="17">
        <v>1</v>
      </c>
      <c r="H9" s="17">
        <v>1</v>
      </c>
      <c r="I9" s="17">
        <v>1</v>
      </c>
      <c r="J9" s="17">
        <v>1</v>
      </c>
      <c r="K9" s="17"/>
      <c r="L9" s="17">
        <v>1</v>
      </c>
      <c r="M9" s="17">
        <v>1</v>
      </c>
      <c r="N9" s="17">
        <v>1</v>
      </c>
      <c r="O9" s="17">
        <v>1</v>
      </c>
    </row>
    <row r="10" spans="2:15" x14ac:dyDescent="0.3">
      <c r="B10" s="16"/>
    </row>
    <row r="11" spans="2:15" x14ac:dyDescent="0.3">
      <c r="B11" t="s">
        <v>47</v>
      </c>
    </row>
    <row r="12" spans="2:15" x14ac:dyDescent="0.3">
      <c r="B12" t="s">
        <v>48</v>
      </c>
    </row>
    <row r="14" spans="2:15" x14ac:dyDescent="0.3">
      <c r="B14"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J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30" t="s">
        <v>67</v>
      </c>
      <c r="E2" s="26"/>
      <c r="F2" s="26"/>
      <c r="G2" s="26"/>
      <c r="H2" s="26"/>
      <c r="I2" s="26"/>
      <c r="J2" s="26"/>
    </row>
    <row r="6" spans="2:10" ht="49.95" customHeight="1" x14ac:dyDescent="0.3">
      <c r="B6" s="20" t="s">
        <v>14</v>
      </c>
      <c r="C6" s="20" t="s">
        <v>51</v>
      </c>
      <c r="D6" s="20" t="s">
        <v>52</v>
      </c>
      <c r="E6" s="20" t="s">
        <v>53</v>
      </c>
      <c r="F6" s="20" t="s">
        <v>54</v>
      </c>
      <c r="G6" s="20" t="s">
        <v>55</v>
      </c>
      <c r="H6" s="20" t="s">
        <v>56</v>
      </c>
      <c r="I6" s="20" t="s">
        <v>57</v>
      </c>
    </row>
    <row r="7" spans="2:10" x14ac:dyDescent="0.3">
      <c r="B7" s="18" t="s">
        <v>58</v>
      </c>
      <c r="C7" s="17">
        <v>5.3237041741263903E-2</v>
      </c>
      <c r="D7" s="17">
        <v>8.1369790901528793E-2</v>
      </c>
      <c r="E7" s="17">
        <v>0</v>
      </c>
      <c r="F7" s="17">
        <v>3.9237314965330103E-2</v>
      </c>
      <c r="G7" s="17">
        <v>8.8443710807924597E-3</v>
      </c>
      <c r="H7" s="17">
        <v>9.0480607248471807E-3</v>
      </c>
      <c r="I7" s="17">
        <v>3.0176244629577099E-3</v>
      </c>
    </row>
    <row r="8" spans="2:10" x14ac:dyDescent="0.3">
      <c r="B8" s="18" t="s">
        <v>59</v>
      </c>
      <c r="C8" s="17">
        <v>6.1964042554902003E-2</v>
      </c>
      <c r="D8" s="17">
        <v>4.5630653728643701E-2</v>
      </c>
      <c r="E8" s="17">
        <v>1.4587537285506101E-2</v>
      </c>
      <c r="F8" s="17">
        <v>7.2296483291585403E-2</v>
      </c>
      <c r="G8" s="17">
        <v>1.38165482306485E-2</v>
      </c>
      <c r="H8" s="17">
        <v>1.51757028994628E-2</v>
      </c>
      <c r="I8" s="17">
        <v>1.63237824103242E-2</v>
      </c>
    </row>
    <row r="9" spans="2:10" x14ac:dyDescent="0.3">
      <c r="B9" s="18" t="s">
        <v>60</v>
      </c>
      <c r="C9" s="17">
        <v>8.8674522463224006E-2</v>
      </c>
      <c r="D9" s="17">
        <v>0.10666690443535699</v>
      </c>
      <c r="E9" s="17">
        <v>3.5301606112191401E-2</v>
      </c>
      <c r="F9" s="17">
        <v>9.8606198677912593E-2</v>
      </c>
      <c r="G9" s="17">
        <v>2.7668932602640701E-2</v>
      </c>
      <c r="H9" s="17">
        <v>2.79748315832202E-2</v>
      </c>
      <c r="I9" s="17">
        <v>3.76227938732724E-2</v>
      </c>
    </row>
    <row r="10" spans="2:10" x14ac:dyDescent="0.3">
      <c r="B10" s="18" t="s">
        <v>61</v>
      </c>
      <c r="C10" s="17">
        <v>0.142323749011213</v>
      </c>
      <c r="D10" s="17">
        <v>0.164135910525228</v>
      </c>
      <c r="E10" s="17">
        <v>6.2653492499775906E-2</v>
      </c>
      <c r="F10" s="17">
        <v>0.19377022857391299</v>
      </c>
      <c r="G10" s="17">
        <v>4.71058812118254E-2</v>
      </c>
      <c r="H10" s="17">
        <v>6.2360876784831702E-2</v>
      </c>
      <c r="I10" s="17">
        <v>8.6259132559570906E-2</v>
      </c>
    </row>
    <row r="11" spans="2:10" x14ac:dyDescent="0.3">
      <c r="B11" s="18" t="s">
        <v>62</v>
      </c>
      <c r="C11" s="17">
        <v>0.24555233859834</v>
      </c>
      <c r="D11" s="17">
        <v>0.22696167834306299</v>
      </c>
      <c r="E11" s="17">
        <v>0.20646031934734599</v>
      </c>
      <c r="F11" s="17">
        <v>0.27741971201117299</v>
      </c>
      <c r="G11" s="17">
        <v>0.150338833468384</v>
      </c>
      <c r="H11" s="17">
        <v>0.189966288588576</v>
      </c>
      <c r="I11" s="17">
        <v>0.248734778187958</v>
      </c>
    </row>
    <row r="12" spans="2:10" x14ac:dyDescent="0.3">
      <c r="B12" s="18" t="s">
        <v>63</v>
      </c>
      <c r="C12" s="17">
        <v>0.25104678606122499</v>
      </c>
      <c r="D12" s="17">
        <v>0.24243850233957501</v>
      </c>
      <c r="E12" s="17">
        <v>0.441246565260903</v>
      </c>
      <c r="F12" s="17">
        <v>0.27986286561899298</v>
      </c>
      <c r="G12" s="17">
        <v>0.32756823563759901</v>
      </c>
      <c r="H12" s="17">
        <v>0.360763562072074</v>
      </c>
      <c r="I12" s="17">
        <v>0.47132287896313002</v>
      </c>
    </row>
    <row r="13" spans="2:10" ht="28.8" x14ac:dyDescent="0.3">
      <c r="B13" s="18" t="s">
        <v>64</v>
      </c>
      <c r="C13" s="17">
        <v>6.9502854484500998E-2</v>
      </c>
      <c r="D13" s="17">
        <v>7.0067058657679399E-2</v>
      </c>
      <c r="E13" s="17">
        <v>0.106322852804439</v>
      </c>
      <c r="F13" s="17">
        <v>2.9353324663922101E-2</v>
      </c>
      <c r="G13" s="17">
        <v>0.20923478905059401</v>
      </c>
      <c r="H13" s="17">
        <v>0.19386863181203301</v>
      </c>
      <c r="I13" s="17">
        <v>8.7016090860552994E-2</v>
      </c>
    </row>
    <row r="14" spans="2:10" x14ac:dyDescent="0.3">
      <c r="B14" s="18" t="s">
        <v>65</v>
      </c>
      <c r="C14" s="17">
        <v>8.0338619204843295E-2</v>
      </c>
      <c r="D14" s="17">
        <v>5.88506095255951E-2</v>
      </c>
      <c r="E14" s="17">
        <v>0.12237188928418501</v>
      </c>
      <c r="F14" s="17">
        <v>7.7302537272463199E-3</v>
      </c>
      <c r="G14" s="17">
        <v>0.20559561237054599</v>
      </c>
      <c r="H14" s="17">
        <v>0.124832023809193</v>
      </c>
      <c r="I14" s="17">
        <v>4.2047219566384998E-2</v>
      </c>
    </row>
    <row r="15" spans="2:10" x14ac:dyDescent="0.3">
      <c r="B15" s="18" t="s">
        <v>66</v>
      </c>
      <c r="C15" s="17">
        <v>7.3600458804879698E-3</v>
      </c>
      <c r="D15" s="17">
        <v>3.87889154333057E-3</v>
      </c>
      <c r="E15" s="17">
        <v>1.10557374056538E-2</v>
      </c>
      <c r="F15" s="17">
        <v>1.72361846992398E-3</v>
      </c>
      <c r="G15" s="17">
        <v>9.8267963469705396E-3</v>
      </c>
      <c r="H15" s="17">
        <v>1.6010021725761599E-2</v>
      </c>
      <c r="I15" s="17">
        <v>7.6556991158485098E-3</v>
      </c>
    </row>
    <row r="16" spans="2:10" x14ac:dyDescent="0.3">
      <c r="B16" s="16"/>
      <c r="C16" s="16"/>
      <c r="D16" s="16"/>
      <c r="E16" s="16"/>
      <c r="F16" s="16"/>
      <c r="G16" s="16"/>
      <c r="H16" s="16"/>
      <c r="I16" s="16"/>
    </row>
    <row r="17" spans="2:2" x14ac:dyDescent="0.3">
      <c r="B17" t="s">
        <v>47</v>
      </c>
    </row>
    <row r="18" spans="2:2" x14ac:dyDescent="0.3">
      <c r="B18" t="s">
        <v>48</v>
      </c>
    </row>
    <row r="22" spans="2:2" x14ac:dyDescent="0.3">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68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58</v>
      </c>
      <c r="C9" s="17">
        <v>5.3237041741263903E-2</v>
      </c>
      <c r="D9" s="17">
        <v>6.0469315390660999E-2</v>
      </c>
      <c r="E9" s="17">
        <v>4.6400950691698799E-2</v>
      </c>
      <c r="F9" s="17"/>
      <c r="G9" s="17">
        <v>7.1323195132337994E-2</v>
      </c>
      <c r="H9" s="17">
        <v>4.35232959108472E-2</v>
      </c>
      <c r="I9" s="17">
        <v>4.8648998400774399E-2</v>
      </c>
      <c r="J9" s="17">
        <v>4.5330916244117198E-2</v>
      </c>
      <c r="K9" s="17"/>
      <c r="L9" s="17">
        <v>1.2275153515963699E-2</v>
      </c>
      <c r="M9" s="17">
        <v>6.3544764474791404E-2</v>
      </c>
      <c r="N9" s="17">
        <v>6.4569642260412993E-2</v>
      </c>
      <c r="O9" s="17">
        <v>7.0833335251418494E-2</v>
      </c>
    </row>
    <row r="10" spans="2:15" x14ac:dyDescent="0.3">
      <c r="B10" s="18" t="s">
        <v>59</v>
      </c>
      <c r="C10" s="17">
        <v>6.1964042554902003E-2</v>
      </c>
      <c r="D10" s="17">
        <v>4.8236500295027997E-2</v>
      </c>
      <c r="E10" s="17">
        <v>7.6127513410298095E-2</v>
      </c>
      <c r="F10" s="17"/>
      <c r="G10" s="17">
        <v>5.8671845926885298E-2</v>
      </c>
      <c r="H10" s="17">
        <v>3.4429982309366398E-2</v>
      </c>
      <c r="I10" s="17">
        <v>0.11383803545457399</v>
      </c>
      <c r="J10" s="17">
        <v>5.0650817334262799E-2</v>
      </c>
      <c r="K10" s="17"/>
      <c r="L10" s="17">
        <v>4.1211452090238701E-2</v>
      </c>
      <c r="M10" s="17">
        <v>6.6596407357775597E-2</v>
      </c>
      <c r="N10" s="17">
        <v>8.8883231658314604E-2</v>
      </c>
      <c r="O10" s="17">
        <v>4.8570876627171002E-2</v>
      </c>
    </row>
    <row r="11" spans="2:15" x14ac:dyDescent="0.3">
      <c r="B11" s="18" t="s">
        <v>60</v>
      </c>
      <c r="C11" s="17">
        <v>8.8674522463224006E-2</v>
      </c>
      <c r="D11" s="17">
        <v>9.4413218069638996E-2</v>
      </c>
      <c r="E11" s="17">
        <v>8.3588552634359201E-2</v>
      </c>
      <c r="F11" s="17"/>
      <c r="G11" s="17">
        <v>8.2018768958562402E-2</v>
      </c>
      <c r="H11" s="17">
        <v>0.132154105699781</v>
      </c>
      <c r="I11" s="17">
        <v>7.9691244462896493E-2</v>
      </c>
      <c r="J11" s="17">
        <v>5.68914255015859E-2</v>
      </c>
      <c r="K11" s="17"/>
      <c r="L11" s="17">
        <v>9.1677420376607796E-2</v>
      </c>
      <c r="M11" s="17">
        <v>5.8992075679199799E-2</v>
      </c>
      <c r="N11" s="17">
        <v>0.136949298643495</v>
      </c>
      <c r="O11" s="17">
        <v>6.5305067349481299E-2</v>
      </c>
    </row>
    <row r="12" spans="2:15" x14ac:dyDescent="0.3">
      <c r="B12" s="18" t="s">
        <v>61</v>
      </c>
      <c r="C12" s="17">
        <v>0.142323749011213</v>
      </c>
      <c r="D12" s="17">
        <v>9.9571324223894295E-2</v>
      </c>
      <c r="E12" s="17">
        <v>0.186064678507352</v>
      </c>
      <c r="F12" s="17"/>
      <c r="G12" s="17">
        <v>0.15689436262647299</v>
      </c>
      <c r="H12" s="17">
        <v>0.147383666556855</v>
      </c>
      <c r="I12" s="17">
        <v>9.8261829681509594E-2</v>
      </c>
      <c r="J12" s="17">
        <v>0.158955781509759</v>
      </c>
      <c r="K12" s="17"/>
      <c r="L12" s="17">
        <v>0.102534415517441</v>
      </c>
      <c r="M12" s="17">
        <v>0.174781875751612</v>
      </c>
      <c r="N12" s="17">
        <v>0.123653504780184</v>
      </c>
      <c r="O12" s="17">
        <v>0.16742210468605001</v>
      </c>
    </row>
    <row r="13" spans="2:15" x14ac:dyDescent="0.3">
      <c r="B13" s="18" t="s">
        <v>62</v>
      </c>
      <c r="C13" s="17">
        <v>0.24555233859834</v>
      </c>
      <c r="D13" s="17">
        <v>0.22327381087633699</v>
      </c>
      <c r="E13" s="17">
        <v>0.26524931368500299</v>
      </c>
      <c r="F13" s="17"/>
      <c r="G13" s="17">
        <v>0.23006555342823701</v>
      </c>
      <c r="H13" s="17">
        <v>0.26401964884561402</v>
      </c>
      <c r="I13" s="17">
        <v>0.22193960436910901</v>
      </c>
      <c r="J13" s="17">
        <v>0.26824590580436503</v>
      </c>
      <c r="K13" s="17"/>
      <c r="L13" s="17">
        <v>0.184645405331019</v>
      </c>
      <c r="M13" s="17">
        <v>0.195574433703014</v>
      </c>
      <c r="N13" s="17">
        <v>0.273852457333087</v>
      </c>
      <c r="O13" s="17">
        <v>0.32956491971465701</v>
      </c>
    </row>
    <row r="14" spans="2:15" x14ac:dyDescent="0.3">
      <c r="B14" s="18" t="s">
        <v>63</v>
      </c>
      <c r="C14" s="17">
        <v>0.25104678606122499</v>
      </c>
      <c r="D14" s="17">
        <v>0.26727417988240498</v>
      </c>
      <c r="E14" s="17">
        <v>0.23372563806111299</v>
      </c>
      <c r="F14" s="17"/>
      <c r="G14" s="17">
        <v>0.25379388001643299</v>
      </c>
      <c r="H14" s="17">
        <v>0.22866942777164601</v>
      </c>
      <c r="I14" s="17">
        <v>0.26269452855893399</v>
      </c>
      <c r="J14" s="17">
        <v>0.25629855705714599</v>
      </c>
      <c r="K14" s="17"/>
      <c r="L14" s="17">
        <v>0.26453601230460999</v>
      </c>
      <c r="M14" s="17">
        <v>0.278354176487845</v>
      </c>
      <c r="N14" s="17">
        <v>0.20346575343931</v>
      </c>
      <c r="O14" s="17">
        <v>0.259727546365974</v>
      </c>
    </row>
    <row r="15" spans="2:15" ht="28.8" x14ac:dyDescent="0.3">
      <c r="B15" s="18" t="s">
        <v>64</v>
      </c>
      <c r="C15" s="17">
        <v>6.9502854484500998E-2</v>
      </c>
      <c r="D15" s="17">
        <v>9.4863856229102206E-2</v>
      </c>
      <c r="E15" s="17">
        <v>4.4677197400736002E-2</v>
      </c>
      <c r="F15" s="17"/>
      <c r="G15" s="17">
        <v>6.8065652957693498E-2</v>
      </c>
      <c r="H15" s="17">
        <v>7.5254611578530903E-2</v>
      </c>
      <c r="I15" s="17">
        <v>7.6462404578090601E-2</v>
      </c>
      <c r="J15" s="17">
        <v>5.9045556780000598E-2</v>
      </c>
      <c r="K15" s="17"/>
      <c r="L15" s="17">
        <v>7.4707553869919993E-2</v>
      </c>
      <c r="M15" s="17">
        <v>9.6683414384175298E-2</v>
      </c>
      <c r="N15" s="17">
        <v>6.5356659043027301E-2</v>
      </c>
      <c r="O15" s="17">
        <v>3.9550173601937799E-2</v>
      </c>
    </row>
    <row r="16" spans="2:15" x14ac:dyDescent="0.3">
      <c r="B16" s="18" t="s">
        <v>65</v>
      </c>
      <c r="C16" s="17">
        <v>8.0338619204843295E-2</v>
      </c>
      <c r="D16" s="17">
        <v>0.100577398247521</v>
      </c>
      <c r="E16" s="17">
        <v>6.0708319482488497E-2</v>
      </c>
      <c r="F16" s="17"/>
      <c r="G16" s="17">
        <v>7.5292122237107906E-2</v>
      </c>
      <c r="H16" s="17">
        <v>7.45652613273593E-2</v>
      </c>
      <c r="I16" s="17">
        <v>8.9415950658445098E-2</v>
      </c>
      <c r="J16" s="17">
        <v>8.5812728856302201E-2</v>
      </c>
      <c r="K16" s="17"/>
      <c r="L16" s="17">
        <v>0.2284125869942</v>
      </c>
      <c r="M16" s="17">
        <v>5.1482571801714103E-2</v>
      </c>
      <c r="N16" s="17">
        <v>3.88258402121541E-2</v>
      </c>
      <c r="O16" s="17">
        <v>8.2789402579022692E-3</v>
      </c>
    </row>
    <row r="17" spans="2:15" x14ac:dyDescent="0.3">
      <c r="B17" s="18" t="s">
        <v>66</v>
      </c>
      <c r="C17" s="19">
        <v>7.3600458804879698E-3</v>
      </c>
      <c r="D17" s="19">
        <v>1.1320396785412299E-2</v>
      </c>
      <c r="E17" s="19">
        <v>3.4578361269523199E-3</v>
      </c>
      <c r="F17" s="19"/>
      <c r="G17" s="19">
        <v>3.8746187162700101E-3</v>
      </c>
      <c r="H17" s="19">
        <v>0</v>
      </c>
      <c r="I17" s="19">
        <v>9.0474038356671404E-3</v>
      </c>
      <c r="J17" s="19">
        <v>1.8768310912460999E-2</v>
      </c>
      <c r="K17" s="19"/>
      <c r="L17" s="19">
        <v>0</v>
      </c>
      <c r="M17" s="19">
        <v>1.39902803598724E-2</v>
      </c>
      <c r="N17" s="19">
        <v>4.4436126300146303E-3</v>
      </c>
      <c r="O17" s="19">
        <v>1.0747036145408499E-2</v>
      </c>
    </row>
    <row r="18" spans="2:15" x14ac:dyDescent="0.3">
      <c r="B18" s="16"/>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69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58</v>
      </c>
      <c r="C9" s="17">
        <v>8.1369790901528793E-2</v>
      </c>
      <c r="D9" s="17">
        <v>0.11608080377535999</v>
      </c>
      <c r="E9" s="17">
        <v>4.7291239664016202E-2</v>
      </c>
      <c r="F9" s="17"/>
      <c r="G9" s="17">
        <v>7.5600853933626505E-2</v>
      </c>
      <c r="H9" s="17">
        <v>7.06019360674741E-2</v>
      </c>
      <c r="I9" s="17">
        <v>9.84405907750249E-2</v>
      </c>
      <c r="J9" s="17">
        <v>8.6166155045866499E-2</v>
      </c>
      <c r="K9" s="17"/>
      <c r="L9" s="17">
        <v>3.6707361378025202E-2</v>
      </c>
      <c r="M9" s="17">
        <v>0.128125569769729</v>
      </c>
      <c r="N9" s="17">
        <v>9.9874792725371198E-2</v>
      </c>
      <c r="O9" s="17">
        <v>5.56872517879572E-2</v>
      </c>
    </row>
    <row r="10" spans="2:15" x14ac:dyDescent="0.3">
      <c r="B10" s="18" t="s">
        <v>59</v>
      </c>
      <c r="C10" s="17">
        <v>4.5630653728643701E-2</v>
      </c>
      <c r="D10" s="17">
        <v>6.5294011999373E-2</v>
      </c>
      <c r="E10" s="17">
        <v>2.6322193476198401E-2</v>
      </c>
      <c r="F10" s="17"/>
      <c r="G10" s="17">
        <v>2.3241324306793602E-2</v>
      </c>
      <c r="H10" s="17">
        <v>5.0481246195380303E-2</v>
      </c>
      <c r="I10" s="17">
        <v>4.8173460392303802E-2</v>
      </c>
      <c r="J10" s="17">
        <v>6.7307648307964693E-2</v>
      </c>
      <c r="K10" s="17"/>
      <c r="L10" s="17">
        <v>5.07460644332536E-2</v>
      </c>
      <c r="M10" s="17">
        <v>5.2054781543963598E-2</v>
      </c>
      <c r="N10" s="17">
        <v>5.4002095744538799E-2</v>
      </c>
      <c r="O10" s="17">
        <v>2.4535376675182002E-2</v>
      </c>
    </row>
    <row r="11" spans="2:15" x14ac:dyDescent="0.3">
      <c r="B11" s="18" t="s">
        <v>60</v>
      </c>
      <c r="C11" s="17">
        <v>0.10666690443535699</v>
      </c>
      <c r="D11" s="17">
        <v>0.16303229503029901</v>
      </c>
      <c r="E11" s="17">
        <v>5.1142962940968602E-2</v>
      </c>
      <c r="F11" s="17"/>
      <c r="G11" s="17">
        <v>6.9634978339576298E-2</v>
      </c>
      <c r="H11" s="17">
        <v>0.118414295650916</v>
      </c>
      <c r="I11" s="17">
        <v>0.12754874540164601</v>
      </c>
      <c r="J11" s="17">
        <v>0.123322578598811</v>
      </c>
      <c r="K11" s="17"/>
      <c r="L11" s="17">
        <v>0.164049284548025</v>
      </c>
      <c r="M11" s="17">
        <v>0.104154096466434</v>
      </c>
      <c r="N11" s="17">
        <v>9.9615530837047397E-2</v>
      </c>
      <c r="O11" s="17">
        <v>5.9626684596517703E-2</v>
      </c>
    </row>
    <row r="12" spans="2:15" x14ac:dyDescent="0.3">
      <c r="B12" s="18" t="s">
        <v>61</v>
      </c>
      <c r="C12" s="17">
        <v>0.164135910525228</v>
      </c>
      <c r="D12" s="17">
        <v>0.19227082593974201</v>
      </c>
      <c r="E12" s="17">
        <v>0.132883503676515</v>
      </c>
      <c r="F12" s="17"/>
      <c r="G12" s="17">
        <v>0.18277303383676899</v>
      </c>
      <c r="H12" s="17">
        <v>0.16015191411400201</v>
      </c>
      <c r="I12" s="17">
        <v>0.134814871488321</v>
      </c>
      <c r="J12" s="17">
        <v>0.172460275214145</v>
      </c>
      <c r="K12" s="17"/>
      <c r="L12" s="17">
        <v>0.208057941002564</v>
      </c>
      <c r="M12" s="17">
        <v>0.161569356280931</v>
      </c>
      <c r="N12" s="17">
        <v>0.14584878111542901</v>
      </c>
      <c r="O12" s="17">
        <v>0.142785927080403</v>
      </c>
    </row>
    <row r="13" spans="2:15" x14ac:dyDescent="0.3">
      <c r="B13" s="18" t="s">
        <v>62</v>
      </c>
      <c r="C13" s="17">
        <v>0.22696167834306299</v>
      </c>
      <c r="D13" s="17">
        <v>0.28805843659464098</v>
      </c>
      <c r="E13" s="17">
        <v>0.16758837424449599</v>
      </c>
      <c r="F13" s="17"/>
      <c r="G13" s="17">
        <v>0.214525786615332</v>
      </c>
      <c r="H13" s="17">
        <v>0.21121496145173899</v>
      </c>
      <c r="I13" s="17">
        <v>0.21159225350699001</v>
      </c>
      <c r="J13" s="17">
        <v>0.26891383190425</v>
      </c>
      <c r="K13" s="17"/>
      <c r="L13" s="17">
        <v>0.25784526592107199</v>
      </c>
      <c r="M13" s="17">
        <v>0.21006265163014401</v>
      </c>
      <c r="N13" s="17">
        <v>0.22352954237917499</v>
      </c>
      <c r="O13" s="17">
        <v>0.21797549406861799</v>
      </c>
    </row>
    <row r="14" spans="2:15" x14ac:dyDescent="0.3">
      <c r="B14" s="18" t="s">
        <v>63</v>
      </c>
      <c r="C14" s="17">
        <v>0.24243850233957501</v>
      </c>
      <c r="D14" s="17">
        <v>0.137861331520266</v>
      </c>
      <c r="E14" s="17">
        <v>0.34572172512447202</v>
      </c>
      <c r="F14" s="17"/>
      <c r="G14" s="17">
        <v>0.27446400841971602</v>
      </c>
      <c r="H14" s="17">
        <v>0.24149646962197499</v>
      </c>
      <c r="I14" s="17">
        <v>0.27343526041201899</v>
      </c>
      <c r="J14" s="17">
        <v>0.17546065057378399</v>
      </c>
      <c r="K14" s="17"/>
      <c r="L14" s="17">
        <v>0.22712151053537599</v>
      </c>
      <c r="M14" s="17">
        <v>0.248315318227877</v>
      </c>
      <c r="N14" s="17">
        <v>0.20548241811902301</v>
      </c>
      <c r="O14" s="17">
        <v>0.29146922283619803</v>
      </c>
    </row>
    <row r="15" spans="2:15" ht="28.8" x14ac:dyDescent="0.3">
      <c r="B15" s="18" t="s">
        <v>64</v>
      </c>
      <c r="C15" s="17">
        <v>7.0067058657679399E-2</v>
      </c>
      <c r="D15" s="17">
        <v>2.8499887415113199E-2</v>
      </c>
      <c r="E15" s="17">
        <v>0.11209752883737201</v>
      </c>
      <c r="F15" s="17"/>
      <c r="G15" s="17">
        <v>8.1673176974271899E-2</v>
      </c>
      <c r="H15" s="17">
        <v>0.1047300620903</v>
      </c>
      <c r="I15" s="17">
        <v>4.1158918521416198E-2</v>
      </c>
      <c r="J15" s="17">
        <v>4.2557213421703002E-2</v>
      </c>
      <c r="K15" s="17"/>
      <c r="L15" s="17">
        <v>3.7824431730133903E-2</v>
      </c>
      <c r="M15" s="17">
        <v>7.0006279318014702E-2</v>
      </c>
      <c r="N15" s="17">
        <v>8.8044294210039495E-2</v>
      </c>
      <c r="O15" s="17">
        <v>8.2899730905261801E-2</v>
      </c>
    </row>
    <row r="16" spans="2:15" x14ac:dyDescent="0.3">
      <c r="B16" s="18" t="s">
        <v>65</v>
      </c>
      <c r="C16" s="17">
        <v>5.88506095255951E-2</v>
      </c>
      <c r="D16" s="17">
        <v>8.9024077252063804E-3</v>
      </c>
      <c r="E16" s="17">
        <v>0.109170836166367</v>
      </c>
      <c r="F16" s="17"/>
      <c r="G16" s="17">
        <v>7.1765540306769598E-2</v>
      </c>
      <c r="H16" s="17">
        <v>3.5267445267188398E-2</v>
      </c>
      <c r="I16" s="17">
        <v>6.4835899502279401E-2</v>
      </c>
      <c r="J16" s="17">
        <v>6.3811646933476504E-2</v>
      </c>
      <c r="K16" s="17"/>
      <c r="L16" s="17">
        <v>1.7648140451550099E-2</v>
      </c>
      <c r="M16" s="17">
        <v>2.5711946762907199E-2</v>
      </c>
      <c r="N16" s="17">
        <v>8.3602544869376405E-2</v>
      </c>
      <c r="O16" s="17">
        <v>0.10888764949464701</v>
      </c>
    </row>
    <row r="17" spans="2:15" x14ac:dyDescent="0.3">
      <c r="B17" s="18" t="s">
        <v>66</v>
      </c>
      <c r="C17" s="19">
        <v>3.87889154333057E-3</v>
      </c>
      <c r="D17" s="19">
        <v>0</v>
      </c>
      <c r="E17" s="19">
        <v>7.7816358695958297E-3</v>
      </c>
      <c r="F17" s="19"/>
      <c r="G17" s="19">
        <v>6.3212972671447196E-3</v>
      </c>
      <c r="H17" s="19">
        <v>7.6416695410272103E-3</v>
      </c>
      <c r="I17" s="19">
        <v>0</v>
      </c>
      <c r="J17" s="19">
        <v>0</v>
      </c>
      <c r="K17" s="19"/>
      <c r="L17" s="19">
        <v>0</v>
      </c>
      <c r="M17" s="19">
        <v>0</v>
      </c>
      <c r="N17" s="19">
        <v>0</v>
      </c>
      <c r="O17" s="19">
        <v>1.6132662555215799E-2</v>
      </c>
    </row>
    <row r="18" spans="2:15" x14ac:dyDescent="0.3">
      <c r="B18" s="16"/>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70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58</v>
      </c>
      <c r="C9" s="17">
        <v>0</v>
      </c>
      <c r="D9" s="17">
        <v>0</v>
      </c>
      <c r="E9" s="17">
        <v>0</v>
      </c>
      <c r="F9" s="17"/>
      <c r="G9" s="17">
        <v>0</v>
      </c>
      <c r="H9" s="17">
        <v>0</v>
      </c>
      <c r="I9" s="17">
        <v>0</v>
      </c>
      <c r="J9" s="17">
        <v>0</v>
      </c>
      <c r="K9" s="17"/>
      <c r="L9" s="17">
        <v>0</v>
      </c>
      <c r="M9" s="17">
        <v>0</v>
      </c>
      <c r="N9" s="17">
        <v>0</v>
      </c>
      <c r="O9" s="17">
        <v>0</v>
      </c>
    </row>
    <row r="10" spans="2:15" x14ac:dyDescent="0.3">
      <c r="B10" s="18" t="s">
        <v>59</v>
      </c>
      <c r="C10" s="17">
        <v>1.4587537285506101E-2</v>
      </c>
      <c r="D10" s="17">
        <v>1.7455429847473999E-2</v>
      </c>
      <c r="E10" s="17">
        <v>1.18292114987004E-2</v>
      </c>
      <c r="F10" s="17"/>
      <c r="G10" s="17">
        <v>1.8292872323343499E-2</v>
      </c>
      <c r="H10" s="17">
        <v>1.8668617229250301E-2</v>
      </c>
      <c r="I10" s="17">
        <v>8.8162586429205193E-3</v>
      </c>
      <c r="J10" s="17">
        <v>1.05155280745839E-2</v>
      </c>
      <c r="K10" s="17"/>
      <c r="L10" s="17">
        <v>1.3866969244853001E-2</v>
      </c>
      <c r="M10" s="17">
        <v>1.24926184059726E-2</v>
      </c>
      <c r="N10" s="17">
        <v>2.6594477643318199E-2</v>
      </c>
      <c r="O10" s="17">
        <v>4.5542114604515804E-3</v>
      </c>
    </row>
    <row r="11" spans="2:15" x14ac:dyDescent="0.3">
      <c r="B11" s="18" t="s">
        <v>60</v>
      </c>
      <c r="C11" s="17">
        <v>3.5301606112191401E-2</v>
      </c>
      <c r="D11" s="17">
        <v>3.9894434996868303E-2</v>
      </c>
      <c r="E11" s="17">
        <v>3.0971255941604402E-2</v>
      </c>
      <c r="F11" s="17"/>
      <c r="G11" s="17">
        <v>4.9779740331328398E-2</v>
      </c>
      <c r="H11" s="17">
        <v>2.4112409757741E-2</v>
      </c>
      <c r="I11" s="17">
        <v>2.8523586631391699E-2</v>
      </c>
      <c r="J11" s="17">
        <v>3.5622340528473899E-2</v>
      </c>
      <c r="K11" s="17"/>
      <c r="L11" s="17">
        <v>3.2828471390680999E-2</v>
      </c>
      <c r="M11" s="17">
        <v>2.7485841168649799E-2</v>
      </c>
      <c r="N11" s="17">
        <v>5.8939935823562398E-2</v>
      </c>
      <c r="O11" s="17">
        <v>2.0574418661405199E-2</v>
      </c>
    </row>
    <row r="12" spans="2:15" x14ac:dyDescent="0.3">
      <c r="B12" s="18" t="s">
        <v>61</v>
      </c>
      <c r="C12" s="17">
        <v>6.2653492499775906E-2</v>
      </c>
      <c r="D12" s="17">
        <v>7.3728308513862195E-2</v>
      </c>
      <c r="E12" s="17">
        <v>5.2047851773651101E-2</v>
      </c>
      <c r="F12" s="17"/>
      <c r="G12" s="17">
        <v>8.6886707871442898E-2</v>
      </c>
      <c r="H12" s="17">
        <v>4.9067570618666602E-2</v>
      </c>
      <c r="I12" s="17">
        <v>7.8159959898849898E-2</v>
      </c>
      <c r="J12" s="17">
        <v>2.4946507807008699E-2</v>
      </c>
      <c r="K12" s="17"/>
      <c r="L12" s="17">
        <v>8.0798678485187195E-2</v>
      </c>
      <c r="M12" s="17">
        <v>8.4521396919566602E-2</v>
      </c>
      <c r="N12" s="17">
        <v>6.7267126598043306E-2</v>
      </c>
      <c r="O12" s="17">
        <v>1.5985639062375899E-2</v>
      </c>
    </row>
    <row r="13" spans="2:15" x14ac:dyDescent="0.3">
      <c r="B13" s="18" t="s">
        <v>62</v>
      </c>
      <c r="C13" s="17">
        <v>0.20646031934734599</v>
      </c>
      <c r="D13" s="17">
        <v>0.23614580800949</v>
      </c>
      <c r="E13" s="17">
        <v>0.17831314304351201</v>
      </c>
      <c r="F13" s="17"/>
      <c r="G13" s="17">
        <v>0.25366563397368802</v>
      </c>
      <c r="H13" s="17">
        <v>0.20270492285304501</v>
      </c>
      <c r="I13" s="17">
        <v>0.223749242646261</v>
      </c>
      <c r="J13" s="17">
        <v>0.135142462646757</v>
      </c>
      <c r="K13" s="17"/>
      <c r="L13" s="17">
        <v>0.20547202114949401</v>
      </c>
      <c r="M13" s="17">
        <v>0.27827775844261399</v>
      </c>
      <c r="N13" s="17">
        <v>0.184256480015178</v>
      </c>
      <c r="O13" s="17">
        <v>0.154244622643468</v>
      </c>
    </row>
    <row r="14" spans="2:15" x14ac:dyDescent="0.3">
      <c r="B14" s="18" t="s">
        <v>63</v>
      </c>
      <c r="C14" s="17">
        <v>0.441246565260903</v>
      </c>
      <c r="D14" s="17">
        <v>0.44119753404416101</v>
      </c>
      <c r="E14" s="17">
        <v>0.437223750032946</v>
      </c>
      <c r="F14" s="17"/>
      <c r="G14" s="17">
        <v>0.39285873932980497</v>
      </c>
      <c r="H14" s="17">
        <v>0.45124958035255203</v>
      </c>
      <c r="I14" s="17">
        <v>0.40191480068587698</v>
      </c>
      <c r="J14" s="17">
        <v>0.53226612137194196</v>
      </c>
      <c r="K14" s="17"/>
      <c r="L14" s="17">
        <v>0.51037380696331003</v>
      </c>
      <c r="M14" s="17">
        <v>0.44866847665795601</v>
      </c>
      <c r="N14" s="17">
        <v>0.44650278502477497</v>
      </c>
      <c r="O14" s="17">
        <v>0.35844090806898599</v>
      </c>
    </row>
    <row r="15" spans="2:15" ht="28.8" x14ac:dyDescent="0.3">
      <c r="B15" s="18" t="s">
        <v>64</v>
      </c>
      <c r="C15" s="17">
        <v>0.106322852804439</v>
      </c>
      <c r="D15" s="17">
        <v>9.8026216577058997E-2</v>
      </c>
      <c r="E15" s="17">
        <v>0.115384852334141</v>
      </c>
      <c r="F15" s="17"/>
      <c r="G15" s="17">
        <v>9.6360328219371502E-2</v>
      </c>
      <c r="H15" s="17">
        <v>6.3825811005771199E-2</v>
      </c>
      <c r="I15" s="17">
        <v>0.124471209206693</v>
      </c>
      <c r="J15" s="17">
        <v>0.15180302148796199</v>
      </c>
      <c r="K15" s="17"/>
      <c r="L15" s="17">
        <v>0.104784224251501</v>
      </c>
      <c r="M15" s="17">
        <v>9.2224524264261698E-2</v>
      </c>
      <c r="N15" s="17">
        <v>8.5356477250723803E-2</v>
      </c>
      <c r="O15" s="17">
        <v>0.145741438606517</v>
      </c>
    </row>
    <row r="16" spans="2:15" x14ac:dyDescent="0.3">
      <c r="B16" s="18" t="s">
        <v>65</v>
      </c>
      <c r="C16" s="17">
        <v>0.12237188928418501</v>
      </c>
      <c r="D16" s="17">
        <v>8.8124736002655704E-2</v>
      </c>
      <c r="E16" s="17">
        <v>0.15747183066654299</v>
      </c>
      <c r="F16" s="17"/>
      <c r="G16" s="17">
        <v>9.44144882062527E-2</v>
      </c>
      <c r="H16" s="17">
        <v>0.18193184050481001</v>
      </c>
      <c r="I16" s="17">
        <v>0.13436494228800699</v>
      </c>
      <c r="J16" s="17">
        <v>8.1188037721130396E-2</v>
      </c>
      <c r="K16" s="17"/>
      <c r="L16" s="17">
        <v>4.2732796750247402E-2</v>
      </c>
      <c r="M16" s="17">
        <v>5.6329384140978898E-2</v>
      </c>
      <c r="N16" s="17">
        <v>0.109941963553486</v>
      </c>
      <c r="O16" s="17">
        <v>0.28652245992286002</v>
      </c>
    </row>
    <row r="17" spans="2:15" x14ac:dyDescent="0.3">
      <c r="B17" s="18" t="s">
        <v>66</v>
      </c>
      <c r="C17" s="19">
        <v>1.10557374056538E-2</v>
      </c>
      <c r="D17" s="19">
        <v>5.4275320084305797E-3</v>
      </c>
      <c r="E17" s="19">
        <v>1.6758104708901898E-2</v>
      </c>
      <c r="F17" s="19"/>
      <c r="G17" s="19">
        <v>7.7414897447680804E-3</v>
      </c>
      <c r="H17" s="19">
        <v>8.4392476781632395E-3</v>
      </c>
      <c r="I17" s="19">
        <v>0</v>
      </c>
      <c r="J17" s="19">
        <v>2.8515980362141299E-2</v>
      </c>
      <c r="K17" s="19"/>
      <c r="L17" s="19">
        <v>9.1430317647263806E-3</v>
      </c>
      <c r="M17" s="19">
        <v>0</v>
      </c>
      <c r="N17" s="19">
        <v>2.1140754090912799E-2</v>
      </c>
      <c r="O17" s="19">
        <v>1.3936301573935699E-2</v>
      </c>
    </row>
    <row r="18" spans="2:15" x14ac:dyDescent="0.3">
      <c r="B18" s="16"/>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71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58</v>
      </c>
      <c r="C9" s="17">
        <v>3.9237314965330103E-2</v>
      </c>
      <c r="D9" s="17">
        <v>3.4399032282453799E-2</v>
      </c>
      <c r="E9" s="17">
        <v>4.4356025345095001E-2</v>
      </c>
      <c r="F9" s="17"/>
      <c r="G9" s="17">
        <v>5.0167426471566003E-2</v>
      </c>
      <c r="H9" s="17">
        <v>3.9223623336907897E-2</v>
      </c>
      <c r="I9" s="17">
        <v>4.0892489331619E-2</v>
      </c>
      <c r="J9" s="17">
        <v>2.3827515452949598E-2</v>
      </c>
      <c r="K9" s="17"/>
      <c r="L9" s="17">
        <v>3.6083995673111803E-2</v>
      </c>
      <c r="M9" s="17">
        <v>1.4077389188128901E-2</v>
      </c>
      <c r="N9" s="17">
        <v>4.7225473315046798E-2</v>
      </c>
      <c r="O9" s="17">
        <v>6.0802776805677999E-2</v>
      </c>
    </row>
    <row r="10" spans="2:15" x14ac:dyDescent="0.3">
      <c r="B10" s="18" t="s">
        <v>59</v>
      </c>
      <c r="C10" s="17">
        <v>7.2296483291585403E-2</v>
      </c>
      <c r="D10" s="17">
        <v>5.53108330789382E-2</v>
      </c>
      <c r="E10" s="17">
        <v>8.9789650065221396E-2</v>
      </c>
      <c r="F10" s="17"/>
      <c r="G10" s="17">
        <v>6.8561576052070403E-2</v>
      </c>
      <c r="H10" s="17">
        <v>5.1613607922699201E-2</v>
      </c>
      <c r="I10" s="17">
        <v>0.10136498831875899</v>
      </c>
      <c r="J10" s="17">
        <v>7.4677625415049506E-2</v>
      </c>
      <c r="K10" s="17"/>
      <c r="L10" s="17">
        <v>6.2684341846148101E-2</v>
      </c>
      <c r="M10" s="17">
        <v>5.7304862293235503E-2</v>
      </c>
      <c r="N10" s="17">
        <v>8.8573992169265606E-2</v>
      </c>
      <c r="O10" s="17">
        <v>8.0402006648063504E-2</v>
      </c>
    </row>
    <row r="11" spans="2:15" x14ac:dyDescent="0.3">
      <c r="B11" s="18" t="s">
        <v>60</v>
      </c>
      <c r="C11" s="17">
        <v>9.8606198677912593E-2</v>
      </c>
      <c r="D11" s="17">
        <v>0.107941139371469</v>
      </c>
      <c r="E11" s="17">
        <v>8.5654841037466595E-2</v>
      </c>
      <c r="F11" s="17"/>
      <c r="G11" s="17">
        <v>0.115014578655772</v>
      </c>
      <c r="H11" s="17">
        <v>8.8803876570311496E-2</v>
      </c>
      <c r="I11" s="17">
        <v>8.2924468507989305E-2</v>
      </c>
      <c r="J11" s="17">
        <v>0.103468099611969</v>
      </c>
      <c r="K11" s="17"/>
      <c r="L11" s="17">
        <v>4.4517163947944298E-2</v>
      </c>
      <c r="M11" s="17">
        <v>0.13196241497032499</v>
      </c>
      <c r="N11" s="17">
        <v>9.8516904914855E-2</v>
      </c>
      <c r="O11" s="17">
        <v>0.11690876594268899</v>
      </c>
    </row>
    <row r="12" spans="2:15" x14ac:dyDescent="0.3">
      <c r="B12" s="18" t="s">
        <v>61</v>
      </c>
      <c r="C12" s="17">
        <v>0.19377022857391299</v>
      </c>
      <c r="D12" s="17">
        <v>0.20717188986642401</v>
      </c>
      <c r="E12" s="17">
        <v>0.18179587415597501</v>
      </c>
      <c r="F12" s="17"/>
      <c r="G12" s="17">
        <v>0.21452475829738399</v>
      </c>
      <c r="H12" s="17">
        <v>0.239097019277594</v>
      </c>
      <c r="I12" s="17">
        <v>0.15329774136823199</v>
      </c>
      <c r="J12" s="17">
        <v>0.15378503033007701</v>
      </c>
      <c r="K12" s="17"/>
      <c r="L12" s="17">
        <v>0.20992360185933301</v>
      </c>
      <c r="M12" s="17">
        <v>0.21213949519050901</v>
      </c>
      <c r="N12" s="17">
        <v>0.20129437040042999</v>
      </c>
      <c r="O12" s="17">
        <v>0.14970482391918399</v>
      </c>
    </row>
    <row r="13" spans="2:15" x14ac:dyDescent="0.3">
      <c r="B13" s="18" t="s">
        <v>62</v>
      </c>
      <c r="C13" s="17">
        <v>0.27741971201117299</v>
      </c>
      <c r="D13" s="17">
        <v>0.248783318379866</v>
      </c>
      <c r="E13" s="17">
        <v>0.30804515451992298</v>
      </c>
      <c r="F13" s="17"/>
      <c r="G13" s="17">
        <v>0.28513775715075301</v>
      </c>
      <c r="H13" s="17">
        <v>0.28295001821751897</v>
      </c>
      <c r="I13" s="17">
        <v>0.27076007115900302</v>
      </c>
      <c r="J13" s="17">
        <v>0.26937555633563198</v>
      </c>
      <c r="K13" s="17"/>
      <c r="L13" s="17">
        <v>0.29469704432416999</v>
      </c>
      <c r="M13" s="17">
        <v>0.21321308895859301</v>
      </c>
      <c r="N13" s="17">
        <v>0.28602942162039602</v>
      </c>
      <c r="O13" s="17">
        <v>0.319885955450809</v>
      </c>
    </row>
    <row r="14" spans="2:15" x14ac:dyDescent="0.3">
      <c r="B14" s="18" t="s">
        <v>63</v>
      </c>
      <c r="C14" s="17">
        <v>0.27986286561899298</v>
      </c>
      <c r="D14" s="17">
        <v>0.297831280478289</v>
      </c>
      <c r="E14" s="17">
        <v>0.26101266841304599</v>
      </c>
      <c r="F14" s="17"/>
      <c r="G14" s="17">
        <v>0.25018634437966403</v>
      </c>
      <c r="H14" s="17">
        <v>0.25565443444607699</v>
      </c>
      <c r="I14" s="17">
        <v>0.30081860351482398</v>
      </c>
      <c r="J14" s="17">
        <v>0.32112792009907398</v>
      </c>
      <c r="K14" s="17"/>
      <c r="L14" s="17">
        <v>0.30048120013949398</v>
      </c>
      <c r="M14" s="17">
        <v>0.311260405870116</v>
      </c>
      <c r="N14" s="17">
        <v>0.242156539285664</v>
      </c>
      <c r="O14" s="17">
        <v>0.26631690950763398</v>
      </c>
    </row>
    <row r="15" spans="2:15" ht="28.8" x14ac:dyDescent="0.3">
      <c r="B15" s="18" t="s">
        <v>64</v>
      </c>
      <c r="C15" s="17">
        <v>2.9353324663922101E-2</v>
      </c>
      <c r="D15" s="17">
        <v>3.6940177083975498E-2</v>
      </c>
      <c r="E15" s="17">
        <v>2.1989011072143599E-2</v>
      </c>
      <c r="F15" s="17"/>
      <c r="G15" s="17">
        <v>1.1595378382325701E-2</v>
      </c>
      <c r="H15" s="17">
        <v>3.4021949001676897E-2</v>
      </c>
      <c r="I15" s="17">
        <v>3.99164065647978E-2</v>
      </c>
      <c r="J15" s="17">
        <v>3.7760580255113203E-2</v>
      </c>
      <c r="K15" s="17"/>
      <c r="L15" s="17">
        <v>3.4173864812364001E-2</v>
      </c>
      <c r="M15" s="17">
        <v>4.5260235416691899E-2</v>
      </c>
      <c r="N15" s="17">
        <v>3.6203298294342302E-2</v>
      </c>
      <c r="O15" s="17">
        <v>0</v>
      </c>
    </row>
    <row r="16" spans="2:15" x14ac:dyDescent="0.3">
      <c r="B16" s="18" t="s">
        <v>65</v>
      </c>
      <c r="C16" s="17">
        <v>7.7302537272463199E-3</v>
      </c>
      <c r="D16" s="17">
        <v>1.1622329458584799E-2</v>
      </c>
      <c r="E16" s="17">
        <v>3.8989392641768398E-3</v>
      </c>
      <c r="F16" s="17"/>
      <c r="G16" s="17">
        <v>4.81218061046543E-3</v>
      </c>
      <c r="H16" s="17">
        <v>8.6354712272148706E-3</v>
      </c>
      <c r="I16" s="17">
        <v>1.0025231234775001E-2</v>
      </c>
      <c r="J16" s="17">
        <v>8.4678369732551807E-3</v>
      </c>
      <c r="K16" s="17"/>
      <c r="L16" s="17">
        <v>1.74387873974346E-2</v>
      </c>
      <c r="M16" s="17">
        <v>8.1182592392422693E-3</v>
      </c>
      <c r="N16" s="17">
        <v>0</v>
      </c>
      <c r="O16" s="17">
        <v>5.97876172594287E-3</v>
      </c>
    </row>
    <row r="17" spans="2:15" x14ac:dyDescent="0.3">
      <c r="B17" s="18" t="s">
        <v>66</v>
      </c>
      <c r="C17" s="19">
        <v>1.72361846992398E-3</v>
      </c>
      <c r="D17" s="19">
        <v>0</v>
      </c>
      <c r="E17" s="19">
        <v>3.4578361269523199E-3</v>
      </c>
      <c r="F17" s="19"/>
      <c r="G17" s="19">
        <v>0</v>
      </c>
      <c r="H17" s="19">
        <v>0</v>
      </c>
      <c r="I17" s="19">
        <v>0</v>
      </c>
      <c r="J17" s="19">
        <v>7.5098355268804502E-3</v>
      </c>
      <c r="K17" s="19"/>
      <c r="L17" s="19">
        <v>0</v>
      </c>
      <c r="M17" s="19">
        <v>6.6638488731567804E-3</v>
      </c>
      <c r="N17" s="19">
        <v>0</v>
      </c>
      <c r="O17" s="19">
        <v>0</v>
      </c>
    </row>
    <row r="18" spans="2:15" x14ac:dyDescent="0.3">
      <c r="B18" s="16"/>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72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58</v>
      </c>
      <c r="C9" s="17">
        <v>8.8443710807924597E-3</v>
      </c>
      <c r="D9" s="17">
        <v>1.11890067654128E-2</v>
      </c>
      <c r="E9" s="17">
        <v>6.56685472106853E-3</v>
      </c>
      <c r="F9" s="17"/>
      <c r="G9" s="17">
        <v>1.34068325568903E-2</v>
      </c>
      <c r="H9" s="17">
        <v>0</v>
      </c>
      <c r="I9" s="17">
        <v>8.8162586429205193E-3</v>
      </c>
      <c r="J9" s="17">
        <v>1.30398472202877E-2</v>
      </c>
      <c r="K9" s="17"/>
      <c r="L9" s="17">
        <v>0</v>
      </c>
      <c r="M9" s="17">
        <v>6.0546901673625897E-3</v>
      </c>
      <c r="N9" s="17">
        <v>2.79426134237033E-2</v>
      </c>
      <c r="O9" s="17">
        <v>0</v>
      </c>
    </row>
    <row r="10" spans="2:15" x14ac:dyDescent="0.3">
      <c r="B10" s="18" t="s">
        <v>59</v>
      </c>
      <c r="C10" s="17">
        <v>1.38165482306485E-2</v>
      </c>
      <c r="D10" s="17">
        <v>1.9060498902134501E-2</v>
      </c>
      <c r="E10" s="17">
        <v>8.6792496287852999E-3</v>
      </c>
      <c r="F10" s="17"/>
      <c r="G10" s="17">
        <v>2.52027643662848E-2</v>
      </c>
      <c r="H10" s="17">
        <v>6.1937489330162699E-3</v>
      </c>
      <c r="I10" s="17">
        <v>0</v>
      </c>
      <c r="J10" s="17">
        <v>2.0366725876375599E-2</v>
      </c>
      <c r="K10" s="17"/>
      <c r="L10" s="17">
        <v>7.3701477244089101E-3</v>
      </c>
      <c r="M10" s="17">
        <v>7.7444923474286999E-3</v>
      </c>
      <c r="N10" s="17">
        <v>3.2356305781214602E-2</v>
      </c>
      <c r="O10" s="17">
        <v>6.7102715072385501E-3</v>
      </c>
    </row>
    <row r="11" spans="2:15" x14ac:dyDescent="0.3">
      <c r="B11" s="18" t="s">
        <v>60</v>
      </c>
      <c r="C11" s="17">
        <v>2.7668932602640701E-2</v>
      </c>
      <c r="D11" s="17">
        <v>3.8224888294176897E-2</v>
      </c>
      <c r="E11" s="17">
        <v>1.7326619636917898E-2</v>
      </c>
      <c r="F11" s="17"/>
      <c r="G11" s="17">
        <v>2.0825432934320799E-2</v>
      </c>
      <c r="H11" s="17">
        <v>5.8908724956310998E-2</v>
      </c>
      <c r="I11" s="17">
        <v>1.87049328945957E-2</v>
      </c>
      <c r="J11" s="17">
        <v>9.5203015299986597E-3</v>
      </c>
      <c r="K11" s="17"/>
      <c r="L11" s="17">
        <v>6.7965423856307002E-3</v>
      </c>
      <c r="M11" s="17">
        <v>3.7264036987869599E-2</v>
      </c>
      <c r="N11" s="17">
        <v>3.9077622571734298E-2</v>
      </c>
      <c r="O11" s="17">
        <v>2.5859902453871202E-2</v>
      </c>
    </row>
    <row r="12" spans="2:15" x14ac:dyDescent="0.3">
      <c r="B12" s="18" t="s">
        <v>61</v>
      </c>
      <c r="C12" s="17">
        <v>4.71058812118254E-2</v>
      </c>
      <c r="D12" s="17">
        <v>5.9171291826771097E-2</v>
      </c>
      <c r="E12" s="17">
        <v>3.5397473338537398E-2</v>
      </c>
      <c r="F12" s="17"/>
      <c r="G12" s="17">
        <v>4.97607487787207E-2</v>
      </c>
      <c r="H12" s="17">
        <v>5.9286816262122802E-2</v>
      </c>
      <c r="I12" s="17">
        <v>6.5222161706740597E-2</v>
      </c>
      <c r="J12" s="17">
        <v>1.3666632619377599E-2</v>
      </c>
      <c r="K12" s="17"/>
      <c r="L12" s="17">
        <v>3.28108324615397E-2</v>
      </c>
      <c r="M12" s="17">
        <v>6.4131865033928398E-2</v>
      </c>
      <c r="N12" s="17">
        <v>5.8925803073425001E-2</v>
      </c>
      <c r="O12" s="17">
        <v>3.0280183530691399E-2</v>
      </c>
    </row>
    <row r="13" spans="2:15" x14ac:dyDescent="0.3">
      <c r="B13" s="18" t="s">
        <v>62</v>
      </c>
      <c r="C13" s="17">
        <v>0.150338833468384</v>
      </c>
      <c r="D13" s="17">
        <v>0.20934797095730001</v>
      </c>
      <c r="E13" s="17">
        <v>9.2492402799092197E-2</v>
      </c>
      <c r="F13" s="17"/>
      <c r="G13" s="17">
        <v>0.20127472926149001</v>
      </c>
      <c r="H13" s="17">
        <v>0.109785985002361</v>
      </c>
      <c r="I13" s="17">
        <v>0.15549693323549901</v>
      </c>
      <c r="J13" s="17">
        <v>0.126554061614672</v>
      </c>
      <c r="K13" s="17"/>
      <c r="L13" s="17">
        <v>7.5547189902733194E-2</v>
      </c>
      <c r="M13" s="17">
        <v>0.127050266097677</v>
      </c>
      <c r="N13" s="17">
        <v>0.209929655599815</v>
      </c>
      <c r="O13" s="17">
        <v>0.18562660583589399</v>
      </c>
    </row>
    <row r="14" spans="2:15" x14ac:dyDescent="0.3">
      <c r="B14" s="18" t="s">
        <v>63</v>
      </c>
      <c r="C14" s="17">
        <v>0.32756823563759901</v>
      </c>
      <c r="D14" s="17">
        <v>0.360614369724166</v>
      </c>
      <c r="E14" s="17">
        <v>0.29400511827760001</v>
      </c>
      <c r="F14" s="17"/>
      <c r="G14" s="17">
        <v>0.38432846966371498</v>
      </c>
      <c r="H14" s="17">
        <v>0.273061122737353</v>
      </c>
      <c r="I14" s="17">
        <v>0.31691641969545897</v>
      </c>
      <c r="J14" s="17">
        <v>0.31994223265447103</v>
      </c>
      <c r="K14" s="17"/>
      <c r="L14" s="17">
        <v>0.34070911669716403</v>
      </c>
      <c r="M14" s="17">
        <v>0.38320852270428502</v>
      </c>
      <c r="N14" s="17">
        <v>0.30632921165708799</v>
      </c>
      <c r="O14" s="17">
        <v>0.27758083689427498</v>
      </c>
    </row>
    <row r="15" spans="2:15" ht="28.8" x14ac:dyDescent="0.3">
      <c r="B15" s="18" t="s">
        <v>64</v>
      </c>
      <c r="C15" s="17">
        <v>0.20923478905059401</v>
      </c>
      <c r="D15" s="17">
        <v>0.14491559813931701</v>
      </c>
      <c r="E15" s="17">
        <v>0.27500554318977299</v>
      </c>
      <c r="F15" s="17"/>
      <c r="G15" s="17">
        <v>0.17273603116226199</v>
      </c>
      <c r="H15" s="17">
        <v>0.22669861683793799</v>
      </c>
      <c r="I15" s="17">
        <v>0.23139381958927699</v>
      </c>
      <c r="J15" s="17">
        <v>0.21835662347050699</v>
      </c>
      <c r="K15" s="17"/>
      <c r="L15" s="17">
        <v>0.30586089832625102</v>
      </c>
      <c r="M15" s="17">
        <v>0.18649379840531899</v>
      </c>
      <c r="N15" s="17">
        <v>0.15196878929168101</v>
      </c>
      <c r="O15" s="17">
        <v>0.199110639147312</v>
      </c>
    </row>
    <row r="16" spans="2:15" x14ac:dyDescent="0.3">
      <c r="B16" s="18" t="s">
        <v>65</v>
      </c>
      <c r="C16" s="17">
        <v>0.20559561237054599</v>
      </c>
      <c r="D16" s="17">
        <v>0.148707813502194</v>
      </c>
      <c r="E16" s="17">
        <v>0.25957130118259703</v>
      </c>
      <c r="F16" s="17"/>
      <c r="G16" s="17">
        <v>0.132464991276316</v>
      </c>
      <c r="H16" s="17">
        <v>0.2526130058469</v>
      </c>
      <c r="I16" s="17">
        <v>0.20344947423550799</v>
      </c>
      <c r="J16" s="17">
        <v>0.25100539966108498</v>
      </c>
      <c r="K16" s="17"/>
      <c r="L16" s="17">
        <v>0.22221436259509</v>
      </c>
      <c r="M16" s="17">
        <v>0.188052328256129</v>
      </c>
      <c r="N16" s="17">
        <v>0.16029787129048201</v>
      </c>
      <c r="O16" s="17">
        <v>0.256921735772488</v>
      </c>
    </row>
    <row r="17" spans="2:15" x14ac:dyDescent="0.3">
      <c r="B17" s="18" t="s">
        <v>66</v>
      </c>
      <c r="C17" s="19">
        <v>9.8267963469705396E-3</v>
      </c>
      <c r="D17" s="19">
        <v>8.76856188852735E-3</v>
      </c>
      <c r="E17" s="19">
        <v>1.09554372256279E-2</v>
      </c>
      <c r="F17" s="19"/>
      <c r="G17" s="19">
        <v>0</v>
      </c>
      <c r="H17" s="19">
        <v>1.3451979423998501E-2</v>
      </c>
      <c r="I17" s="19">
        <v>0</v>
      </c>
      <c r="J17" s="19">
        <v>2.75481753532258E-2</v>
      </c>
      <c r="K17" s="19"/>
      <c r="L17" s="19">
        <v>8.69090990718226E-3</v>
      </c>
      <c r="M17" s="19">
        <v>0</v>
      </c>
      <c r="N17" s="19">
        <v>1.31721273108558E-2</v>
      </c>
      <c r="O17" s="19">
        <v>1.79098248582302E-2</v>
      </c>
    </row>
    <row r="18" spans="2:15" x14ac:dyDescent="0.3">
      <c r="B18" s="16"/>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73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58</v>
      </c>
      <c r="C9" s="17">
        <v>9.0480607248471807E-3</v>
      </c>
      <c r="D9" s="17">
        <v>1.36929603031298E-2</v>
      </c>
      <c r="E9" s="17">
        <v>4.4743822730248699E-3</v>
      </c>
      <c r="F9" s="17"/>
      <c r="G9" s="17">
        <v>7.1759159541977804E-3</v>
      </c>
      <c r="H9" s="17">
        <v>5.2002403157028598E-3</v>
      </c>
      <c r="I9" s="17">
        <v>1.7805579577859401E-2</v>
      </c>
      <c r="J9" s="17">
        <v>0</v>
      </c>
      <c r="K9" s="17"/>
      <c r="L9" s="17">
        <v>0</v>
      </c>
      <c r="M9" s="17">
        <v>8.2876663203417505E-3</v>
      </c>
      <c r="N9" s="17">
        <v>2.6507249793374599E-2</v>
      </c>
      <c r="O9" s="17">
        <v>0</v>
      </c>
    </row>
    <row r="10" spans="2:15" x14ac:dyDescent="0.3">
      <c r="B10" s="18" t="s">
        <v>59</v>
      </c>
      <c r="C10" s="17">
        <v>1.51757028994628E-2</v>
      </c>
      <c r="D10" s="17">
        <v>1.42204240235256E-2</v>
      </c>
      <c r="E10" s="17">
        <v>1.62404843081131E-2</v>
      </c>
      <c r="F10" s="17"/>
      <c r="G10" s="17">
        <v>2.1257774798135998E-2</v>
      </c>
      <c r="H10" s="17">
        <v>1.6554336295954899E-2</v>
      </c>
      <c r="I10" s="17">
        <v>1.0025231234775001E-2</v>
      </c>
      <c r="J10" s="17">
        <v>1.05155280745839E-2</v>
      </c>
      <c r="K10" s="17"/>
      <c r="L10" s="17">
        <v>6.7965423856307002E-3</v>
      </c>
      <c r="M10" s="17">
        <v>1.7942863444233501E-2</v>
      </c>
      <c r="N10" s="17">
        <v>1.7615577978064199E-2</v>
      </c>
      <c r="O10" s="17">
        <v>1.79348714921021E-2</v>
      </c>
    </row>
    <row r="11" spans="2:15" x14ac:dyDescent="0.3">
      <c r="B11" s="18" t="s">
        <v>60</v>
      </c>
      <c r="C11" s="17">
        <v>2.79748315832202E-2</v>
      </c>
      <c r="D11" s="17">
        <v>1.9374346242254301E-2</v>
      </c>
      <c r="E11" s="17">
        <v>3.6769390801344698E-2</v>
      </c>
      <c r="F11" s="17"/>
      <c r="G11" s="17">
        <v>4.7532897125880699E-2</v>
      </c>
      <c r="H11" s="17">
        <v>4.6433732058014703E-2</v>
      </c>
      <c r="I11" s="17">
        <v>0</v>
      </c>
      <c r="J11" s="17">
        <v>7.3204352072063598E-3</v>
      </c>
      <c r="K11" s="17"/>
      <c r="L11" s="17">
        <v>3.2657398427515999E-2</v>
      </c>
      <c r="M11" s="17">
        <v>3.8537913495566303E-2</v>
      </c>
      <c r="N11" s="17">
        <v>2.3364216066349801E-2</v>
      </c>
      <c r="O11" s="17">
        <v>1.69237828249801E-2</v>
      </c>
    </row>
    <row r="12" spans="2:15" x14ac:dyDescent="0.3">
      <c r="B12" s="18" t="s">
        <v>61</v>
      </c>
      <c r="C12" s="17">
        <v>6.2360876784831702E-2</v>
      </c>
      <c r="D12" s="17">
        <v>5.5763022546941599E-2</v>
      </c>
      <c r="E12" s="17">
        <v>6.9405664295480105E-2</v>
      </c>
      <c r="F12" s="17"/>
      <c r="G12" s="17">
        <v>0.106485253590538</v>
      </c>
      <c r="H12" s="17">
        <v>8.1550836128617604E-2</v>
      </c>
      <c r="I12" s="17">
        <v>1.1347384769979599E-2</v>
      </c>
      <c r="J12" s="17">
        <v>3.0200025705252501E-2</v>
      </c>
      <c r="K12" s="17"/>
      <c r="L12" s="17">
        <v>7.2997841790310394E-2</v>
      </c>
      <c r="M12" s="17">
        <v>8.53054410838123E-2</v>
      </c>
      <c r="N12" s="17">
        <v>3.6562644927010501E-2</v>
      </c>
      <c r="O12" s="17">
        <v>5.49892074249076E-2</v>
      </c>
    </row>
    <row r="13" spans="2:15" x14ac:dyDescent="0.3">
      <c r="B13" s="18" t="s">
        <v>62</v>
      </c>
      <c r="C13" s="17">
        <v>0.189966288588576</v>
      </c>
      <c r="D13" s="17">
        <v>0.180510982153892</v>
      </c>
      <c r="E13" s="17">
        <v>0.20079517270622699</v>
      </c>
      <c r="F13" s="17"/>
      <c r="G13" s="17">
        <v>0.262456087925235</v>
      </c>
      <c r="H13" s="17">
        <v>0.16393826764819</v>
      </c>
      <c r="I13" s="17">
        <v>0.117236519171149</v>
      </c>
      <c r="J13" s="17">
        <v>0.19303678758168399</v>
      </c>
      <c r="K13" s="17"/>
      <c r="L13" s="17">
        <v>0.18589918223325899</v>
      </c>
      <c r="M13" s="17">
        <v>0.20071150125419901</v>
      </c>
      <c r="N13" s="17">
        <v>0.18216019347944901</v>
      </c>
      <c r="O13" s="17">
        <v>0.19093075405061299</v>
      </c>
    </row>
    <row r="14" spans="2:15" x14ac:dyDescent="0.3">
      <c r="B14" s="18" t="s">
        <v>63</v>
      </c>
      <c r="C14" s="17">
        <v>0.360763562072074</v>
      </c>
      <c r="D14" s="17">
        <v>0.32829173668382799</v>
      </c>
      <c r="E14" s="17">
        <v>0.39288575514142698</v>
      </c>
      <c r="F14" s="17"/>
      <c r="G14" s="17">
        <v>0.36408043644379501</v>
      </c>
      <c r="H14" s="17">
        <v>0.36995545258333801</v>
      </c>
      <c r="I14" s="17">
        <v>0.39459642101029602</v>
      </c>
      <c r="J14" s="17">
        <v>0.31800018303709199</v>
      </c>
      <c r="K14" s="17"/>
      <c r="L14" s="17">
        <v>0.38244997853587398</v>
      </c>
      <c r="M14" s="17">
        <v>0.32358598754358903</v>
      </c>
      <c r="N14" s="17">
        <v>0.381660111588218</v>
      </c>
      <c r="O14" s="17">
        <v>0.35643327441309602</v>
      </c>
    </row>
    <row r="15" spans="2:15" ht="28.8" x14ac:dyDescent="0.3">
      <c r="B15" s="18" t="s">
        <v>64</v>
      </c>
      <c r="C15" s="17">
        <v>0.19386863181203301</v>
      </c>
      <c r="D15" s="17">
        <v>0.20822536372712999</v>
      </c>
      <c r="E15" s="17">
        <v>0.176595400890838</v>
      </c>
      <c r="F15" s="17"/>
      <c r="G15" s="17">
        <v>0.124241103394879</v>
      </c>
      <c r="H15" s="17">
        <v>0.20597117680919499</v>
      </c>
      <c r="I15" s="17">
        <v>0.24492249182839701</v>
      </c>
      <c r="J15" s="17">
        <v>0.225703053828646</v>
      </c>
      <c r="K15" s="17"/>
      <c r="L15" s="17">
        <v>0.26211700138590499</v>
      </c>
      <c r="M15" s="17">
        <v>0.17485952517564901</v>
      </c>
      <c r="N15" s="17">
        <v>0.16843627971626501</v>
      </c>
      <c r="O15" s="17">
        <v>0.173621167481048</v>
      </c>
    </row>
    <row r="16" spans="2:15" x14ac:dyDescent="0.3">
      <c r="B16" s="18" t="s">
        <v>65</v>
      </c>
      <c r="C16" s="17">
        <v>0.124832023809193</v>
      </c>
      <c r="D16" s="17">
        <v>0.15925232248791901</v>
      </c>
      <c r="E16" s="17">
        <v>9.1360577263567402E-2</v>
      </c>
      <c r="F16" s="17"/>
      <c r="G16" s="17">
        <v>5.7563481863539503E-2</v>
      </c>
      <c r="H16" s="17">
        <v>0.103784524495508</v>
      </c>
      <c r="I16" s="17">
        <v>0.17492997018586701</v>
      </c>
      <c r="J16" s="17">
        <v>0.19154459151738801</v>
      </c>
      <c r="K16" s="17"/>
      <c r="L16" s="17">
        <v>5.0456923707138203E-2</v>
      </c>
      <c r="M16" s="17">
        <v>0.14344267019589399</v>
      </c>
      <c r="N16" s="17">
        <v>0.13124435286470601</v>
      </c>
      <c r="O16" s="17">
        <v>0.17223989026087</v>
      </c>
    </row>
    <row r="17" spans="2:15" x14ac:dyDescent="0.3">
      <c r="B17" s="18" t="s">
        <v>66</v>
      </c>
      <c r="C17" s="19">
        <v>1.6010021725761599E-2</v>
      </c>
      <c r="D17" s="19">
        <v>2.0668841831380201E-2</v>
      </c>
      <c r="E17" s="19">
        <v>1.1473172319978599E-2</v>
      </c>
      <c r="F17" s="19"/>
      <c r="G17" s="19">
        <v>9.2070489037991195E-3</v>
      </c>
      <c r="H17" s="19">
        <v>6.6114336654788603E-3</v>
      </c>
      <c r="I17" s="19">
        <v>2.9136402221678001E-2</v>
      </c>
      <c r="J17" s="19">
        <v>2.3679395048147801E-2</v>
      </c>
      <c r="K17" s="19"/>
      <c r="L17" s="19">
        <v>6.6251315343664697E-3</v>
      </c>
      <c r="M17" s="19">
        <v>7.3264314867156604E-3</v>
      </c>
      <c r="N17" s="19">
        <v>3.24493735865636E-2</v>
      </c>
      <c r="O17" s="19">
        <v>1.69270520523827E-2</v>
      </c>
    </row>
    <row r="18" spans="2:15" x14ac:dyDescent="0.3">
      <c r="B18" s="16"/>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74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58</v>
      </c>
      <c r="C9" s="17">
        <v>3.0176244629577099E-3</v>
      </c>
      <c r="D9" s="17">
        <v>4.3018508425587297E-3</v>
      </c>
      <c r="E9" s="17">
        <v>1.75684966134739E-3</v>
      </c>
      <c r="F9" s="17"/>
      <c r="G9" s="17">
        <v>5.62720113200736E-3</v>
      </c>
      <c r="H9" s="17">
        <v>0</v>
      </c>
      <c r="I9" s="17">
        <v>0</v>
      </c>
      <c r="J9" s="17">
        <v>5.8237694911548099E-3</v>
      </c>
      <c r="K9" s="17"/>
      <c r="L9" s="17">
        <v>0</v>
      </c>
      <c r="M9" s="17">
        <v>3.3857534614847098E-3</v>
      </c>
      <c r="N9" s="17">
        <v>8.2230688016290496E-3</v>
      </c>
      <c r="O9" s="17">
        <v>0</v>
      </c>
    </row>
    <row r="10" spans="2:15" x14ac:dyDescent="0.3">
      <c r="B10" s="18" t="s">
        <v>59</v>
      </c>
      <c r="C10" s="17">
        <v>1.63237824103242E-2</v>
      </c>
      <c r="D10" s="17">
        <v>1.4896062595194401E-2</v>
      </c>
      <c r="E10" s="17">
        <v>1.7868833542559501E-2</v>
      </c>
      <c r="F10" s="17"/>
      <c r="G10" s="17">
        <v>1.6746558759751E-2</v>
      </c>
      <c r="H10" s="17">
        <v>2.0811304975127301E-2</v>
      </c>
      <c r="I10" s="17">
        <v>9.8343548105473307E-3</v>
      </c>
      <c r="J10" s="17">
        <v>1.6732032180613102E-2</v>
      </c>
      <c r="K10" s="17"/>
      <c r="L10" s="17">
        <v>1.49598724848111E-2</v>
      </c>
      <c r="M10" s="17">
        <v>6.1658826325353203E-3</v>
      </c>
      <c r="N10" s="17">
        <v>3.01085600938449E-2</v>
      </c>
      <c r="O10" s="17">
        <v>1.36816208184323E-2</v>
      </c>
    </row>
    <row r="11" spans="2:15" x14ac:dyDescent="0.3">
      <c r="B11" s="18" t="s">
        <v>60</v>
      </c>
      <c r="C11" s="17">
        <v>3.76227938732724E-2</v>
      </c>
      <c r="D11" s="17">
        <v>4.03813899759237E-2</v>
      </c>
      <c r="E11" s="17">
        <v>3.5141504456861601E-2</v>
      </c>
      <c r="F11" s="17"/>
      <c r="G11" s="17">
        <v>3.6571789817303302E-2</v>
      </c>
      <c r="H11" s="17">
        <v>2.86447565815264E-2</v>
      </c>
      <c r="I11" s="17">
        <v>2.15253034970871E-2</v>
      </c>
      <c r="J11" s="17">
        <v>6.4169118434508399E-2</v>
      </c>
      <c r="K11" s="17"/>
      <c r="L11" s="17">
        <v>3.6421768111928897E-2</v>
      </c>
      <c r="M11" s="17">
        <v>3.7406155682028999E-2</v>
      </c>
      <c r="N11" s="17">
        <v>5.75317144426662E-2</v>
      </c>
      <c r="O11" s="17">
        <v>1.74888725265346E-2</v>
      </c>
    </row>
    <row r="12" spans="2:15" x14ac:dyDescent="0.3">
      <c r="B12" s="18" t="s">
        <v>61</v>
      </c>
      <c r="C12" s="17">
        <v>8.6259132559570906E-2</v>
      </c>
      <c r="D12" s="17">
        <v>9.4573646975634196E-2</v>
      </c>
      <c r="E12" s="17">
        <v>7.8582673318923102E-2</v>
      </c>
      <c r="F12" s="17"/>
      <c r="G12" s="17">
        <v>8.9869732216659295E-2</v>
      </c>
      <c r="H12" s="17">
        <v>0.104316570334863</v>
      </c>
      <c r="I12" s="17">
        <v>8.6168195487740906E-2</v>
      </c>
      <c r="J12" s="17">
        <v>5.3900992653063799E-2</v>
      </c>
      <c r="K12" s="17"/>
      <c r="L12" s="17">
        <v>9.1412892060440704E-2</v>
      </c>
      <c r="M12" s="17">
        <v>6.4535518803213496E-2</v>
      </c>
      <c r="N12" s="17">
        <v>0.13343417487589801</v>
      </c>
      <c r="O12" s="17">
        <v>5.3368419287246699E-2</v>
      </c>
    </row>
    <row r="13" spans="2:15" x14ac:dyDescent="0.3">
      <c r="B13" s="18" t="s">
        <v>62</v>
      </c>
      <c r="C13" s="17">
        <v>0.248734778187958</v>
      </c>
      <c r="D13" s="17">
        <v>0.249203310647337</v>
      </c>
      <c r="E13" s="17">
        <v>0.25007937791887203</v>
      </c>
      <c r="F13" s="17"/>
      <c r="G13" s="17">
        <v>0.29511621567306101</v>
      </c>
      <c r="H13" s="17">
        <v>0.233093881341086</v>
      </c>
      <c r="I13" s="17">
        <v>0.24500718563461901</v>
      </c>
      <c r="J13" s="17">
        <v>0.21149338852706701</v>
      </c>
      <c r="K13" s="17"/>
      <c r="L13" s="17">
        <v>0.194148270420367</v>
      </c>
      <c r="M13" s="17">
        <v>0.27425772078601102</v>
      </c>
      <c r="N13" s="17">
        <v>0.24845613036473499</v>
      </c>
      <c r="O13" s="17">
        <v>0.27616665557522702</v>
      </c>
    </row>
    <row r="14" spans="2:15" x14ac:dyDescent="0.3">
      <c r="B14" s="18" t="s">
        <v>63</v>
      </c>
      <c r="C14" s="17">
        <v>0.47132287896313002</v>
      </c>
      <c r="D14" s="17">
        <v>0.47707619309129201</v>
      </c>
      <c r="E14" s="17">
        <v>0.46172349525768402</v>
      </c>
      <c r="F14" s="17"/>
      <c r="G14" s="17">
        <v>0.44876392406256599</v>
      </c>
      <c r="H14" s="17">
        <v>0.435875912193188</v>
      </c>
      <c r="I14" s="17">
        <v>0.53684699548352399</v>
      </c>
      <c r="J14" s="17">
        <v>0.48485699601926702</v>
      </c>
      <c r="K14" s="17"/>
      <c r="L14" s="17">
        <v>0.54204539972694599</v>
      </c>
      <c r="M14" s="17">
        <v>0.50360718575293795</v>
      </c>
      <c r="N14" s="17">
        <v>0.41969791793251199</v>
      </c>
      <c r="O14" s="17">
        <v>0.42179731170860002</v>
      </c>
    </row>
    <row r="15" spans="2:15" ht="28.8" x14ac:dyDescent="0.3">
      <c r="B15" s="18" t="s">
        <v>64</v>
      </c>
      <c r="C15" s="17">
        <v>8.7016090860552994E-2</v>
      </c>
      <c r="D15" s="17">
        <v>7.4938305186073806E-2</v>
      </c>
      <c r="E15" s="17">
        <v>9.9714243577800399E-2</v>
      </c>
      <c r="F15" s="17"/>
      <c r="G15" s="17">
        <v>7.3622472071846398E-2</v>
      </c>
      <c r="H15" s="17">
        <v>8.3868779585363998E-2</v>
      </c>
      <c r="I15" s="17">
        <v>6.9522687321553395E-2</v>
      </c>
      <c r="J15" s="17">
        <v>0.12467498847285</v>
      </c>
      <c r="K15" s="17"/>
      <c r="L15" s="17">
        <v>8.3934943581103399E-2</v>
      </c>
      <c r="M15" s="17">
        <v>8.0700620321795702E-2</v>
      </c>
      <c r="N15" s="17">
        <v>6.2612738131951104E-2</v>
      </c>
      <c r="O15" s="17">
        <v>0.12332811887252999</v>
      </c>
    </row>
    <row r="16" spans="2:15" x14ac:dyDescent="0.3">
      <c r="B16" s="18" t="s">
        <v>65</v>
      </c>
      <c r="C16" s="17">
        <v>4.2047219566384998E-2</v>
      </c>
      <c r="D16" s="17">
        <v>3.60271729255741E-2</v>
      </c>
      <c r="E16" s="17">
        <v>4.8366825731903401E-2</v>
      </c>
      <c r="F16" s="17"/>
      <c r="G16" s="17">
        <v>2.8640053526938099E-2</v>
      </c>
      <c r="H16" s="17">
        <v>9.33887949888456E-2</v>
      </c>
      <c r="I16" s="17">
        <v>1.7837891907184201E-2</v>
      </c>
      <c r="J16" s="17">
        <v>2.3653679162646001E-2</v>
      </c>
      <c r="K16" s="17"/>
      <c r="L16" s="17">
        <v>2.5527948139286501E-2</v>
      </c>
      <c r="M16" s="17">
        <v>2.3277313686836502E-2</v>
      </c>
      <c r="N16" s="17">
        <v>2.7822011777063099E-2</v>
      </c>
      <c r="O16" s="17">
        <v>9.4169001211429598E-2</v>
      </c>
    </row>
    <row r="17" spans="2:15" x14ac:dyDescent="0.3">
      <c r="B17" s="18" t="s">
        <v>66</v>
      </c>
      <c r="C17" s="19">
        <v>7.6556991158485098E-3</v>
      </c>
      <c r="D17" s="19">
        <v>8.6020677604126908E-3</v>
      </c>
      <c r="E17" s="19">
        <v>6.7661965340485497E-3</v>
      </c>
      <c r="F17" s="19"/>
      <c r="G17" s="19">
        <v>5.0420527398669498E-3</v>
      </c>
      <c r="H17" s="19">
        <v>0</v>
      </c>
      <c r="I17" s="19">
        <v>1.3257385857743401E-2</v>
      </c>
      <c r="J17" s="19">
        <v>1.469503505883E-2</v>
      </c>
      <c r="K17" s="19"/>
      <c r="L17" s="19">
        <v>1.15489054751163E-2</v>
      </c>
      <c r="M17" s="19">
        <v>6.6638488731567804E-3</v>
      </c>
      <c r="N17" s="19">
        <v>1.21136835797008E-2</v>
      </c>
      <c r="O17" s="19">
        <v>0</v>
      </c>
    </row>
    <row r="18" spans="2:15" x14ac:dyDescent="0.3">
      <c r="B18" s="16"/>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81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75</v>
      </c>
      <c r="C9" s="17">
        <v>0.26988859254126901</v>
      </c>
      <c r="D9" s="17">
        <v>0.28639333908007703</v>
      </c>
      <c r="E9" s="17">
        <v>0.25536937941065802</v>
      </c>
      <c r="F9" s="17"/>
      <c r="G9" s="17">
        <v>0.35301942436784101</v>
      </c>
      <c r="H9" s="17">
        <v>0.21883160753970499</v>
      </c>
      <c r="I9" s="17">
        <v>0.26339442903427701</v>
      </c>
      <c r="J9" s="17">
        <v>0.219772553385402</v>
      </c>
      <c r="K9" s="17"/>
      <c r="L9" s="17">
        <v>0.27557580221880001</v>
      </c>
      <c r="M9" s="17">
        <v>0.21996002721301</v>
      </c>
      <c r="N9" s="17">
        <v>0.31822703073340097</v>
      </c>
      <c r="O9" s="17">
        <v>0.26554577388751099</v>
      </c>
    </row>
    <row r="10" spans="2:15" x14ac:dyDescent="0.3">
      <c r="B10" s="18" t="s">
        <v>76</v>
      </c>
      <c r="C10" s="17">
        <v>0.430094445302659</v>
      </c>
      <c r="D10" s="17">
        <v>0.44048190198198101</v>
      </c>
      <c r="E10" s="17">
        <v>0.415565749227082</v>
      </c>
      <c r="F10" s="17"/>
      <c r="G10" s="17">
        <v>0.42469758277393199</v>
      </c>
      <c r="H10" s="17">
        <v>0.50850843467543905</v>
      </c>
      <c r="I10" s="17">
        <v>0.38995371299730303</v>
      </c>
      <c r="J10" s="17">
        <v>0.38816584630422502</v>
      </c>
      <c r="K10" s="17"/>
      <c r="L10" s="17">
        <v>0.449689534639998</v>
      </c>
      <c r="M10" s="17">
        <v>0.53279767947329104</v>
      </c>
      <c r="N10" s="17">
        <v>0.35354297169932403</v>
      </c>
      <c r="O10" s="17">
        <v>0.38294633682174101</v>
      </c>
    </row>
    <row r="11" spans="2:15" x14ac:dyDescent="0.3">
      <c r="B11" s="18" t="s">
        <v>77</v>
      </c>
      <c r="C11" s="17">
        <v>0.241904319145439</v>
      </c>
      <c r="D11" s="17">
        <v>0.20857298817890199</v>
      </c>
      <c r="E11" s="17">
        <v>0.27696054616349203</v>
      </c>
      <c r="F11" s="17"/>
      <c r="G11" s="17">
        <v>0.19015640079212201</v>
      </c>
      <c r="H11" s="17">
        <v>0.23166429970688501</v>
      </c>
      <c r="I11" s="17">
        <v>0.27702839442794303</v>
      </c>
      <c r="J11" s="17">
        <v>0.29074359981815701</v>
      </c>
      <c r="K11" s="17"/>
      <c r="L11" s="17">
        <v>0.220594956174126</v>
      </c>
      <c r="M11" s="17">
        <v>0.17600173650877099</v>
      </c>
      <c r="N11" s="17">
        <v>0.267374326294329</v>
      </c>
      <c r="O11" s="17">
        <v>0.30651637690550498</v>
      </c>
    </row>
    <row r="12" spans="2:15" x14ac:dyDescent="0.3">
      <c r="B12" s="18" t="s">
        <v>78</v>
      </c>
      <c r="C12" s="17">
        <v>4.46391787357188E-2</v>
      </c>
      <c r="D12" s="17">
        <v>4.4800379242155901E-2</v>
      </c>
      <c r="E12" s="17">
        <v>4.4803459686974398E-2</v>
      </c>
      <c r="F12" s="17"/>
      <c r="G12" s="17">
        <v>2.6194513886476301E-2</v>
      </c>
      <c r="H12" s="17">
        <v>3.4829572519717397E-2</v>
      </c>
      <c r="I12" s="17">
        <v>2.7806852487771299E-2</v>
      </c>
      <c r="J12" s="17">
        <v>9.5494231001059998E-2</v>
      </c>
      <c r="K12" s="17"/>
      <c r="L12" s="17">
        <v>3.6202052341288198E-2</v>
      </c>
      <c r="M12" s="17">
        <v>4.7201503116861797E-2</v>
      </c>
      <c r="N12" s="17">
        <v>4.9557658317573597E-2</v>
      </c>
      <c r="O12" s="17">
        <v>4.49915123852438E-2</v>
      </c>
    </row>
    <row r="13" spans="2:15" x14ac:dyDescent="0.3">
      <c r="B13" s="18" t="s">
        <v>79</v>
      </c>
      <c r="C13" s="17">
        <v>1.3473464274913799E-2</v>
      </c>
      <c r="D13" s="17">
        <v>1.9751391516883501E-2</v>
      </c>
      <c r="E13" s="17">
        <v>7.3008655117941497E-3</v>
      </c>
      <c r="F13" s="17"/>
      <c r="G13" s="17">
        <v>5.9320781796289596E-3</v>
      </c>
      <c r="H13" s="17">
        <v>6.1660855582537696E-3</v>
      </c>
      <c r="I13" s="17">
        <v>4.1816611052706197E-2</v>
      </c>
      <c r="J13" s="17">
        <v>5.8237694911548099E-3</v>
      </c>
      <c r="K13" s="17"/>
      <c r="L13" s="17">
        <v>1.7937654625787201E-2</v>
      </c>
      <c r="M13" s="17">
        <v>2.40390536880663E-2</v>
      </c>
      <c r="N13" s="17">
        <v>1.12980129553731E-2</v>
      </c>
      <c r="O13" s="17">
        <v>0</v>
      </c>
    </row>
    <row r="14" spans="2:15" x14ac:dyDescent="0.3">
      <c r="B14" s="18" t="s">
        <v>80</v>
      </c>
      <c r="C14" s="19">
        <v>0</v>
      </c>
      <c r="D14" s="19">
        <v>0</v>
      </c>
      <c r="E14" s="19">
        <v>0</v>
      </c>
      <c r="F14" s="19"/>
      <c r="G14" s="19">
        <v>0</v>
      </c>
      <c r="H14" s="19">
        <v>0</v>
      </c>
      <c r="I14" s="19">
        <v>0</v>
      </c>
      <c r="J14" s="19">
        <v>0</v>
      </c>
      <c r="K14" s="19"/>
      <c r="L14" s="19">
        <v>0</v>
      </c>
      <c r="M14" s="19">
        <v>0</v>
      </c>
      <c r="N14" s="19">
        <v>0</v>
      </c>
      <c r="O14" s="19">
        <v>0</v>
      </c>
    </row>
    <row r="15" spans="2:15" x14ac:dyDescent="0.3">
      <c r="B15" s="16"/>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H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30" t="s">
        <v>91</v>
      </c>
      <c r="E2" s="26"/>
      <c r="F2" s="26"/>
      <c r="G2" s="26"/>
      <c r="H2" s="26"/>
    </row>
    <row r="6" spans="2:8" ht="49.95" customHeight="1" x14ac:dyDescent="0.3">
      <c r="B6" s="20" t="s">
        <v>14</v>
      </c>
      <c r="C6" s="20" t="s">
        <v>82</v>
      </c>
      <c r="D6" s="20" t="s">
        <v>83</v>
      </c>
      <c r="E6" s="20" t="s">
        <v>84</v>
      </c>
      <c r="F6" s="20" t="s">
        <v>85</v>
      </c>
      <c r="G6" s="20" t="s">
        <v>86</v>
      </c>
    </row>
    <row r="7" spans="2:8" ht="28.8" x14ac:dyDescent="0.3">
      <c r="B7" s="18" t="s">
        <v>87</v>
      </c>
      <c r="C7" s="17">
        <v>0.72000463991182295</v>
      </c>
      <c r="D7" s="17">
        <v>8.1069162949982898E-2</v>
      </c>
      <c r="E7" s="17">
        <v>2.3381795555968601E-2</v>
      </c>
      <c r="F7" s="17">
        <v>0.65144720169831405</v>
      </c>
      <c r="G7" s="17">
        <v>0.55668173743666705</v>
      </c>
    </row>
    <row r="8" spans="2:8" ht="28.8" x14ac:dyDescent="0.3">
      <c r="B8" s="18" t="s">
        <v>88</v>
      </c>
      <c r="C8" s="17">
        <v>0.17521965537947801</v>
      </c>
      <c r="D8" s="17">
        <v>0.16109055642737399</v>
      </c>
      <c r="E8" s="17">
        <v>8.9456431938676501E-2</v>
      </c>
      <c r="F8" s="17">
        <v>0.21599925407005799</v>
      </c>
      <c r="G8" s="17">
        <v>0.293264886367883</v>
      </c>
    </row>
    <row r="9" spans="2:8" ht="28.8" x14ac:dyDescent="0.3">
      <c r="B9" s="18" t="s">
        <v>89</v>
      </c>
      <c r="C9" s="17">
        <v>7.1533350223268094E-2</v>
      </c>
      <c r="D9" s="17">
        <v>0.30835893937762499</v>
      </c>
      <c r="E9" s="17">
        <v>0.22385013284402799</v>
      </c>
      <c r="F9" s="17">
        <v>9.0914500318170499E-2</v>
      </c>
      <c r="G9" s="17">
        <v>0.10821084906992499</v>
      </c>
    </row>
    <row r="10" spans="2:8" ht="28.8" x14ac:dyDescent="0.3">
      <c r="B10" s="18" t="s">
        <v>90</v>
      </c>
      <c r="C10" s="17">
        <v>1.2138154042360899E-2</v>
      </c>
      <c r="D10" s="17">
        <v>0.43292713291261198</v>
      </c>
      <c r="E10" s="17">
        <v>0.65315889361436597</v>
      </c>
      <c r="F10" s="17">
        <v>2.7271463816986901E-2</v>
      </c>
      <c r="G10" s="17">
        <v>2.5182952578331599E-2</v>
      </c>
    </row>
    <row r="11" spans="2:8" x14ac:dyDescent="0.3">
      <c r="B11" s="18" t="s">
        <v>80</v>
      </c>
      <c r="C11" s="17">
        <v>2.1104200443070101E-2</v>
      </c>
      <c r="D11" s="17">
        <v>1.6554208332405999E-2</v>
      </c>
      <c r="E11" s="17">
        <v>1.01527460469605E-2</v>
      </c>
      <c r="F11" s="17">
        <v>1.43675800964714E-2</v>
      </c>
      <c r="G11" s="17">
        <v>1.6659574547193499E-2</v>
      </c>
    </row>
    <row r="12" spans="2:8" x14ac:dyDescent="0.3">
      <c r="B12" s="16"/>
      <c r="C12" s="16"/>
      <c r="D12" s="16"/>
      <c r="E12" s="16"/>
      <c r="F12" s="16"/>
      <c r="G12" s="16"/>
    </row>
    <row r="13" spans="2:8" x14ac:dyDescent="0.3">
      <c r="B13" t="s">
        <v>47</v>
      </c>
    </row>
    <row r="14" spans="2:8" x14ac:dyDescent="0.3">
      <c r="B14" t="s">
        <v>48</v>
      </c>
    </row>
    <row r="18" spans="2:2" x14ac:dyDescent="0.3">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92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ht="28.8" x14ac:dyDescent="0.3">
      <c r="B9" s="18" t="s">
        <v>87</v>
      </c>
      <c r="C9" s="17">
        <v>0.72000463991182295</v>
      </c>
      <c r="D9" s="17">
        <v>0.74761673334408796</v>
      </c>
      <c r="E9" s="17">
        <v>0.69038356259686795</v>
      </c>
      <c r="F9" s="17"/>
      <c r="G9" s="17">
        <v>0.72812306340631106</v>
      </c>
      <c r="H9" s="17">
        <v>0.741929599765909</v>
      </c>
      <c r="I9" s="17">
        <v>0.73739688004313897</v>
      </c>
      <c r="J9" s="17">
        <v>0.66646162197276004</v>
      </c>
      <c r="K9" s="17"/>
      <c r="L9" s="17">
        <v>0.64055587625278498</v>
      </c>
      <c r="M9" s="17">
        <v>0.78806946586939597</v>
      </c>
      <c r="N9" s="17">
        <v>0.68139508975297203</v>
      </c>
      <c r="O9" s="17">
        <v>0.76805916407647101</v>
      </c>
    </row>
    <row r="10" spans="2:15" ht="28.8" x14ac:dyDescent="0.3">
      <c r="B10" s="18" t="s">
        <v>88</v>
      </c>
      <c r="C10" s="17">
        <v>0.17521965537947801</v>
      </c>
      <c r="D10" s="17">
        <v>0.15814249442974901</v>
      </c>
      <c r="E10" s="17">
        <v>0.19355425835138099</v>
      </c>
      <c r="F10" s="17"/>
      <c r="G10" s="17">
        <v>0.16909500115425199</v>
      </c>
      <c r="H10" s="17">
        <v>0.14446463539068299</v>
      </c>
      <c r="I10" s="17">
        <v>0.15447672709982199</v>
      </c>
      <c r="J10" s="17">
        <v>0.23841612902964299</v>
      </c>
      <c r="K10" s="17"/>
      <c r="L10" s="17">
        <v>0.279463534003074</v>
      </c>
      <c r="M10" s="17">
        <v>0.105110092427796</v>
      </c>
      <c r="N10" s="17">
        <v>0.16366514728065901</v>
      </c>
      <c r="O10" s="17">
        <v>0.15891405400792499</v>
      </c>
    </row>
    <row r="11" spans="2:15" ht="28.8" x14ac:dyDescent="0.3">
      <c r="B11" s="18" t="s">
        <v>89</v>
      </c>
      <c r="C11" s="17">
        <v>7.1533350223268094E-2</v>
      </c>
      <c r="D11" s="17">
        <v>6.8415989329284804E-2</v>
      </c>
      <c r="E11" s="17">
        <v>7.5168447174219999E-2</v>
      </c>
      <c r="F11" s="17"/>
      <c r="G11" s="17">
        <v>7.1473678613103997E-2</v>
      </c>
      <c r="H11" s="17">
        <v>8.0194607022183506E-2</v>
      </c>
      <c r="I11" s="17">
        <v>7.2373188251663001E-2</v>
      </c>
      <c r="J11" s="17">
        <v>6.1581858292363498E-2</v>
      </c>
      <c r="K11" s="17"/>
      <c r="L11" s="17">
        <v>7.1289679836958997E-2</v>
      </c>
      <c r="M11" s="17">
        <v>5.7969087868973597E-2</v>
      </c>
      <c r="N11" s="17">
        <v>0.108417818517477</v>
      </c>
      <c r="O11" s="17">
        <v>4.6410704611379403E-2</v>
      </c>
    </row>
    <row r="12" spans="2:15" ht="28.8" x14ac:dyDescent="0.3">
      <c r="B12" s="18" t="s">
        <v>90</v>
      </c>
      <c r="C12" s="17">
        <v>1.2138154042360899E-2</v>
      </c>
      <c r="D12" s="17">
        <v>1.1268593608296001E-2</v>
      </c>
      <c r="E12" s="17">
        <v>1.30951790899869E-2</v>
      </c>
      <c r="F12" s="17"/>
      <c r="G12" s="17">
        <v>1.45269045723021E-2</v>
      </c>
      <c r="H12" s="17">
        <v>1.51767231901312E-2</v>
      </c>
      <c r="I12" s="17">
        <v>1.8358637911234401E-2</v>
      </c>
      <c r="J12" s="17">
        <v>0</v>
      </c>
      <c r="K12" s="17"/>
      <c r="L12" s="17">
        <v>0</v>
      </c>
      <c r="M12" s="17">
        <v>2.1855928432041101E-2</v>
      </c>
      <c r="N12" s="17">
        <v>1.5984068594349199E-2</v>
      </c>
      <c r="O12" s="17">
        <v>9.6559312341997997E-3</v>
      </c>
    </row>
    <row r="13" spans="2:15" x14ac:dyDescent="0.3">
      <c r="B13" s="18" t="s">
        <v>80</v>
      </c>
      <c r="C13" s="19">
        <v>2.1104200443070101E-2</v>
      </c>
      <c r="D13" s="19">
        <v>1.45561892885821E-2</v>
      </c>
      <c r="E13" s="19">
        <v>2.77985527875441E-2</v>
      </c>
      <c r="F13" s="19"/>
      <c r="G13" s="19">
        <v>1.6781352254030799E-2</v>
      </c>
      <c r="H13" s="19">
        <v>1.8234434631093501E-2</v>
      </c>
      <c r="I13" s="19">
        <v>1.7394566694142001E-2</v>
      </c>
      <c r="J13" s="19">
        <v>3.3540390705232903E-2</v>
      </c>
      <c r="K13" s="19"/>
      <c r="L13" s="19">
        <v>8.69090990718226E-3</v>
      </c>
      <c r="M13" s="19">
        <v>2.6995425401793002E-2</v>
      </c>
      <c r="N13" s="19">
        <v>3.0537875854542301E-2</v>
      </c>
      <c r="O13" s="19">
        <v>1.6960146070024801E-2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93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ht="28.8" x14ac:dyDescent="0.3">
      <c r="B9" s="18" t="s">
        <v>87</v>
      </c>
      <c r="C9" s="17">
        <v>8.1069162949982898E-2</v>
      </c>
      <c r="D9" s="17">
        <v>5.2054007843802902E-2</v>
      </c>
      <c r="E9" s="17">
        <v>0.11064207524372401</v>
      </c>
      <c r="F9" s="17"/>
      <c r="G9" s="17">
        <v>4.8536825308362598E-2</v>
      </c>
      <c r="H9" s="17">
        <v>7.3507083371501497E-2</v>
      </c>
      <c r="I9" s="17">
        <v>0.128959943973318</v>
      </c>
      <c r="J9" s="17">
        <v>8.8932710725236994E-2</v>
      </c>
      <c r="K9" s="17"/>
      <c r="L9" s="17">
        <v>9.3305782930882902E-2</v>
      </c>
      <c r="M9" s="17">
        <v>6.3082088501532907E-2</v>
      </c>
      <c r="N9" s="17">
        <v>9.1606383583432496E-2</v>
      </c>
      <c r="O9" s="17">
        <v>7.6766952219814805E-2</v>
      </c>
    </row>
    <row r="10" spans="2:15" ht="28.8" x14ac:dyDescent="0.3">
      <c r="B10" s="18" t="s">
        <v>88</v>
      </c>
      <c r="C10" s="17">
        <v>0.16109055642737399</v>
      </c>
      <c r="D10" s="17">
        <v>0.123847410944363</v>
      </c>
      <c r="E10" s="17">
        <v>0.19946523451131101</v>
      </c>
      <c r="F10" s="17"/>
      <c r="G10" s="17">
        <v>0.11215984475631501</v>
      </c>
      <c r="H10" s="17">
        <v>0.16841868223659301</v>
      </c>
      <c r="I10" s="17">
        <v>0.17519813446907301</v>
      </c>
      <c r="J10" s="17">
        <v>0.20486248911751601</v>
      </c>
      <c r="K10" s="17"/>
      <c r="L10" s="17">
        <v>0.18054485520243899</v>
      </c>
      <c r="M10" s="17">
        <v>0.12890164825141401</v>
      </c>
      <c r="N10" s="17">
        <v>0.19849834725229601</v>
      </c>
      <c r="O10" s="17">
        <v>0.13573861275096299</v>
      </c>
    </row>
    <row r="11" spans="2:15" ht="28.8" x14ac:dyDescent="0.3">
      <c r="B11" s="18" t="s">
        <v>89</v>
      </c>
      <c r="C11" s="17">
        <v>0.30835893937762499</v>
      </c>
      <c r="D11" s="17">
        <v>0.351116261123537</v>
      </c>
      <c r="E11" s="17">
        <v>0.26061009147906</v>
      </c>
      <c r="F11" s="17"/>
      <c r="G11" s="17">
        <v>0.25878553847075803</v>
      </c>
      <c r="H11" s="17">
        <v>0.25810292690724501</v>
      </c>
      <c r="I11" s="17">
        <v>0.369545008232189</v>
      </c>
      <c r="J11" s="17">
        <v>0.37652748117881502</v>
      </c>
      <c r="K11" s="17"/>
      <c r="L11" s="17">
        <v>0.205720794382622</v>
      </c>
      <c r="M11" s="17">
        <v>0.41289215950571201</v>
      </c>
      <c r="N11" s="17">
        <v>0.29780467521403697</v>
      </c>
      <c r="O11" s="17">
        <v>0.30997846707872601</v>
      </c>
    </row>
    <row r="12" spans="2:15" ht="28.8" x14ac:dyDescent="0.3">
      <c r="B12" s="18" t="s">
        <v>90</v>
      </c>
      <c r="C12" s="17">
        <v>0.43292713291261198</v>
      </c>
      <c r="D12" s="17">
        <v>0.45954828094678501</v>
      </c>
      <c r="E12" s="17">
        <v>0.409491136577877</v>
      </c>
      <c r="F12" s="17"/>
      <c r="G12" s="17">
        <v>0.57685115597549297</v>
      </c>
      <c r="H12" s="17">
        <v>0.46817480697768099</v>
      </c>
      <c r="I12" s="17">
        <v>0.32629691332541999</v>
      </c>
      <c r="J12" s="17">
        <v>0.29841014015641398</v>
      </c>
      <c r="K12" s="17"/>
      <c r="L12" s="17">
        <v>0.50317224709215602</v>
      </c>
      <c r="M12" s="17">
        <v>0.36930654227030901</v>
      </c>
      <c r="N12" s="17">
        <v>0.39010225581125901</v>
      </c>
      <c r="O12" s="17">
        <v>0.477515967950496</v>
      </c>
    </row>
    <row r="13" spans="2:15" x14ac:dyDescent="0.3">
      <c r="B13" s="18" t="s">
        <v>80</v>
      </c>
      <c r="C13" s="19">
        <v>1.6554208332405999E-2</v>
      </c>
      <c r="D13" s="19">
        <v>1.34340391415129E-2</v>
      </c>
      <c r="E13" s="19">
        <v>1.9791462188028401E-2</v>
      </c>
      <c r="F13" s="19"/>
      <c r="G13" s="19">
        <v>3.6666354890711201E-3</v>
      </c>
      <c r="H13" s="19">
        <v>3.17965005069792E-2</v>
      </c>
      <c r="I13" s="19">
        <v>0</v>
      </c>
      <c r="J13" s="19">
        <v>3.1267178822018099E-2</v>
      </c>
      <c r="K13" s="19"/>
      <c r="L13" s="19">
        <v>1.72563203918999E-2</v>
      </c>
      <c r="M13" s="19">
        <v>2.5817561471033E-2</v>
      </c>
      <c r="N13" s="19">
        <v>2.1988338138975001E-2</v>
      </c>
      <c r="O13" s="19">
        <v>0</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94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ht="28.8" x14ac:dyDescent="0.3">
      <c r="B9" s="18" t="s">
        <v>87</v>
      </c>
      <c r="C9" s="17">
        <v>2.3381795555968601E-2</v>
      </c>
      <c r="D9" s="17">
        <v>1.8588387878800801E-2</v>
      </c>
      <c r="E9" s="17">
        <v>2.83401384425442E-2</v>
      </c>
      <c r="F9" s="17"/>
      <c r="G9" s="17">
        <v>1.23374089378003E-2</v>
      </c>
      <c r="H9" s="17">
        <v>2.5755690645707201E-2</v>
      </c>
      <c r="I9" s="17">
        <v>2.7812394817275501E-2</v>
      </c>
      <c r="J9" s="17">
        <v>3.1204491529634899E-2</v>
      </c>
      <c r="K9" s="17"/>
      <c r="L9" s="17">
        <v>1.1788728933522201E-2</v>
      </c>
      <c r="M9" s="17">
        <v>3.7822298539435202E-2</v>
      </c>
      <c r="N9" s="17">
        <v>3.7122875773583301E-2</v>
      </c>
      <c r="O9" s="17">
        <v>4.5542114604515804E-3</v>
      </c>
    </row>
    <row r="10" spans="2:15" ht="28.8" x14ac:dyDescent="0.3">
      <c r="B10" s="18" t="s">
        <v>88</v>
      </c>
      <c r="C10" s="17">
        <v>8.9456431938676501E-2</v>
      </c>
      <c r="D10" s="17">
        <v>7.3074525781303204E-2</v>
      </c>
      <c r="E10" s="17">
        <v>0.10647159094117099</v>
      </c>
      <c r="F10" s="17"/>
      <c r="G10" s="17">
        <v>5.3259918138989899E-2</v>
      </c>
      <c r="H10" s="17">
        <v>8.9177933839862E-2</v>
      </c>
      <c r="I10" s="17">
        <v>0.109036572063213</v>
      </c>
      <c r="J10" s="17">
        <v>0.11972498719651201</v>
      </c>
      <c r="K10" s="17"/>
      <c r="L10" s="17">
        <v>0.117656721012867</v>
      </c>
      <c r="M10" s="17">
        <v>5.3788290513105901E-2</v>
      </c>
      <c r="N10" s="17">
        <v>0.11708777545148601</v>
      </c>
      <c r="O10" s="17">
        <v>6.9692460744026005E-2</v>
      </c>
    </row>
    <row r="11" spans="2:15" ht="28.8" x14ac:dyDescent="0.3">
      <c r="B11" s="18" t="s">
        <v>89</v>
      </c>
      <c r="C11" s="17">
        <v>0.22385013284402799</v>
      </c>
      <c r="D11" s="17">
        <v>0.21065752725612799</v>
      </c>
      <c r="E11" s="17">
        <v>0.23571731785595801</v>
      </c>
      <c r="F11" s="17"/>
      <c r="G11" s="17">
        <v>0.21089969293927699</v>
      </c>
      <c r="H11" s="17">
        <v>0.21709082077059799</v>
      </c>
      <c r="I11" s="17">
        <v>0.22912961630283399</v>
      </c>
      <c r="J11" s="17">
        <v>0.23740314119408501</v>
      </c>
      <c r="K11" s="17"/>
      <c r="L11" s="17">
        <v>0.22917685652285599</v>
      </c>
      <c r="M11" s="17">
        <v>0.22572453515261001</v>
      </c>
      <c r="N11" s="17">
        <v>0.23800904073519499</v>
      </c>
      <c r="O11" s="17">
        <v>0.201168189799629</v>
      </c>
    </row>
    <row r="12" spans="2:15" ht="28.8" x14ac:dyDescent="0.3">
      <c r="B12" s="18" t="s">
        <v>90</v>
      </c>
      <c r="C12" s="17">
        <v>0.65315889361436597</v>
      </c>
      <c r="D12" s="17">
        <v>0.69474851638663004</v>
      </c>
      <c r="E12" s="17">
        <v>0.61203073503842997</v>
      </c>
      <c r="F12" s="17"/>
      <c r="G12" s="17">
        <v>0.71973355839740205</v>
      </c>
      <c r="H12" s="17">
        <v>0.65562183446996403</v>
      </c>
      <c r="I12" s="17">
        <v>0.62449420988646298</v>
      </c>
      <c r="J12" s="17">
        <v>0.59505304411719195</v>
      </c>
      <c r="K12" s="17"/>
      <c r="L12" s="17">
        <v>0.632686783623573</v>
      </c>
      <c r="M12" s="17">
        <v>0.66484839856354605</v>
      </c>
      <c r="N12" s="17">
        <v>0.59451654786359398</v>
      </c>
      <c r="O12" s="17">
        <v>0.72458513799589397</v>
      </c>
    </row>
    <row r="13" spans="2:15" x14ac:dyDescent="0.3">
      <c r="B13" s="18" t="s">
        <v>80</v>
      </c>
      <c r="C13" s="19">
        <v>1.01527460469605E-2</v>
      </c>
      <c r="D13" s="19">
        <v>2.93104269713806E-3</v>
      </c>
      <c r="E13" s="19">
        <v>1.74402177218967E-2</v>
      </c>
      <c r="F13" s="19"/>
      <c r="G13" s="19">
        <v>3.76942158653074E-3</v>
      </c>
      <c r="H13" s="19">
        <v>1.23537202738683E-2</v>
      </c>
      <c r="I13" s="19">
        <v>9.5272069302143794E-3</v>
      </c>
      <c r="J13" s="19">
        <v>1.66143359625762E-2</v>
      </c>
      <c r="K13" s="19"/>
      <c r="L13" s="19">
        <v>8.69090990718226E-3</v>
      </c>
      <c r="M13" s="19">
        <v>1.7816477231302599E-2</v>
      </c>
      <c r="N13" s="19">
        <v>1.32637601761417E-2</v>
      </c>
      <c r="O13" s="19">
        <v>0</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95</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ht="28.8" x14ac:dyDescent="0.3">
      <c r="B9" s="18" t="s">
        <v>87</v>
      </c>
      <c r="C9" s="17">
        <v>0.65144720169831405</v>
      </c>
      <c r="D9" s="17">
        <v>0.68798262968351698</v>
      </c>
      <c r="E9" s="17">
        <v>0.61675895639739498</v>
      </c>
      <c r="F9" s="17"/>
      <c r="G9" s="17">
        <v>0.67675459402407701</v>
      </c>
      <c r="H9" s="17">
        <v>0.58869257069049696</v>
      </c>
      <c r="I9" s="17">
        <v>0.68715675181868496</v>
      </c>
      <c r="J9" s="17">
        <v>0.65437926656499601</v>
      </c>
      <c r="K9" s="17"/>
      <c r="L9" s="17">
        <v>0.57129590344895997</v>
      </c>
      <c r="M9" s="17">
        <v>0.66570682355386901</v>
      </c>
      <c r="N9" s="17">
        <v>0.63557063985360795</v>
      </c>
      <c r="O9" s="17">
        <v>0.73345821237421205</v>
      </c>
    </row>
    <row r="10" spans="2:15" ht="28.8" x14ac:dyDescent="0.3">
      <c r="B10" s="18" t="s">
        <v>88</v>
      </c>
      <c r="C10" s="17">
        <v>0.21599925407005799</v>
      </c>
      <c r="D10" s="17">
        <v>0.197699071728487</v>
      </c>
      <c r="E10" s="17">
        <v>0.23585265896615701</v>
      </c>
      <c r="F10" s="17"/>
      <c r="G10" s="17">
        <v>0.21725888303235</v>
      </c>
      <c r="H10" s="17">
        <v>0.27066476782806398</v>
      </c>
      <c r="I10" s="17">
        <v>0.17575519725125399</v>
      </c>
      <c r="J10" s="17">
        <v>0.190756455881605</v>
      </c>
      <c r="K10" s="17"/>
      <c r="L10" s="17">
        <v>0.28731294853133199</v>
      </c>
      <c r="M10" s="17">
        <v>0.182390016495077</v>
      </c>
      <c r="N10" s="17">
        <v>0.23104404712381901</v>
      </c>
      <c r="O10" s="17">
        <v>0.16454242573726299</v>
      </c>
    </row>
    <row r="11" spans="2:15" ht="28.8" x14ac:dyDescent="0.3">
      <c r="B11" s="18" t="s">
        <v>89</v>
      </c>
      <c r="C11" s="17">
        <v>9.0914500318170499E-2</v>
      </c>
      <c r="D11" s="17">
        <v>8.1465566278185894E-2</v>
      </c>
      <c r="E11" s="17">
        <v>9.6669591802541005E-2</v>
      </c>
      <c r="F11" s="17"/>
      <c r="G11" s="17">
        <v>9.3400164127242905E-2</v>
      </c>
      <c r="H11" s="17">
        <v>8.6047636142382505E-2</v>
      </c>
      <c r="I11" s="17">
        <v>8.6277592415327897E-2</v>
      </c>
      <c r="J11" s="17">
        <v>9.8155621070044996E-2</v>
      </c>
      <c r="K11" s="17"/>
      <c r="L11" s="17">
        <v>9.3577952492438402E-2</v>
      </c>
      <c r="M11" s="17">
        <v>9.4343361556799205E-2</v>
      </c>
      <c r="N11" s="17">
        <v>0.103693547255614</v>
      </c>
      <c r="O11" s="17">
        <v>7.0718457174662699E-2</v>
      </c>
    </row>
    <row r="12" spans="2:15" ht="28.8" x14ac:dyDescent="0.3">
      <c r="B12" s="18" t="s">
        <v>90</v>
      </c>
      <c r="C12" s="17">
        <v>2.7271463816986901E-2</v>
      </c>
      <c r="D12" s="17">
        <v>2.29123887614603E-2</v>
      </c>
      <c r="E12" s="17">
        <v>3.1824313394115102E-2</v>
      </c>
      <c r="F12" s="17"/>
      <c r="G12" s="17">
        <v>1.25863588163308E-2</v>
      </c>
      <c r="H12" s="17">
        <v>3.6360590707962402E-2</v>
      </c>
      <c r="I12" s="17">
        <v>3.3415891820591202E-2</v>
      </c>
      <c r="J12" s="17">
        <v>3.06781013050011E-2</v>
      </c>
      <c r="K12" s="17"/>
      <c r="L12" s="17">
        <v>3.9122285620087398E-2</v>
      </c>
      <c r="M12" s="17">
        <v>3.7228221865618999E-2</v>
      </c>
      <c r="N12" s="17">
        <v>9.3558959204133301E-3</v>
      </c>
      <c r="O12" s="17">
        <v>2.4118116001039702E-2</v>
      </c>
    </row>
    <row r="13" spans="2:15" x14ac:dyDescent="0.3">
      <c r="B13" s="18" t="s">
        <v>80</v>
      </c>
      <c r="C13" s="19">
        <v>1.43675800964714E-2</v>
      </c>
      <c r="D13" s="19">
        <v>9.9403435483498403E-3</v>
      </c>
      <c r="E13" s="19">
        <v>1.8894479439792101E-2</v>
      </c>
      <c r="F13" s="19"/>
      <c r="G13" s="19">
        <v>0</v>
      </c>
      <c r="H13" s="19">
        <v>1.8234434631093501E-2</v>
      </c>
      <c r="I13" s="19">
        <v>1.7394566694142001E-2</v>
      </c>
      <c r="J13" s="19">
        <v>2.6030555178352399E-2</v>
      </c>
      <c r="K13" s="19"/>
      <c r="L13" s="19">
        <v>8.69090990718226E-3</v>
      </c>
      <c r="M13" s="19">
        <v>2.0331576528636298E-2</v>
      </c>
      <c r="N13" s="19">
        <v>2.0335869846545101E-2</v>
      </c>
      <c r="O13" s="19">
        <v>7.1627887128217198E-3</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96</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ht="28.8" x14ac:dyDescent="0.3">
      <c r="B9" s="18" t="s">
        <v>87</v>
      </c>
      <c r="C9" s="17">
        <v>0.55668173743666705</v>
      </c>
      <c r="D9" s="17">
        <v>0.59906840963468899</v>
      </c>
      <c r="E9" s="17">
        <v>0.51545832390459501</v>
      </c>
      <c r="F9" s="17"/>
      <c r="G9" s="17">
        <v>0.59656658388475103</v>
      </c>
      <c r="H9" s="17">
        <v>0.53653928164818898</v>
      </c>
      <c r="I9" s="17">
        <v>0.577333470291857</v>
      </c>
      <c r="J9" s="17">
        <v>0.50526769628003698</v>
      </c>
      <c r="K9" s="17"/>
      <c r="L9" s="17">
        <v>0.44007380489717202</v>
      </c>
      <c r="M9" s="17">
        <v>0.54952012759084101</v>
      </c>
      <c r="N9" s="17">
        <v>0.59497300620373506</v>
      </c>
      <c r="O9" s="17">
        <v>0.63951161819143898</v>
      </c>
    </row>
    <row r="10" spans="2:15" ht="28.8" x14ac:dyDescent="0.3">
      <c r="B10" s="18" t="s">
        <v>88</v>
      </c>
      <c r="C10" s="17">
        <v>0.293264886367883</v>
      </c>
      <c r="D10" s="17">
        <v>0.27028094937002001</v>
      </c>
      <c r="E10" s="17">
        <v>0.318359772308768</v>
      </c>
      <c r="F10" s="17"/>
      <c r="G10" s="17">
        <v>0.26149807067442399</v>
      </c>
      <c r="H10" s="17">
        <v>0.31564946190398901</v>
      </c>
      <c r="I10" s="17">
        <v>0.25553716040723601</v>
      </c>
      <c r="J10" s="17">
        <v>0.34596136986495102</v>
      </c>
      <c r="K10" s="17"/>
      <c r="L10" s="17">
        <v>0.343188431475769</v>
      </c>
      <c r="M10" s="17">
        <v>0.34160716133920899</v>
      </c>
      <c r="N10" s="17">
        <v>0.22326111759953099</v>
      </c>
      <c r="O10" s="17">
        <v>0.26717418889595101</v>
      </c>
    </row>
    <row r="11" spans="2:15" ht="28.8" x14ac:dyDescent="0.3">
      <c r="B11" s="18" t="s">
        <v>89</v>
      </c>
      <c r="C11" s="17">
        <v>0.10821084906992499</v>
      </c>
      <c r="D11" s="17">
        <v>8.2695208193838202E-2</v>
      </c>
      <c r="E11" s="17">
        <v>0.13014040843656199</v>
      </c>
      <c r="F11" s="17"/>
      <c r="G11" s="17">
        <v>0.126918197928333</v>
      </c>
      <c r="H11" s="17">
        <v>8.5505029420857706E-2</v>
      </c>
      <c r="I11" s="17">
        <v>0.115696455427737</v>
      </c>
      <c r="J11" s="17">
        <v>0.103659371028925</v>
      </c>
      <c r="K11" s="17"/>
      <c r="L11" s="17">
        <v>0.15391614084491101</v>
      </c>
      <c r="M11" s="17">
        <v>7.9293843484795304E-2</v>
      </c>
      <c r="N11" s="17">
        <v>0.12783244157385201</v>
      </c>
      <c r="O11" s="17">
        <v>7.2356519908778394E-2</v>
      </c>
    </row>
    <row r="12" spans="2:15" ht="28.8" x14ac:dyDescent="0.3">
      <c r="B12" s="18" t="s">
        <v>90</v>
      </c>
      <c r="C12" s="17">
        <v>2.5182952578331599E-2</v>
      </c>
      <c r="D12" s="17">
        <v>3.3210440128153898E-2</v>
      </c>
      <c r="E12" s="17">
        <v>1.7348114599723099E-2</v>
      </c>
      <c r="F12" s="17"/>
      <c r="G12" s="17">
        <v>3.66558981450099E-3</v>
      </c>
      <c r="H12" s="17">
        <v>5.0683226061349902E-2</v>
      </c>
      <c r="I12" s="17">
        <v>3.10629348694214E-2</v>
      </c>
      <c r="J12" s="17">
        <v>1.9081007647734301E-2</v>
      </c>
      <c r="K12" s="17"/>
      <c r="L12" s="17">
        <v>5.4130712874965202E-2</v>
      </c>
      <c r="M12" s="17">
        <v>1.56181432190498E-2</v>
      </c>
      <c r="N12" s="17">
        <v>1.8651712573590801E-2</v>
      </c>
      <c r="O12" s="17">
        <v>1.36001184157582E-2</v>
      </c>
    </row>
    <row r="13" spans="2:15" x14ac:dyDescent="0.3">
      <c r="B13" s="18" t="s">
        <v>80</v>
      </c>
      <c r="C13" s="19">
        <v>1.6659574547193499E-2</v>
      </c>
      <c r="D13" s="19">
        <v>1.4744992673299101E-2</v>
      </c>
      <c r="E13" s="19">
        <v>1.86933807503511E-2</v>
      </c>
      <c r="F13" s="19"/>
      <c r="G13" s="19">
        <v>1.1351557697991401E-2</v>
      </c>
      <c r="H13" s="19">
        <v>1.16230009656146E-2</v>
      </c>
      <c r="I13" s="19">
        <v>2.0369979003748501E-2</v>
      </c>
      <c r="J13" s="19">
        <v>2.6030555178352399E-2</v>
      </c>
      <c r="K13" s="19"/>
      <c r="L13" s="19">
        <v>8.69090990718226E-3</v>
      </c>
      <c r="M13" s="19">
        <v>1.3960724366104399E-2</v>
      </c>
      <c r="N13" s="19">
        <v>3.5281722049290601E-2</v>
      </c>
      <c r="O13" s="19">
        <v>7.3575545880741203E-3</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0" t="s">
        <v>108</v>
      </c>
      <c r="E2" s="26"/>
      <c r="F2" s="26"/>
      <c r="G2" s="26"/>
      <c r="H2" s="26"/>
      <c r="I2" s="26"/>
    </row>
    <row r="6" spans="2:9" ht="49.95" customHeight="1" x14ac:dyDescent="0.3">
      <c r="B6" s="20" t="s">
        <v>14</v>
      </c>
      <c r="C6" s="20" t="s">
        <v>97</v>
      </c>
      <c r="D6" s="20" t="s">
        <v>98</v>
      </c>
      <c r="E6" s="20" t="s">
        <v>99</v>
      </c>
      <c r="F6" s="20" t="s">
        <v>100</v>
      </c>
      <c r="G6" s="20" t="s">
        <v>101</v>
      </c>
      <c r="H6" s="20" t="s">
        <v>102</v>
      </c>
    </row>
    <row r="7" spans="2:9" x14ac:dyDescent="0.3">
      <c r="B7" s="18" t="s">
        <v>103</v>
      </c>
      <c r="C7" s="17">
        <v>0.180982180675309</v>
      </c>
      <c r="D7" s="17">
        <v>0.15920483711591699</v>
      </c>
      <c r="E7" s="17">
        <v>0.151241086908429</v>
      </c>
      <c r="F7" s="17">
        <v>0.157428601404071</v>
      </c>
      <c r="G7" s="17">
        <v>0.133061269231564</v>
      </c>
      <c r="H7" s="17">
        <v>0.30111610067281303</v>
      </c>
    </row>
    <row r="8" spans="2:9" x14ac:dyDescent="0.3">
      <c r="B8" s="18" t="s">
        <v>104</v>
      </c>
      <c r="C8" s="17">
        <v>0.36996762568167102</v>
      </c>
      <c r="D8" s="17">
        <v>0.33752231957060902</v>
      </c>
      <c r="E8" s="17">
        <v>0.32211305645004501</v>
      </c>
      <c r="F8" s="17">
        <v>0.438231593410154</v>
      </c>
      <c r="G8" s="17">
        <v>0.41392667423328999</v>
      </c>
      <c r="H8" s="17">
        <v>0.49193816207741498</v>
      </c>
    </row>
    <row r="9" spans="2:9" ht="28.8" x14ac:dyDescent="0.3">
      <c r="B9" s="18" t="s">
        <v>105</v>
      </c>
      <c r="C9" s="17">
        <v>0.26400190599624002</v>
      </c>
      <c r="D9" s="17">
        <v>0.30620065153384901</v>
      </c>
      <c r="E9" s="17">
        <v>0.31455077609257998</v>
      </c>
      <c r="F9" s="17">
        <v>0.241935475085408</v>
      </c>
      <c r="G9" s="17">
        <v>0.26279874973030398</v>
      </c>
      <c r="H9" s="17">
        <v>0.13018810369203199</v>
      </c>
    </row>
    <row r="10" spans="2:9" ht="28.8" x14ac:dyDescent="0.3">
      <c r="B10" s="18" t="s">
        <v>106</v>
      </c>
      <c r="C10" s="17">
        <v>0.120670515892725</v>
      </c>
      <c r="D10" s="17">
        <v>0.13318823088439899</v>
      </c>
      <c r="E10" s="17">
        <v>0.16094424905260199</v>
      </c>
      <c r="F10" s="17">
        <v>7.5007560100084497E-2</v>
      </c>
      <c r="G10" s="17">
        <v>0.128306915260369</v>
      </c>
      <c r="H10" s="17">
        <v>6.0482825915163699E-2</v>
      </c>
    </row>
    <row r="11" spans="2:9" x14ac:dyDescent="0.3">
      <c r="B11" s="18" t="s">
        <v>107</v>
      </c>
      <c r="C11" s="17">
        <v>6.4377771754054902E-2</v>
      </c>
      <c r="D11" s="17">
        <v>6.3883960895225994E-2</v>
      </c>
      <c r="E11" s="17">
        <v>5.1150831496344203E-2</v>
      </c>
      <c r="F11" s="17">
        <v>8.7396770000283203E-2</v>
      </c>
      <c r="G11" s="17">
        <v>6.1906391544473097E-2</v>
      </c>
      <c r="H11" s="17">
        <v>1.6274807642575901E-2</v>
      </c>
    </row>
    <row r="12" spans="2:9" x14ac:dyDescent="0.3">
      <c r="B12" s="16"/>
      <c r="C12" s="16"/>
      <c r="D12" s="16"/>
      <c r="E12" s="16"/>
      <c r="F12" s="16"/>
      <c r="G12" s="16"/>
      <c r="H12" s="16"/>
    </row>
    <row r="13" spans="2:9" x14ac:dyDescent="0.3">
      <c r="B13" t="s">
        <v>47</v>
      </c>
    </row>
    <row r="14" spans="2:9" x14ac:dyDescent="0.3">
      <c r="B14" t="s">
        <v>48</v>
      </c>
    </row>
    <row r="18" spans="2:2" x14ac:dyDescent="0.3">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109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103</v>
      </c>
      <c r="C9" s="17">
        <v>0.180982180675309</v>
      </c>
      <c r="D9" s="17">
        <v>0.19587866568171799</v>
      </c>
      <c r="E9" s="17">
        <v>0.16447984691842399</v>
      </c>
      <c r="F9" s="17"/>
      <c r="G9" s="17">
        <v>0.29885691768051897</v>
      </c>
      <c r="H9" s="17">
        <v>0.15442865912954701</v>
      </c>
      <c r="I9" s="17">
        <v>0.104412310021796</v>
      </c>
      <c r="J9" s="17">
        <v>0.12107997143675001</v>
      </c>
      <c r="K9" s="17"/>
      <c r="L9" s="17">
        <v>0.16128295788053301</v>
      </c>
      <c r="M9" s="17">
        <v>0.16256861024675701</v>
      </c>
      <c r="N9" s="17">
        <v>0.216894634621352</v>
      </c>
      <c r="O9" s="17">
        <v>0.18158478291379801</v>
      </c>
    </row>
    <row r="10" spans="2:15" x14ac:dyDescent="0.3">
      <c r="B10" s="18" t="s">
        <v>104</v>
      </c>
      <c r="C10" s="17">
        <v>0.36996762568167102</v>
      </c>
      <c r="D10" s="17">
        <v>0.38899274080739299</v>
      </c>
      <c r="E10" s="17">
        <v>0.35366021544353898</v>
      </c>
      <c r="F10" s="17"/>
      <c r="G10" s="17">
        <v>0.45635934846299803</v>
      </c>
      <c r="H10" s="17">
        <v>0.33548738329879602</v>
      </c>
      <c r="I10" s="17">
        <v>0.36644071481235102</v>
      </c>
      <c r="J10" s="17">
        <v>0.302811107473893</v>
      </c>
      <c r="K10" s="17"/>
      <c r="L10" s="17">
        <v>0.33044343433631601</v>
      </c>
      <c r="M10" s="17">
        <v>0.34442252617304497</v>
      </c>
      <c r="N10" s="17">
        <v>0.39327501550497701</v>
      </c>
      <c r="O10" s="17">
        <v>0.41172247903832998</v>
      </c>
    </row>
    <row r="11" spans="2:15" ht="28.8" x14ac:dyDescent="0.3">
      <c r="B11" s="18" t="s">
        <v>105</v>
      </c>
      <c r="C11" s="17">
        <v>0.26400190599624002</v>
      </c>
      <c r="D11" s="17">
        <v>0.25537979477414602</v>
      </c>
      <c r="E11" s="17">
        <v>0.27019245124636299</v>
      </c>
      <c r="F11" s="17"/>
      <c r="G11" s="17">
        <v>0.172475940003187</v>
      </c>
      <c r="H11" s="17">
        <v>0.29685738134218898</v>
      </c>
      <c r="I11" s="17">
        <v>0.274281019025437</v>
      </c>
      <c r="J11" s="17">
        <v>0.33855135677127002</v>
      </c>
      <c r="K11" s="17"/>
      <c r="L11" s="17">
        <v>0.31817186744095399</v>
      </c>
      <c r="M11" s="17">
        <v>0.259595578030894</v>
      </c>
      <c r="N11" s="17">
        <v>0.23651947451517599</v>
      </c>
      <c r="O11" s="17">
        <v>0.24434471934600699</v>
      </c>
    </row>
    <row r="12" spans="2:15" ht="28.8" x14ac:dyDescent="0.3">
      <c r="B12" s="18" t="s">
        <v>106</v>
      </c>
      <c r="C12" s="17">
        <v>0.120670515892725</v>
      </c>
      <c r="D12" s="17">
        <v>0.10318343488916901</v>
      </c>
      <c r="E12" s="17">
        <v>0.13901705782209201</v>
      </c>
      <c r="F12" s="17"/>
      <c r="G12" s="17">
        <v>4.5356336139330697E-2</v>
      </c>
      <c r="H12" s="17">
        <v>0.11503983590863701</v>
      </c>
      <c r="I12" s="17">
        <v>0.16133210624028099</v>
      </c>
      <c r="J12" s="17">
        <v>0.188936001743503</v>
      </c>
      <c r="K12" s="17"/>
      <c r="L12" s="17">
        <v>0.14456172107456899</v>
      </c>
      <c r="M12" s="17">
        <v>0.12565279773938201</v>
      </c>
      <c r="N12" s="17">
        <v>0.123298090922762</v>
      </c>
      <c r="O12" s="17">
        <v>8.85730436539056E-2</v>
      </c>
    </row>
    <row r="13" spans="2:15" x14ac:dyDescent="0.3">
      <c r="B13" s="18" t="s">
        <v>107</v>
      </c>
      <c r="C13" s="19">
        <v>6.4377771754054902E-2</v>
      </c>
      <c r="D13" s="19">
        <v>5.6565363847574601E-2</v>
      </c>
      <c r="E13" s="19">
        <v>7.2650428569582606E-2</v>
      </c>
      <c r="F13" s="19"/>
      <c r="G13" s="19">
        <v>2.6951457713965701E-2</v>
      </c>
      <c r="H13" s="19">
        <v>9.8186740320831495E-2</v>
      </c>
      <c r="I13" s="19">
        <v>9.3533849900134899E-2</v>
      </c>
      <c r="J13" s="19">
        <v>4.8621562574584297E-2</v>
      </c>
      <c r="K13" s="19"/>
      <c r="L13" s="19">
        <v>4.5540019267627803E-2</v>
      </c>
      <c r="M13" s="19">
        <v>0.10776048780992201</v>
      </c>
      <c r="N13" s="19">
        <v>3.00127844357331E-2</v>
      </c>
      <c r="O13" s="19">
        <v>7.3774975047958602E-2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110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103</v>
      </c>
      <c r="C9" s="17">
        <v>0.15920483711591699</v>
      </c>
      <c r="D9" s="17">
        <v>0.17405665010920099</v>
      </c>
      <c r="E9" s="17">
        <v>0.142588427020895</v>
      </c>
      <c r="F9" s="17"/>
      <c r="G9" s="17">
        <v>0.25722578127262902</v>
      </c>
      <c r="H9" s="17">
        <v>0.124227398277702</v>
      </c>
      <c r="I9" s="17">
        <v>0.118275933815054</v>
      </c>
      <c r="J9" s="17">
        <v>0.109937468366803</v>
      </c>
      <c r="K9" s="17"/>
      <c r="L9" s="17">
        <v>0.14267230249693999</v>
      </c>
      <c r="M9" s="17">
        <v>0.14867578048327401</v>
      </c>
      <c r="N9" s="17">
        <v>0.21399192118391999</v>
      </c>
      <c r="O9" s="17">
        <v>0.12771140976603701</v>
      </c>
    </row>
    <row r="10" spans="2:15" x14ac:dyDescent="0.3">
      <c r="B10" s="18" t="s">
        <v>104</v>
      </c>
      <c r="C10" s="17">
        <v>0.33752231957060902</v>
      </c>
      <c r="D10" s="17">
        <v>0.382717479767543</v>
      </c>
      <c r="E10" s="17">
        <v>0.294838205115804</v>
      </c>
      <c r="F10" s="17"/>
      <c r="G10" s="17">
        <v>0.43849932509290801</v>
      </c>
      <c r="H10" s="17">
        <v>0.30238639269048001</v>
      </c>
      <c r="I10" s="17">
        <v>0.35609896732894802</v>
      </c>
      <c r="J10" s="17">
        <v>0.22376616980386499</v>
      </c>
      <c r="K10" s="17"/>
      <c r="L10" s="17">
        <v>0.30123714891591302</v>
      </c>
      <c r="M10" s="17">
        <v>0.285778044312678</v>
      </c>
      <c r="N10" s="17">
        <v>0.35446284454863602</v>
      </c>
      <c r="O10" s="17">
        <v>0.41111955094324398</v>
      </c>
    </row>
    <row r="11" spans="2:15" ht="28.8" x14ac:dyDescent="0.3">
      <c r="B11" s="18" t="s">
        <v>105</v>
      </c>
      <c r="C11" s="17">
        <v>0.30620065153384901</v>
      </c>
      <c r="D11" s="17">
        <v>0.30246706037432503</v>
      </c>
      <c r="E11" s="17">
        <v>0.30781575326156002</v>
      </c>
      <c r="F11" s="17"/>
      <c r="G11" s="17">
        <v>0.22388976217488701</v>
      </c>
      <c r="H11" s="17">
        <v>0.28745166491496998</v>
      </c>
      <c r="I11" s="17">
        <v>0.321256254995059</v>
      </c>
      <c r="J11" s="17">
        <v>0.42330055366047298</v>
      </c>
      <c r="K11" s="17"/>
      <c r="L11" s="17">
        <v>0.30406690445263601</v>
      </c>
      <c r="M11" s="17">
        <v>0.35709448303847602</v>
      </c>
      <c r="N11" s="17">
        <v>0.253530492982387</v>
      </c>
      <c r="O11" s="17">
        <v>0.31064431224538303</v>
      </c>
    </row>
    <row r="12" spans="2:15" ht="28.8" x14ac:dyDescent="0.3">
      <c r="B12" s="18" t="s">
        <v>106</v>
      </c>
      <c r="C12" s="17">
        <v>0.13318823088439899</v>
      </c>
      <c r="D12" s="17">
        <v>9.1940162659476896E-2</v>
      </c>
      <c r="E12" s="17">
        <v>0.17535994257342899</v>
      </c>
      <c r="F12" s="17"/>
      <c r="G12" s="17">
        <v>4.66805187612995E-2</v>
      </c>
      <c r="H12" s="17">
        <v>0.17256287112591701</v>
      </c>
      <c r="I12" s="17">
        <v>0.16500889997188201</v>
      </c>
      <c r="J12" s="17">
        <v>0.173111160020406</v>
      </c>
      <c r="K12" s="17"/>
      <c r="L12" s="17">
        <v>0.17887321706345799</v>
      </c>
      <c r="M12" s="17">
        <v>0.15294654832156601</v>
      </c>
      <c r="N12" s="17">
        <v>0.115092203963128</v>
      </c>
      <c r="O12" s="17">
        <v>8.5852114202795496E-2</v>
      </c>
    </row>
    <row r="13" spans="2:15" x14ac:dyDescent="0.3">
      <c r="B13" s="18" t="s">
        <v>107</v>
      </c>
      <c r="C13" s="19">
        <v>6.3883960895225994E-2</v>
      </c>
      <c r="D13" s="19">
        <v>4.8818647089453798E-2</v>
      </c>
      <c r="E13" s="19">
        <v>7.93976720283113E-2</v>
      </c>
      <c r="F13" s="19"/>
      <c r="G13" s="19">
        <v>3.37046126982763E-2</v>
      </c>
      <c r="H13" s="19">
        <v>0.113371672990931</v>
      </c>
      <c r="I13" s="19">
        <v>3.9359943889057197E-2</v>
      </c>
      <c r="J13" s="19">
        <v>6.9884648148452494E-2</v>
      </c>
      <c r="K13" s="19"/>
      <c r="L13" s="19">
        <v>7.3150427071052099E-2</v>
      </c>
      <c r="M13" s="19">
        <v>5.5505143844006399E-2</v>
      </c>
      <c r="N13" s="19">
        <v>6.2922537321929706E-2</v>
      </c>
      <c r="O13" s="19">
        <v>6.4672612842540306E-2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111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103</v>
      </c>
      <c r="C9" s="17">
        <v>0.151241086908429</v>
      </c>
      <c r="D9" s="17">
        <v>0.16818881796360699</v>
      </c>
      <c r="E9" s="17">
        <v>0.13247310963825901</v>
      </c>
      <c r="F9" s="17"/>
      <c r="G9" s="17">
        <v>0.27415800867889201</v>
      </c>
      <c r="H9" s="17">
        <v>0.127332624288683</v>
      </c>
      <c r="I9" s="17">
        <v>9.6987731667113095E-2</v>
      </c>
      <c r="J9" s="17">
        <v>6.11725834963266E-2</v>
      </c>
      <c r="K9" s="17"/>
      <c r="L9" s="17">
        <v>0.13231421815000499</v>
      </c>
      <c r="M9" s="17">
        <v>0.171291362102686</v>
      </c>
      <c r="N9" s="17">
        <v>0.17216060090747201</v>
      </c>
      <c r="O9" s="17">
        <v>0.125935913398313</v>
      </c>
    </row>
    <row r="10" spans="2:15" x14ac:dyDescent="0.3">
      <c r="B10" s="18" t="s">
        <v>104</v>
      </c>
      <c r="C10" s="17">
        <v>0.32211305645004501</v>
      </c>
      <c r="D10" s="17">
        <v>0.37900963064784998</v>
      </c>
      <c r="E10" s="17">
        <v>0.26762855141754599</v>
      </c>
      <c r="F10" s="17"/>
      <c r="G10" s="17">
        <v>0.42166615041552002</v>
      </c>
      <c r="H10" s="17">
        <v>0.25972726449734601</v>
      </c>
      <c r="I10" s="17">
        <v>0.33662931075257402</v>
      </c>
      <c r="J10" s="17">
        <v>0.25265232766172502</v>
      </c>
      <c r="K10" s="17"/>
      <c r="L10" s="17">
        <v>0.28642246437074698</v>
      </c>
      <c r="M10" s="17">
        <v>0.25106624105580699</v>
      </c>
      <c r="N10" s="17">
        <v>0.362647138835272</v>
      </c>
      <c r="O10" s="17">
        <v>0.39032087583914699</v>
      </c>
    </row>
    <row r="11" spans="2:15" ht="28.8" x14ac:dyDescent="0.3">
      <c r="B11" s="18" t="s">
        <v>105</v>
      </c>
      <c r="C11" s="17">
        <v>0.31455077609257998</v>
      </c>
      <c r="D11" s="17">
        <v>0.27171622783444699</v>
      </c>
      <c r="E11" s="17">
        <v>0.35528319179880102</v>
      </c>
      <c r="F11" s="17"/>
      <c r="G11" s="17">
        <v>0.198787427860107</v>
      </c>
      <c r="H11" s="17">
        <v>0.33753505103549603</v>
      </c>
      <c r="I11" s="17">
        <v>0.27909729110548798</v>
      </c>
      <c r="J11" s="17">
        <v>0.47398554235729701</v>
      </c>
      <c r="K11" s="17"/>
      <c r="L11" s="17">
        <v>0.31520501752917002</v>
      </c>
      <c r="M11" s="17">
        <v>0.31204678210119802</v>
      </c>
      <c r="N11" s="17">
        <v>0.31949693655551797</v>
      </c>
      <c r="O11" s="17">
        <v>0.31123188466035401</v>
      </c>
    </row>
    <row r="12" spans="2:15" ht="28.8" x14ac:dyDescent="0.3">
      <c r="B12" s="18" t="s">
        <v>106</v>
      </c>
      <c r="C12" s="17">
        <v>0.16094424905260199</v>
      </c>
      <c r="D12" s="17">
        <v>0.13075963629234399</v>
      </c>
      <c r="E12" s="17">
        <v>0.19226736010082601</v>
      </c>
      <c r="F12" s="17"/>
      <c r="G12" s="17">
        <v>7.0591366045646295E-2</v>
      </c>
      <c r="H12" s="17">
        <v>0.18383261903495299</v>
      </c>
      <c r="I12" s="17">
        <v>0.235638454342569</v>
      </c>
      <c r="J12" s="17">
        <v>0.185677333769391</v>
      </c>
      <c r="K12" s="17"/>
      <c r="L12" s="17">
        <v>0.215808873306125</v>
      </c>
      <c r="M12" s="17">
        <v>0.190202831114403</v>
      </c>
      <c r="N12" s="17">
        <v>0.108954269283677</v>
      </c>
      <c r="O12" s="17">
        <v>0.13092696157317299</v>
      </c>
    </row>
    <row r="13" spans="2:15" x14ac:dyDescent="0.3">
      <c r="B13" s="18" t="s">
        <v>107</v>
      </c>
      <c r="C13" s="19">
        <v>5.1150831496344203E-2</v>
      </c>
      <c r="D13" s="19">
        <v>5.03256872617526E-2</v>
      </c>
      <c r="E13" s="19">
        <v>5.2347787044567398E-2</v>
      </c>
      <c r="F13" s="19"/>
      <c r="G13" s="19">
        <v>3.4797046999834498E-2</v>
      </c>
      <c r="H13" s="19">
        <v>9.1572441143521893E-2</v>
      </c>
      <c r="I13" s="19">
        <v>5.16472121322556E-2</v>
      </c>
      <c r="J13" s="19">
        <v>2.6512212715260101E-2</v>
      </c>
      <c r="K13" s="19"/>
      <c r="L13" s="19">
        <v>5.0249426643952697E-2</v>
      </c>
      <c r="M13" s="19">
        <v>7.5392783625906207E-2</v>
      </c>
      <c r="N13" s="19">
        <v>3.6741054418061199E-2</v>
      </c>
      <c r="O13" s="19">
        <v>4.1584364529013401E-2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112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103</v>
      </c>
      <c r="C9" s="17">
        <v>0.157428601404071</v>
      </c>
      <c r="D9" s="17">
        <v>0.166027177993159</v>
      </c>
      <c r="E9" s="17">
        <v>0.14704536826624601</v>
      </c>
      <c r="F9" s="17"/>
      <c r="G9" s="17">
        <v>0.22106538377250901</v>
      </c>
      <c r="H9" s="17">
        <v>0.14333792165543799</v>
      </c>
      <c r="I9" s="17">
        <v>0.118624832922294</v>
      </c>
      <c r="J9" s="17">
        <v>0.119323338047529</v>
      </c>
      <c r="K9" s="17"/>
      <c r="L9" s="17">
        <v>0.1085220303619</v>
      </c>
      <c r="M9" s="17">
        <v>0.15333899015365801</v>
      </c>
      <c r="N9" s="17">
        <v>0.19664788330753699</v>
      </c>
      <c r="O9" s="17">
        <v>0.168247047335355</v>
      </c>
    </row>
    <row r="10" spans="2:15" x14ac:dyDescent="0.3">
      <c r="B10" s="18" t="s">
        <v>104</v>
      </c>
      <c r="C10" s="17">
        <v>0.438231593410154</v>
      </c>
      <c r="D10" s="17">
        <v>0.42638198470184602</v>
      </c>
      <c r="E10" s="17">
        <v>0.45326123320417899</v>
      </c>
      <c r="F10" s="17"/>
      <c r="G10" s="17">
        <v>0.50504820830786401</v>
      </c>
      <c r="H10" s="17">
        <v>0.41677086618851999</v>
      </c>
      <c r="I10" s="17">
        <v>0.40070613809208899</v>
      </c>
      <c r="J10" s="17">
        <v>0.41334453706072999</v>
      </c>
      <c r="K10" s="17"/>
      <c r="L10" s="17">
        <v>0.51004851418278097</v>
      </c>
      <c r="M10" s="17">
        <v>0.40813539980447899</v>
      </c>
      <c r="N10" s="17">
        <v>0.39175642428999102</v>
      </c>
      <c r="O10" s="17">
        <v>0.44913898079047399</v>
      </c>
    </row>
    <row r="11" spans="2:15" ht="28.8" x14ac:dyDescent="0.3">
      <c r="B11" s="18" t="s">
        <v>105</v>
      </c>
      <c r="C11" s="17">
        <v>0.241935475085408</v>
      </c>
      <c r="D11" s="17">
        <v>0.246149187464798</v>
      </c>
      <c r="E11" s="17">
        <v>0.23948960811769501</v>
      </c>
      <c r="F11" s="17"/>
      <c r="G11" s="17">
        <v>0.184353798524378</v>
      </c>
      <c r="H11" s="17">
        <v>0.25275680128948602</v>
      </c>
      <c r="I11" s="17">
        <v>0.28223901659197698</v>
      </c>
      <c r="J11" s="17">
        <v>0.269737601571158</v>
      </c>
      <c r="K11" s="17"/>
      <c r="L11" s="17">
        <v>0.237754222310543</v>
      </c>
      <c r="M11" s="17">
        <v>0.25503461463983401</v>
      </c>
      <c r="N11" s="17">
        <v>0.226495862737735</v>
      </c>
      <c r="O11" s="17">
        <v>0.248751475958671</v>
      </c>
    </row>
    <row r="12" spans="2:15" ht="28.8" x14ac:dyDescent="0.3">
      <c r="B12" s="18" t="s">
        <v>106</v>
      </c>
      <c r="C12" s="17">
        <v>7.5007560100084497E-2</v>
      </c>
      <c r="D12" s="17">
        <v>8.3391631843053093E-2</v>
      </c>
      <c r="E12" s="17">
        <v>6.7179629364351595E-2</v>
      </c>
      <c r="F12" s="17"/>
      <c r="G12" s="17">
        <v>3.1191480256711899E-2</v>
      </c>
      <c r="H12" s="17">
        <v>6.0924313021726101E-2</v>
      </c>
      <c r="I12" s="17">
        <v>9.5174637412147295E-2</v>
      </c>
      <c r="J12" s="17">
        <v>0.13021083594310401</v>
      </c>
      <c r="K12" s="17"/>
      <c r="L12" s="17">
        <v>8.4350613755814596E-2</v>
      </c>
      <c r="M12" s="17">
        <v>8.3573635210111602E-2</v>
      </c>
      <c r="N12" s="17">
        <v>7.82492318385552E-2</v>
      </c>
      <c r="O12" s="17">
        <v>5.29376752002245E-2</v>
      </c>
    </row>
    <row r="13" spans="2:15" x14ac:dyDescent="0.3">
      <c r="B13" s="18" t="s">
        <v>107</v>
      </c>
      <c r="C13" s="19">
        <v>8.7396770000283203E-2</v>
      </c>
      <c r="D13" s="19">
        <v>7.8050017997144297E-2</v>
      </c>
      <c r="E13" s="19">
        <v>9.3024161047528697E-2</v>
      </c>
      <c r="F13" s="19"/>
      <c r="G13" s="19">
        <v>5.8341129138537499E-2</v>
      </c>
      <c r="H13" s="19">
        <v>0.12621009784483</v>
      </c>
      <c r="I13" s="19">
        <v>0.10325537498149299</v>
      </c>
      <c r="J13" s="19">
        <v>6.7383687377478699E-2</v>
      </c>
      <c r="K13" s="19"/>
      <c r="L13" s="19">
        <v>5.9324619388960297E-2</v>
      </c>
      <c r="M13" s="19">
        <v>9.9917360191917798E-2</v>
      </c>
      <c r="N13" s="19">
        <v>0.106850597826182</v>
      </c>
      <c r="O13" s="19">
        <v>8.0924820715275597E-2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113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103</v>
      </c>
      <c r="C9" s="17">
        <v>0.133061269231564</v>
      </c>
      <c r="D9" s="17">
        <v>0.143001076762555</v>
      </c>
      <c r="E9" s="17">
        <v>0.12116075985006999</v>
      </c>
      <c r="F9" s="17"/>
      <c r="G9" s="17">
        <v>0.23655168623080899</v>
      </c>
      <c r="H9" s="17">
        <v>9.4320158628360698E-2</v>
      </c>
      <c r="I9" s="17">
        <v>8.5579839371764901E-2</v>
      </c>
      <c r="J9" s="17">
        <v>8.6719087762208005E-2</v>
      </c>
      <c r="K9" s="17"/>
      <c r="L9" s="17">
        <v>7.2892431783696796E-2</v>
      </c>
      <c r="M9" s="17">
        <v>0.10990683804146199</v>
      </c>
      <c r="N9" s="17">
        <v>0.16310527214012599</v>
      </c>
      <c r="O9" s="17">
        <v>0.18559099162693499</v>
      </c>
    </row>
    <row r="10" spans="2:15" x14ac:dyDescent="0.3">
      <c r="B10" s="18" t="s">
        <v>104</v>
      </c>
      <c r="C10" s="17">
        <v>0.41392667423328999</v>
      </c>
      <c r="D10" s="17">
        <v>0.446950374113538</v>
      </c>
      <c r="E10" s="17">
        <v>0.38395694989252699</v>
      </c>
      <c r="F10" s="17"/>
      <c r="G10" s="17">
        <v>0.44266633916147702</v>
      </c>
      <c r="H10" s="17">
        <v>0.40642859828822397</v>
      </c>
      <c r="I10" s="17">
        <v>0.48689718349440098</v>
      </c>
      <c r="J10" s="17">
        <v>0.32172181492158303</v>
      </c>
      <c r="K10" s="17"/>
      <c r="L10" s="17">
        <v>0.34067412766889799</v>
      </c>
      <c r="M10" s="17">
        <v>0.40148344864652802</v>
      </c>
      <c r="N10" s="17">
        <v>0.45197596582335597</v>
      </c>
      <c r="O10" s="17">
        <v>0.45934504910026203</v>
      </c>
    </row>
    <row r="11" spans="2:15" ht="28.8" x14ac:dyDescent="0.3">
      <c r="B11" s="18" t="s">
        <v>105</v>
      </c>
      <c r="C11" s="17">
        <v>0.26279874973030398</v>
      </c>
      <c r="D11" s="17">
        <v>0.25567883018968501</v>
      </c>
      <c r="E11" s="17">
        <v>0.26748004490327998</v>
      </c>
      <c r="F11" s="17"/>
      <c r="G11" s="17">
        <v>0.21412840544192199</v>
      </c>
      <c r="H11" s="17">
        <v>0.265174473784828</v>
      </c>
      <c r="I11" s="17">
        <v>0.21627593412815199</v>
      </c>
      <c r="J11" s="17">
        <v>0.36798969710769103</v>
      </c>
      <c r="K11" s="17"/>
      <c r="L11" s="17">
        <v>0.31226482773262498</v>
      </c>
      <c r="M11" s="17">
        <v>0.310601384301679</v>
      </c>
      <c r="N11" s="17">
        <v>0.21895113213495801</v>
      </c>
      <c r="O11" s="17">
        <v>0.20941021117494499</v>
      </c>
    </row>
    <row r="12" spans="2:15" ht="28.8" x14ac:dyDescent="0.3">
      <c r="B12" s="18" t="s">
        <v>106</v>
      </c>
      <c r="C12" s="17">
        <v>0.128306915260369</v>
      </c>
      <c r="D12" s="17">
        <v>0.101063301403037</v>
      </c>
      <c r="E12" s="17">
        <v>0.15645453668525899</v>
      </c>
      <c r="F12" s="17"/>
      <c r="G12" s="17">
        <v>6.1516440848496598E-2</v>
      </c>
      <c r="H12" s="17">
        <v>0.131581349097392</v>
      </c>
      <c r="I12" s="17">
        <v>0.171337114817429</v>
      </c>
      <c r="J12" s="17">
        <v>0.16533891086899699</v>
      </c>
      <c r="K12" s="17"/>
      <c r="L12" s="17">
        <v>0.21355076156434799</v>
      </c>
      <c r="M12" s="17">
        <v>8.4860263249836199E-2</v>
      </c>
      <c r="N12" s="17">
        <v>0.13364479968922299</v>
      </c>
      <c r="O12" s="17">
        <v>8.4018425866764807E-2</v>
      </c>
    </row>
    <row r="13" spans="2:15" x14ac:dyDescent="0.3">
      <c r="B13" s="18" t="s">
        <v>107</v>
      </c>
      <c r="C13" s="19">
        <v>6.1906391544473097E-2</v>
      </c>
      <c r="D13" s="19">
        <v>5.3306417531186201E-2</v>
      </c>
      <c r="E13" s="19">
        <v>7.0947708668864101E-2</v>
      </c>
      <c r="F13" s="19"/>
      <c r="G13" s="19">
        <v>4.5137128317295203E-2</v>
      </c>
      <c r="H13" s="19">
        <v>0.10249542020119499</v>
      </c>
      <c r="I13" s="19">
        <v>3.9909928188254E-2</v>
      </c>
      <c r="J13" s="19">
        <v>5.82304893395214E-2</v>
      </c>
      <c r="K13" s="19"/>
      <c r="L13" s="19">
        <v>6.0617851250431697E-2</v>
      </c>
      <c r="M13" s="19">
        <v>9.3148065760495599E-2</v>
      </c>
      <c r="N13" s="19">
        <v>3.2322830212336201E-2</v>
      </c>
      <c r="O13" s="19">
        <v>6.1635322231092901E-2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114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103</v>
      </c>
      <c r="C9" s="17">
        <v>0.30111610067281303</v>
      </c>
      <c r="D9" s="17">
        <v>0.32393652159438602</v>
      </c>
      <c r="E9" s="17">
        <v>0.27757429667389</v>
      </c>
      <c r="F9" s="17"/>
      <c r="G9" s="17">
        <v>0.42151814641999702</v>
      </c>
      <c r="H9" s="17">
        <v>0.27146431413852501</v>
      </c>
      <c r="I9" s="17">
        <v>0.25854269646070999</v>
      </c>
      <c r="J9" s="17">
        <v>0.21136901519413501</v>
      </c>
      <c r="K9" s="17"/>
      <c r="L9" s="17">
        <v>0.21856732237006399</v>
      </c>
      <c r="M9" s="17">
        <v>0.30319336663428498</v>
      </c>
      <c r="N9" s="17">
        <v>0.34965375808104299</v>
      </c>
      <c r="O9" s="17">
        <v>0.328847782188397</v>
      </c>
    </row>
    <row r="10" spans="2:15" x14ac:dyDescent="0.3">
      <c r="B10" s="18" t="s">
        <v>104</v>
      </c>
      <c r="C10" s="17">
        <v>0.49193816207741498</v>
      </c>
      <c r="D10" s="17">
        <v>0.47833101272703099</v>
      </c>
      <c r="E10" s="17">
        <v>0.50476910747840997</v>
      </c>
      <c r="F10" s="17"/>
      <c r="G10" s="17">
        <v>0.48602208377377698</v>
      </c>
      <c r="H10" s="17">
        <v>0.42473142967117</v>
      </c>
      <c r="I10" s="17">
        <v>0.52292838561630905</v>
      </c>
      <c r="J10" s="17">
        <v>0.55153523476382604</v>
      </c>
      <c r="K10" s="17"/>
      <c r="L10" s="17">
        <v>0.51126357193305505</v>
      </c>
      <c r="M10" s="17">
        <v>0.49080198335268199</v>
      </c>
      <c r="N10" s="17">
        <v>0.43243723129312001</v>
      </c>
      <c r="O10" s="17">
        <v>0.53829434677530896</v>
      </c>
    </row>
    <row r="11" spans="2:15" ht="28.8" x14ac:dyDescent="0.3">
      <c r="B11" s="18" t="s">
        <v>105</v>
      </c>
      <c r="C11" s="17">
        <v>0.13018810369203199</v>
      </c>
      <c r="D11" s="17">
        <v>9.9071062192981701E-2</v>
      </c>
      <c r="E11" s="17">
        <v>0.162218453944417</v>
      </c>
      <c r="F11" s="17"/>
      <c r="G11" s="17">
        <v>7.3958725322247995E-2</v>
      </c>
      <c r="H11" s="17">
        <v>0.20107984316209099</v>
      </c>
      <c r="I11" s="17">
        <v>0.12576120045488501</v>
      </c>
      <c r="J11" s="17">
        <v>0.12798717394725001</v>
      </c>
      <c r="K11" s="17"/>
      <c r="L11" s="17">
        <v>0.161805141687072</v>
      </c>
      <c r="M11" s="17">
        <v>0.12405590337870701</v>
      </c>
      <c r="N11" s="17">
        <v>0.15458332427091101</v>
      </c>
      <c r="O11" s="17">
        <v>7.8739671012994394E-2</v>
      </c>
    </row>
    <row r="12" spans="2:15" ht="28.8" x14ac:dyDescent="0.3">
      <c r="B12" s="18" t="s">
        <v>106</v>
      </c>
      <c r="C12" s="17">
        <v>6.0482825915163699E-2</v>
      </c>
      <c r="D12" s="17">
        <v>8.8274517804421401E-2</v>
      </c>
      <c r="E12" s="17">
        <v>3.3163513116722998E-2</v>
      </c>
      <c r="F12" s="17"/>
      <c r="G12" s="17">
        <v>1.4086869673524001E-2</v>
      </c>
      <c r="H12" s="17">
        <v>6.9744787165463507E-2</v>
      </c>
      <c r="I12" s="17">
        <v>9.2767717468095506E-2</v>
      </c>
      <c r="J12" s="17">
        <v>8.1374499350491403E-2</v>
      </c>
      <c r="K12" s="17"/>
      <c r="L12" s="17">
        <v>8.5045751994644994E-2</v>
      </c>
      <c r="M12" s="17">
        <v>6.8350311048397394E-2</v>
      </c>
      <c r="N12" s="17">
        <v>4.57922682753681E-2</v>
      </c>
      <c r="O12" s="17">
        <v>4.33711638778915E-2</v>
      </c>
    </row>
    <row r="13" spans="2:15" x14ac:dyDescent="0.3">
      <c r="B13" s="18" t="s">
        <v>107</v>
      </c>
      <c r="C13" s="19">
        <v>1.6274807642575901E-2</v>
      </c>
      <c r="D13" s="19">
        <v>1.038688568118E-2</v>
      </c>
      <c r="E13" s="19">
        <v>2.2274628786559499E-2</v>
      </c>
      <c r="F13" s="19"/>
      <c r="G13" s="19">
        <v>4.4141748104540197E-3</v>
      </c>
      <c r="H13" s="19">
        <v>3.29796258627508E-2</v>
      </c>
      <c r="I13" s="19">
        <v>0</v>
      </c>
      <c r="J13" s="19">
        <v>2.7734076744298002E-2</v>
      </c>
      <c r="K13" s="19"/>
      <c r="L13" s="19">
        <v>2.3318212015163899E-2</v>
      </c>
      <c r="M13" s="19">
        <v>1.35984355859284E-2</v>
      </c>
      <c r="N13" s="19">
        <v>1.75334180795578E-2</v>
      </c>
      <c r="O13" s="19">
        <v>1.0747036145408499E-2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J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30" t="s">
        <v>108</v>
      </c>
      <c r="E2" s="26"/>
      <c r="F2" s="26"/>
      <c r="G2" s="26"/>
      <c r="H2" s="26"/>
      <c r="I2" s="26"/>
      <c r="J2" s="26"/>
    </row>
    <row r="6" spans="2:10" ht="49.95" customHeight="1" x14ac:dyDescent="0.3">
      <c r="B6" s="20" t="s">
        <v>14</v>
      </c>
      <c r="C6" s="20" t="s">
        <v>115</v>
      </c>
      <c r="D6" s="20" t="s">
        <v>116</v>
      </c>
      <c r="E6" s="20" t="s">
        <v>117</v>
      </c>
      <c r="F6" s="20" t="s">
        <v>118</v>
      </c>
      <c r="G6" s="20" t="s">
        <v>119</v>
      </c>
      <c r="H6" s="20" t="s">
        <v>120</v>
      </c>
      <c r="I6" s="20" t="s">
        <v>121</v>
      </c>
    </row>
    <row r="7" spans="2:10" x14ac:dyDescent="0.3">
      <c r="B7" s="18" t="s">
        <v>103</v>
      </c>
      <c r="C7" s="17">
        <v>0.39687442709856202</v>
      </c>
      <c r="D7" s="17">
        <v>0.49048705848188801</v>
      </c>
      <c r="E7" s="17">
        <v>0.31759235920727302</v>
      </c>
      <c r="F7" s="17">
        <v>0.28376118383426102</v>
      </c>
      <c r="G7" s="17">
        <v>4.5109827305553497E-2</v>
      </c>
      <c r="H7" s="17">
        <v>0.21108739766515699</v>
      </c>
      <c r="I7" s="17">
        <v>0.12582407515482699</v>
      </c>
    </row>
    <row r="8" spans="2:10" x14ac:dyDescent="0.3">
      <c r="B8" s="18" t="s">
        <v>104</v>
      </c>
      <c r="C8" s="17">
        <v>0.457698458636142</v>
      </c>
      <c r="D8" s="17">
        <v>0.44176972699756301</v>
      </c>
      <c r="E8" s="17">
        <v>0.52419683414879303</v>
      </c>
      <c r="F8" s="17">
        <v>0.50544032515684401</v>
      </c>
      <c r="G8" s="17">
        <v>0.152884155959157</v>
      </c>
      <c r="H8" s="17">
        <v>0.49222333282853198</v>
      </c>
      <c r="I8" s="17">
        <v>0.33818289339258001</v>
      </c>
    </row>
    <row r="9" spans="2:10" ht="28.8" x14ac:dyDescent="0.3">
      <c r="B9" s="18" t="s">
        <v>105</v>
      </c>
      <c r="C9" s="17">
        <v>9.0635686978763105E-2</v>
      </c>
      <c r="D9" s="17">
        <v>4.1234759617266303E-2</v>
      </c>
      <c r="E9" s="17">
        <v>0.10661362722697899</v>
      </c>
      <c r="F9" s="17">
        <v>0.14813568368709201</v>
      </c>
      <c r="G9" s="17">
        <v>0.38075560714066597</v>
      </c>
      <c r="H9" s="17">
        <v>0.233059573244739</v>
      </c>
      <c r="I9" s="17">
        <v>0.32473258738683702</v>
      </c>
    </row>
    <row r="10" spans="2:10" ht="28.8" x14ac:dyDescent="0.3">
      <c r="B10" s="18" t="s">
        <v>106</v>
      </c>
      <c r="C10" s="17">
        <v>2.08807288345286E-2</v>
      </c>
      <c r="D10" s="17">
        <v>1.1529097370640101E-2</v>
      </c>
      <c r="E10" s="17">
        <v>2.7779225267077701E-2</v>
      </c>
      <c r="F10" s="17">
        <v>1.98216356951392E-2</v>
      </c>
      <c r="G10" s="17">
        <v>0.38743110713619999</v>
      </c>
      <c r="H10" s="17">
        <v>4.8266865366929798E-2</v>
      </c>
      <c r="I10" s="17">
        <v>0.18512254826737501</v>
      </c>
    </row>
    <row r="11" spans="2:10" x14ac:dyDescent="0.3">
      <c r="B11" s="18" t="s">
        <v>107</v>
      </c>
      <c r="C11" s="17">
        <v>3.3910698452004298E-2</v>
      </c>
      <c r="D11" s="17">
        <v>1.4979357532642601E-2</v>
      </c>
      <c r="E11" s="17">
        <v>2.3817954149876901E-2</v>
      </c>
      <c r="F11" s="17">
        <v>4.2841171626663802E-2</v>
      </c>
      <c r="G11" s="17">
        <v>3.3819302458424398E-2</v>
      </c>
      <c r="H11" s="17">
        <v>1.5362830894643201E-2</v>
      </c>
      <c r="I11" s="17">
        <v>2.61378957983802E-2</v>
      </c>
    </row>
    <row r="12" spans="2:10" x14ac:dyDescent="0.3">
      <c r="B12" s="16"/>
      <c r="C12" s="16"/>
      <c r="D12" s="16"/>
      <c r="E12" s="16"/>
      <c r="F12" s="16"/>
      <c r="G12" s="16"/>
      <c r="H12" s="16"/>
      <c r="I12" s="16"/>
    </row>
    <row r="13" spans="2:10" x14ac:dyDescent="0.3">
      <c r="B13" t="s">
        <v>47</v>
      </c>
    </row>
    <row r="14" spans="2:10" x14ac:dyDescent="0.3">
      <c r="B14" t="s">
        <v>48</v>
      </c>
    </row>
    <row r="18" spans="2:2" x14ac:dyDescent="0.3">
      <c r="B18"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122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103</v>
      </c>
      <c r="C9" s="17">
        <v>0.39687442709856202</v>
      </c>
      <c r="D9" s="17">
        <v>0.43597509832710102</v>
      </c>
      <c r="E9" s="17">
        <v>0.35776871538952398</v>
      </c>
      <c r="F9" s="17"/>
      <c r="G9" s="17">
        <v>0.50982240668684398</v>
      </c>
      <c r="H9" s="17">
        <v>0.37681207124320198</v>
      </c>
      <c r="I9" s="17">
        <v>0.31385529290039899</v>
      </c>
      <c r="J9" s="17">
        <v>0.343615351505416</v>
      </c>
      <c r="K9" s="17"/>
      <c r="L9" s="17">
        <v>0.39162991532000002</v>
      </c>
      <c r="M9" s="17">
        <v>0.360837772065359</v>
      </c>
      <c r="N9" s="17">
        <v>0.425845435327526</v>
      </c>
      <c r="O9" s="17">
        <v>0.40950038461934302</v>
      </c>
    </row>
    <row r="10" spans="2:15" x14ac:dyDescent="0.3">
      <c r="B10" s="18" t="s">
        <v>104</v>
      </c>
      <c r="C10" s="17">
        <v>0.457698458636142</v>
      </c>
      <c r="D10" s="17">
        <v>0.431540236466398</v>
      </c>
      <c r="E10" s="17">
        <v>0.48281668087433399</v>
      </c>
      <c r="F10" s="17"/>
      <c r="G10" s="17">
        <v>0.366507910786875</v>
      </c>
      <c r="H10" s="17">
        <v>0.49201362193543802</v>
      </c>
      <c r="I10" s="17">
        <v>0.56056991203795203</v>
      </c>
      <c r="J10" s="17">
        <v>0.447192523789886</v>
      </c>
      <c r="K10" s="17"/>
      <c r="L10" s="17">
        <v>0.46387201503655401</v>
      </c>
      <c r="M10" s="17">
        <v>0.48199512235483399</v>
      </c>
      <c r="N10" s="17">
        <v>0.40271241570101701</v>
      </c>
      <c r="O10" s="17">
        <v>0.48495579535443301</v>
      </c>
    </row>
    <row r="11" spans="2:15" ht="28.8" x14ac:dyDescent="0.3">
      <c r="B11" s="18" t="s">
        <v>105</v>
      </c>
      <c r="C11" s="17">
        <v>9.0635686978763105E-2</v>
      </c>
      <c r="D11" s="17">
        <v>9.5662849608408401E-2</v>
      </c>
      <c r="E11" s="17">
        <v>8.6274732024489001E-2</v>
      </c>
      <c r="F11" s="17"/>
      <c r="G11" s="17">
        <v>8.6580146376924697E-2</v>
      </c>
      <c r="H11" s="17">
        <v>4.8887722109020801E-2</v>
      </c>
      <c r="I11" s="17">
        <v>9.0326354988210997E-2</v>
      </c>
      <c r="J11" s="17">
        <v>0.144297269697128</v>
      </c>
      <c r="K11" s="17"/>
      <c r="L11" s="17">
        <v>0.101219672204943</v>
      </c>
      <c r="M11" s="17">
        <v>0.109289530479849</v>
      </c>
      <c r="N11" s="17">
        <v>0.103743613874604</v>
      </c>
      <c r="O11" s="17">
        <v>4.5784434152132798E-2</v>
      </c>
    </row>
    <row r="12" spans="2:15" ht="28.8" x14ac:dyDescent="0.3">
      <c r="B12" s="18" t="s">
        <v>106</v>
      </c>
      <c r="C12" s="17">
        <v>2.08807288345286E-2</v>
      </c>
      <c r="D12" s="17">
        <v>1.8678221537903401E-2</v>
      </c>
      <c r="E12" s="17">
        <v>2.3232893549029202E-2</v>
      </c>
      <c r="F12" s="17"/>
      <c r="G12" s="17">
        <v>2.2122001759253999E-2</v>
      </c>
      <c r="H12" s="17">
        <v>1.37493343053945E-2</v>
      </c>
      <c r="I12" s="17">
        <v>2.1463256319985601E-2</v>
      </c>
      <c r="J12" s="17">
        <v>2.69929520922749E-2</v>
      </c>
      <c r="K12" s="17"/>
      <c r="L12" s="17">
        <v>1.84082438628329E-2</v>
      </c>
      <c r="M12" s="17">
        <v>2.2279564088750901E-2</v>
      </c>
      <c r="N12" s="17">
        <v>2.0605184645111799E-2</v>
      </c>
      <c r="O12" s="17">
        <v>2.2146912389459299E-2</v>
      </c>
    </row>
    <row r="13" spans="2:15" x14ac:dyDescent="0.3">
      <c r="B13" s="18" t="s">
        <v>107</v>
      </c>
      <c r="C13" s="19">
        <v>3.3910698452004298E-2</v>
      </c>
      <c r="D13" s="19">
        <v>1.8143594060189099E-2</v>
      </c>
      <c r="E13" s="19">
        <v>4.99069781626236E-2</v>
      </c>
      <c r="F13" s="19"/>
      <c r="G13" s="19">
        <v>1.4967534390102099E-2</v>
      </c>
      <c r="H13" s="19">
        <v>6.8537250406944902E-2</v>
      </c>
      <c r="I13" s="19">
        <v>1.37851837534529E-2</v>
      </c>
      <c r="J13" s="19">
        <v>3.7901902915295403E-2</v>
      </c>
      <c r="K13" s="19"/>
      <c r="L13" s="19">
        <v>2.4870153575670201E-2</v>
      </c>
      <c r="M13" s="19">
        <v>2.55980110112068E-2</v>
      </c>
      <c r="N13" s="19">
        <v>4.7093350451741497E-2</v>
      </c>
      <c r="O13" s="19">
        <v>3.76124734846323E-2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123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103</v>
      </c>
      <c r="C9" s="17">
        <v>0.49048705848188801</v>
      </c>
      <c r="D9" s="17">
        <v>0.46421312515718</v>
      </c>
      <c r="E9" s="17">
        <v>0.51301813325447998</v>
      </c>
      <c r="F9" s="17"/>
      <c r="G9" s="17">
        <v>0.55690170808800099</v>
      </c>
      <c r="H9" s="17">
        <v>0.55164879210944695</v>
      </c>
      <c r="I9" s="17">
        <v>0.39130319385173001</v>
      </c>
      <c r="J9" s="17">
        <v>0.42110213680373298</v>
      </c>
      <c r="K9" s="17"/>
      <c r="L9" s="17">
        <v>0.43500380285357498</v>
      </c>
      <c r="M9" s="17">
        <v>0.533425740487387</v>
      </c>
      <c r="N9" s="17">
        <v>0.49887888631070698</v>
      </c>
      <c r="O9" s="17">
        <v>0.490687554835185</v>
      </c>
    </row>
    <row r="10" spans="2:15" x14ac:dyDescent="0.3">
      <c r="B10" s="18" t="s">
        <v>104</v>
      </c>
      <c r="C10" s="17">
        <v>0.44176972699756301</v>
      </c>
      <c r="D10" s="17">
        <v>0.46397472718163002</v>
      </c>
      <c r="E10" s="17">
        <v>0.42280929182638899</v>
      </c>
      <c r="F10" s="17"/>
      <c r="G10" s="17">
        <v>0.398830501834253</v>
      </c>
      <c r="H10" s="17">
        <v>0.37455304421972901</v>
      </c>
      <c r="I10" s="17">
        <v>0.56766946370174198</v>
      </c>
      <c r="J10" s="17">
        <v>0.46255448692392998</v>
      </c>
      <c r="K10" s="17"/>
      <c r="L10" s="17">
        <v>0.50975066332767605</v>
      </c>
      <c r="M10" s="17">
        <v>0.411041268901159</v>
      </c>
      <c r="N10" s="17">
        <v>0.40384219536136101</v>
      </c>
      <c r="O10" s="17">
        <v>0.44793332152855903</v>
      </c>
    </row>
    <row r="11" spans="2:15" ht="28.8" x14ac:dyDescent="0.3">
      <c r="B11" s="18" t="s">
        <v>105</v>
      </c>
      <c r="C11" s="17">
        <v>4.1234759617266303E-2</v>
      </c>
      <c r="D11" s="17">
        <v>4.4234415535856303E-2</v>
      </c>
      <c r="E11" s="17">
        <v>3.8539006077979797E-2</v>
      </c>
      <c r="F11" s="17"/>
      <c r="G11" s="17">
        <v>3.20716804002543E-2</v>
      </c>
      <c r="H11" s="17">
        <v>3.1267416106317003E-2</v>
      </c>
      <c r="I11" s="17">
        <v>1.9564086126542899E-2</v>
      </c>
      <c r="J11" s="17">
        <v>8.4576812006269098E-2</v>
      </c>
      <c r="K11" s="17"/>
      <c r="L11" s="17">
        <v>3.1325190548827798E-2</v>
      </c>
      <c r="M11" s="17">
        <v>4.0542114616236899E-2</v>
      </c>
      <c r="N11" s="17">
        <v>5.8451260012803097E-2</v>
      </c>
      <c r="O11" s="17">
        <v>3.3238238031040999E-2</v>
      </c>
    </row>
    <row r="12" spans="2:15" ht="28.8" x14ac:dyDescent="0.3">
      <c r="B12" s="18" t="s">
        <v>106</v>
      </c>
      <c r="C12" s="17">
        <v>1.1529097370640101E-2</v>
      </c>
      <c r="D12" s="17">
        <v>1.4599565075469501E-2</v>
      </c>
      <c r="E12" s="17">
        <v>8.5461392535704905E-3</v>
      </c>
      <c r="F12" s="17"/>
      <c r="G12" s="17">
        <v>3.8746187162700101E-3</v>
      </c>
      <c r="H12" s="17">
        <v>2.2558147556266801E-2</v>
      </c>
      <c r="I12" s="17">
        <v>2.1463256319985601E-2</v>
      </c>
      <c r="J12" s="17">
        <v>0</v>
      </c>
      <c r="K12" s="17"/>
      <c r="L12" s="17">
        <v>1.52294333627388E-2</v>
      </c>
      <c r="M12" s="17">
        <v>8.1916582022526808E-3</v>
      </c>
      <c r="N12" s="17">
        <v>4.4436126300146303E-3</v>
      </c>
      <c r="O12" s="17">
        <v>1.9094978649908601E-2</v>
      </c>
    </row>
    <row r="13" spans="2:15" x14ac:dyDescent="0.3">
      <c r="B13" s="18" t="s">
        <v>107</v>
      </c>
      <c r="C13" s="19">
        <v>1.4979357532642601E-2</v>
      </c>
      <c r="D13" s="19">
        <v>1.29781670498634E-2</v>
      </c>
      <c r="E13" s="19">
        <v>1.7087429587580999E-2</v>
      </c>
      <c r="F13" s="19"/>
      <c r="G13" s="19">
        <v>8.3214909612222207E-3</v>
      </c>
      <c r="H13" s="19">
        <v>1.9972600008239898E-2</v>
      </c>
      <c r="I13" s="19">
        <v>0</v>
      </c>
      <c r="J13" s="19">
        <v>3.1766564266067901E-2</v>
      </c>
      <c r="K13" s="19"/>
      <c r="L13" s="19">
        <v>8.69090990718226E-3</v>
      </c>
      <c r="M13" s="19">
        <v>6.7992177929642201E-3</v>
      </c>
      <c r="N13" s="19">
        <v>3.4384045685114002E-2</v>
      </c>
      <c r="O13" s="19">
        <v>9.0459069553066093E-3</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124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103</v>
      </c>
      <c r="C9" s="17">
        <v>0.31759235920727302</v>
      </c>
      <c r="D9" s="17">
        <v>0.33731209116350402</v>
      </c>
      <c r="E9" s="17">
        <v>0.30020944950254203</v>
      </c>
      <c r="F9" s="17"/>
      <c r="G9" s="17">
        <v>0.43334670317219398</v>
      </c>
      <c r="H9" s="17">
        <v>0.31959589487666801</v>
      </c>
      <c r="I9" s="17">
        <v>0.26809821175241999</v>
      </c>
      <c r="J9" s="17">
        <v>0.204413676721549</v>
      </c>
      <c r="K9" s="17"/>
      <c r="L9" s="17">
        <v>0.25175529678920899</v>
      </c>
      <c r="M9" s="17">
        <v>0.31801491272689703</v>
      </c>
      <c r="N9" s="17">
        <v>0.363733888017157</v>
      </c>
      <c r="O9" s="17">
        <v>0.33298820026473203</v>
      </c>
    </row>
    <row r="10" spans="2:15" x14ac:dyDescent="0.3">
      <c r="B10" s="18" t="s">
        <v>104</v>
      </c>
      <c r="C10" s="17">
        <v>0.52419683414879303</v>
      </c>
      <c r="D10" s="17">
        <v>0.518555903365711</v>
      </c>
      <c r="E10" s="17">
        <v>0.52636403701948298</v>
      </c>
      <c r="F10" s="17"/>
      <c r="G10" s="17">
        <v>0.44720228249787503</v>
      </c>
      <c r="H10" s="17">
        <v>0.551808841235086</v>
      </c>
      <c r="I10" s="17">
        <v>0.59111860665992499</v>
      </c>
      <c r="J10" s="17">
        <v>0.53615650175349405</v>
      </c>
      <c r="K10" s="17"/>
      <c r="L10" s="17">
        <v>0.55959320472424501</v>
      </c>
      <c r="M10" s="17">
        <v>0.557315526875093</v>
      </c>
      <c r="N10" s="17">
        <v>0.45435147898894201</v>
      </c>
      <c r="O10" s="17">
        <v>0.52883858039700804</v>
      </c>
    </row>
    <row r="11" spans="2:15" ht="28.8" x14ac:dyDescent="0.3">
      <c r="B11" s="18" t="s">
        <v>105</v>
      </c>
      <c r="C11" s="17">
        <v>0.10661362722697899</v>
      </c>
      <c r="D11" s="17">
        <v>9.1334349199596196E-2</v>
      </c>
      <c r="E11" s="17">
        <v>0.122652441996837</v>
      </c>
      <c r="F11" s="17"/>
      <c r="G11" s="17">
        <v>8.6777196806930398E-2</v>
      </c>
      <c r="H11" s="17">
        <v>0.100695122154389</v>
      </c>
      <c r="I11" s="17">
        <v>8.1927194133104897E-2</v>
      </c>
      <c r="J11" s="17">
        <v>0.162523022851815</v>
      </c>
      <c r="K11" s="17"/>
      <c r="L11" s="17">
        <v>0.123470217848379</v>
      </c>
      <c r="M11" s="17">
        <v>8.0191412924525293E-2</v>
      </c>
      <c r="N11" s="17">
        <v>0.12455355954234799</v>
      </c>
      <c r="O11" s="17">
        <v>9.8746007134751401E-2</v>
      </c>
    </row>
    <row r="12" spans="2:15" ht="28.8" x14ac:dyDescent="0.3">
      <c r="B12" s="18" t="s">
        <v>106</v>
      </c>
      <c r="C12" s="17">
        <v>2.7779225267077701E-2</v>
      </c>
      <c r="D12" s="17">
        <v>2.5825112972166199E-2</v>
      </c>
      <c r="E12" s="17">
        <v>2.99335488767353E-2</v>
      </c>
      <c r="F12" s="17"/>
      <c r="G12" s="17">
        <v>3.8746187162700101E-3</v>
      </c>
      <c r="H12" s="17">
        <v>1.6277140768242101E-2</v>
      </c>
      <c r="I12" s="17">
        <v>4.3121267926694802E-2</v>
      </c>
      <c r="J12" s="17">
        <v>5.8165929615469097E-2</v>
      </c>
      <c r="K12" s="17"/>
      <c r="L12" s="17">
        <v>4.4380968853363199E-2</v>
      </c>
      <c r="M12" s="17">
        <v>1.7528920287154699E-2</v>
      </c>
      <c r="N12" s="17">
        <v>1.97286313576104E-2</v>
      </c>
      <c r="O12" s="17">
        <v>3.09258016520263E-2</v>
      </c>
    </row>
    <row r="13" spans="2:15" x14ac:dyDescent="0.3">
      <c r="B13" s="18" t="s">
        <v>107</v>
      </c>
      <c r="C13" s="19">
        <v>2.3817954149876901E-2</v>
      </c>
      <c r="D13" s="19">
        <v>2.6972543299022302E-2</v>
      </c>
      <c r="E13" s="19">
        <v>2.08405226044018E-2</v>
      </c>
      <c r="F13" s="19"/>
      <c r="G13" s="19">
        <v>2.8799198806730701E-2</v>
      </c>
      <c r="H13" s="19">
        <v>1.16230009656146E-2</v>
      </c>
      <c r="I13" s="19">
        <v>1.5734719527855299E-2</v>
      </c>
      <c r="J13" s="19">
        <v>3.8740869057673398E-2</v>
      </c>
      <c r="K13" s="19"/>
      <c r="L13" s="19">
        <v>2.0800311784804001E-2</v>
      </c>
      <c r="M13" s="19">
        <v>2.6949227186329298E-2</v>
      </c>
      <c r="N13" s="19">
        <v>3.7632442093943098E-2</v>
      </c>
      <c r="O13" s="19">
        <v>8.5014105514824197E-3</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125</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103</v>
      </c>
      <c r="C9" s="17">
        <v>0.28376118383426102</v>
      </c>
      <c r="D9" s="17">
        <v>0.268721033394411</v>
      </c>
      <c r="E9" s="17">
        <v>0.29791039976693101</v>
      </c>
      <c r="F9" s="17"/>
      <c r="G9" s="17">
        <v>0.37576217162215197</v>
      </c>
      <c r="H9" s="17">
        <v>0.32695110405021699</v>
      </c>
      <c r="I9" s="17">
        <v>0.164499134080142</v>
      </c>
      <c r="J9" s="17">
        <v>0.21815495460561299</v>
      </c>
      <c r="K9" s="17"/>
      <c r="L9" s="17">
        <v>0.306023975658474</v>
      </c>
      <c r="M9" s="17">
        <v>0.244173182382558</v>
      </c>
      <c r="N9" s="17">
        <v>0.27982680755216999</v>
      </c>
      <c r="O9" s="17">
        <v>0.30834772545308298</v>
      </c>
    </row>
    <row r="10" spans="2:15" x14ac:dyDescent="0.3">
      <c r="B10" s="18" t="s">
        <v>104</v>
      </c>
      <c r="C10" s="17">
        <v>0.50544032515684401</v>
      </c>
      <c r="D10" s="17">
        <v>0.53420267549188905</v>
      </c>
      <c r="E10" s="17">
        <v>0.47604837690828</v>
      </c>
      <c r="F10" s="17"/>
      <c r="G10" s="17">
        <v>0.44344638359663702</v>
      </c>
      <c r="H10" s="17">
        <v>0.46361344679312599</v>
      </c>
      <c r="I10" s="17">
        <v>0.63787377028576397</v>
      </c>
      <c r="J10" s="17">
        <v>0.51675195249874994</v>
      </c>
      <c r="K10" s="17"/>
      <c r="L10" s="17">
        <v>0.43816495819275902</v>
      </c>
      <c r="M10" s="17">
        <v>0.56155650431916004</v>
      </c>
      <c r="N10" s="17">
        <v>0.48611482163004099</v>
      </c>
      <c r="O10" s="17">
        <v>0.53328424941853503</v>
      </c>
    </row>
    <row r="11" spans="2:15" ht="28.8" x14ac:dyDescent="0.3">
      <c r="B11" s="18" t="s">
        <v>105</v>
      </c>
      <c r="C11" s="17">
        <v>0.14813568368709201</v>
      </c>
      <c r="D11" s="17">
        <v>0.14302622344843799</v>
      </c>
      <c r="E11" s="17">
        <v>0.15431883555055001</v>
      </c>
      <c r="F11" s="17"/>
      <c r="G11" s="17">
        <v>0.13829183525368999</v>
      </c>
      <c r="H11" s="17">
        <v>0.14089717379677499</v>
      </c>
      <c r="I11" s="17">
        <v>0.16532106724057499</v>
      </c>
      <c r="J11" s="17">
        <v>0.15465509870615499</v>
      </c>
      <c r="K11" s="17"/>
      <c r="L11" s="17">
        <v>0.18041336456106299</v>
      </c>
      <c r="M11" s="17">
        <v>0.140437172913669</v>
      </c>
      <c r="N11" s="17">
        <v>0.170311225238195</v>
      </c>
      <c r="O11" s="17">
        <v>0.10011623075265499</v>
      </c>
    </row>
    <row r="12" spans="2:15" ht="28.8" x14ac:dyDescent="0.3">
      <c r="B12" s="18" t="s">
        <v>106</v>
      </c>
      <c r="C12" s="17">
        <v>1.98216356951392E-2</v>
      </c>
      <c r="D12" s="17">
        <v>2.0898783547364699E-2</v>
      </c>
      <c r="E12" s="17">
        <v>1.8890159259767801E-2</v>
      </c>
      <c r="F12" s="17"/>
      <c r="G12" s="17">
        <v>3.93965104140443E-3</v>
      </c>
      <c r="H12" s="17">
        <v>1.3416665741177799E-2</v>
      </c>
      <c r="I12" s="17">
        <v>2.1463256319985601E-2</v>
      </c>
      <c r="J12" s="17">
        <v>4.6421230479765797E-2</v>
      </c>
      <c r="K12" s="17"/>
      <c r="L12" s="17">
        <v>2.8695430293736199E-2</v>
      </c>
      <c r="M12" s="17">
        <v>2.20789336175988E-2</v>
      </c>
      <c r="N12" s="17">
        <v>6.78102741353018E-3</v>
      </c>
      <c r="O12" s="17">
        <v>2.2646861394124002E-2</v>
      </c>
    </row>
    <row r="13" spans="2:15" x14ac:dyDescent="0.3">
      <c r="B13" s="18" t="s">
        <v>107</v>
      </c>
      <c r="C13" s="19">
        <v>4.2841171626663802E-2</v>
      </c>
      <c r="D13" s="19">
        <v>3.3151284117897202E-2</v>
      </c>
      <c r="E13" s="19">
        <v>5.28322285144718E-2</v>
      </c>
      <c r="F13" s="19"/>
      <c r="G13" s="19">
        <v>3.8559958486117103E-2</v>
      </c>
      <c r="H13" s="19">
        <v>5.5121609618703701E-2</v>
      </c>
      <c r="I13" s="19">
        <v>1.0842772073534099E-2</v>
      </c>
      <c r="J13" s="19">
        <v>6.4016763709715596E-2</v>
      </c>
      <c r="K13" s="19"/>
      <c r="L13" s="19">
        <v>4.6702271293968103E-2</v>
      </c>
      <c r="M13" s="19">
        <v>3.17542067670138E-2</v>
      </c>
      <c r="N13" s="19">
        <v>5.6966118166063902E-2</v>
      </c>
      <c r="O13" s="19">
        <v>3.5604932981602701E-2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126</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103</v>
      </c>
      <c r="C9" s="17">
        <v>4.5109827305553497E-2</v>
      </c>
      <c r="D9" s="17">
        <v>4.5619521068830202E-2</v>
      </c>
      <c r="E9" s="17">
        <v>4.49294412948745E-2</v>
      </c>
      <c r="F9" s="17"/>
      <c r="G9" s="17">
        <v>4.1170626920455498E-2</v>
      </c>
      <c r="H9" s="17">
        <v>5.3445216734653002E-2</v>
      </c>
      <c r="I9" s="17">
        <v>4.9490230713541701E-2</v>
      </c>
      <c r="J9" s="17">
        <v>3.7136920545497401E-2</v>
      </c>
      <c r="K9" s="17"/>
      <c r="L9" s="17">
        <v>5.1822179761283199E-2</v>
      </c>
      <c r="M9" s="17">
        <v>5.0320820358921499E-2</v>
      </c>
      <c r="N9" s="17">
        <v>6.0426756136624002E-2</v>
      </c>
      <c r="O9" s="17">
        <v>1.6198370028450201E-2</v>
      </c>
    </row>
    <row r="10" spans="2:15" x14ac:dyDescent="0.3">
      <c r="B10" s="18" t="s">
        <v>104</v>
      </c>
      <c r="C10" s="17">
        <v>0.152884155959157</v>
      </c>
      <c r="D10" s="17">
        <v>0.124007887860255</v>
      </c>
      <c r="E10" s="17">
        <v>0.18284167497968501</v>
      </c>
      <c r="F10" s="17"/>
      <c r="G10" s="17">
        <v>0.133098558534958</v>
      </c>
      <c r="H10" s="17">
        <v>0.20002407037401601</v>
      </c>
      <c r="I10" s="17">
        <v>0.10639886604707</v>
      </c>
      <c r="J10" s="17">
        <v>0.168768979686266</v>
      </c>
      <c r="K10" s="17"/>
      <c r="L10" s="17">
        <v>0.22721178842763901</v>
      </c>
      <c r="M10" s="17">
        <v>0.13149226839584499</v>
      </c>
      <c r="N10" s="17">
        <v>0.13633713105704601</v>
      </c>
      <c r="O10" s="17">
        <v>0.119494952240614</v>
      </c>
    </row>
    <row r="11" spans="2:15" ht="28.8" x14ac:dyDescent="0.3">
      <c r="B11" s="18" t="s">
        <v>105</v>
      </c>
      <c r="C11" s="17">
        <v>0.38075560714066597</v>
      </c>
      <c r="D11" s="17">
        <v>0.391614280857771</v>
      </c>
      <c r="E11" s="17">
        <v>0.36833835101710499</v>
      </c>
      <c r="F11" s="17"/>
      <c r="G11" s="17">
        <v>0.312406118194824</v>
      </c>
      <c r="H11" s="17">
        <v>0.37608411438969802</v>
      </c>
      <c r="I11" s="17">
        <v>0.38811593766383001</v>
      </c>
      <c r="J11" s="17">
        <v>0.47132074032745203</v>
      </c>
      <c r="K11" s="17"/>
      <c r="L11" s="17">
        <v>0.35082034885414098</v>
      </c>
      <c r="M11" s="17">
        <v>0.41411518499545702</v>
      </c>
      <c r="N11" s="17">
        <v>0.31190632318508599</v>
      </c>
      <c r="O11" s="17">
        <v>0.44939077111103498</v>
      </c>
    </row>
    <row r="12" spans="2:15" ht="28.8" x14ac:dyDescent="0.3">
      <c r="B12" s="18" t="s">
        <v>106</v>
      </c>
      <c r="C12" s="17">
        <v>0.38743110713619999</v>
      </c>
      <c r="D12" s="17">
        <v>0.40699399130423403</v>
      </c>
      <c r="E12" s="17">
        <v>0.37071380099467599</v>
      </c>
      <c r="F12" s="17"/>
      <c r="G12" s="17">
        <v>0.48179259356475501</v>
      </c>
      <c r="H12" s="17">
        <v>0.34421826429960201</v>
      </c>
      <c r="I12" s="17">
        <v>0.45599496557555802</v>
      </c>
      <c r="J12" s="17">
        <v>0.24623051094530901</v>
      </c>
      <c r="K12" s="17"/>
      <c r="L12" s="17">
        <v>0.34682747094177302</v>
      </c>
      <c r="M12" s="17">
        <v>0.36975423588877798</v>
      </c>
      <c r="N12" s="17">
        <v>0.44717837746630701</v>
      </c>
      <c r="O12" s="17">
        <v>0.38232456196644798</v>
      </c>
    </row>
    <row r="13" spans="2:15" x14ac:dyDescent="0.3">
      <c r="B13" s="18" t="s">
        <v>107</v>
      </c>
      <c r="C13" s="19">
        <v>3.3819302458424398E-2</v>
      </c>
      <c r="D13" s="19">
        <v>3.1764318908910197E-2</v>
      </c>
      <c r="E13" s="19">
        <v>3.3176731713659299E-2</v>
      </c>
      <c r="F13" s="19"/>
      <c r="G13" s="19">
        <v>3.1532102785007302E-2</v>
      </c>
      <c r="H13" s="19">
        <v>2.6228334202031699E-2</v>
      </c>
      <c r="I13" s="19">
        <v>0</v>
      </c>
      <c r="J13" s="19">
        <v>7.6542848495475505E-2</v>
      </c>
      <c r="K13" s="19"/>
      <c r="L13" s="19">
        <v>2.3318212015163899E-2</v>
      </c>
      <c r="M13" s="19">
        <v>3.4317490360997301E-2</v>
      </c>
      <c r="N13" s="19">
        <v>4.4151412154936398E-2</v>
      </c>
      <c r="O13" s="19">
        <v>3.2591344653453098E-2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127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103</v>
      </c>
      <c r="C9" s="17">
        <v>0.21108739766515699</v>
      </c>
      <c r="D9" s="17">
        <v>0.24453591279813</v>
      </c>
      <c r="E9" s="17">
        <v>0.17627352907830901</v>
      </c>
      <c r="F9" s="17"/>
      <c r="G9" s="17">
        <v>0.30620275632655503</v>
      </c>
      <c r="H9" s="17">
        <v>0.15691166914138999</v>
      </c>
      <c r="I9" s="17">
        <v>0.15599084214574499</v>
      </c>
      <c r="J9" s="17">
        <v>0.200731632511019</v>
      </c>
      <c r="K9" s="17"/>
      <c r="L9" s="17">
        <v>0.19822620881317601</v>
      </c>
      <c r="M9" s="17">
        <v>0.20081927692065199</v>
      </c>
      <c r="N9" s="17">
        <v>0.26423218002332999</v>
      </c>
      <c r="O9" s="17">
        <v>0.17742108097547701</v>
      </c>
    </row>
    <row r="10" spans="2:15" x14ac:dyDescent="0.3">
      <c r="B10" s="18" t="s">
        <v>104</v>
      </c>
      <c r="C10" s="17">
        <v>0.49222333282853198</v>
      </c>
      <c r="D10" s="17">
        <v>0.49724524092801597</v>
      </c>
      <c r="E10" s="17">
        <v>0.48644849680959101</v>
      </c>
      <c r="F10" s="17"/>
      <c r="G10" s="17">
        <v>0.51852243191576397</v>
      </c>
      <c r="H10" s="17">
        <v>0.47170015869380599</v>
      </c>
      <c r="I10" s="17">
        <v>0.50345212611041901</v>
      </c>
      <c r="J10" s="17">
        <v>0.46701187492034701</v>
      </c>
      <c r="K10" s="17"/>
      <c r="L10" s="17">
        <v>0.49075416163039298</v>
      </c>
      <c r="M10" s="17">
        <v>0.51426740410738303</v>
      </c>
      <c r="N10" s="17">
        <v>0.45868092971482599</v>
      </c>
      <c r="O10" s="17">
        <v>0.506316030721087</v>
      </c>
    </row>
    <row r="11" spans="2:15" ht="28.8" x14ac:dyDescent="0.3">
      <c r="B11" s="18" t="s">
        <v>105</v>
      </c>
      <c r="C11" s="17">
        <v>0.233059573244739</v>
      </c>
      <c r="D11" s="17">
        <v>0.201243437181093</v>
      </c>
      <c r="E11" s="17">
        <v>0.26653787538562901</v>
      </c>
      <c r="F11" s="17"/>
      <c r="G11" s="17">
        <v>0.16296211206748901</v>
      </c>
      <c r="H11" s="17">
        <v>0.30161394050941698</v>
      </c>
      <c r="I11" s="17">
        <v>0.219861183602961</v>
      </c>
      <c r="J11" s="17">
        <v>0.26038209636946702</v>
      </c>
      <c r="K11" s="17"/>
      <c r="L11" s="17">
        <v>0.231930004205843</v>
      </c>
      <c r="M11" s="17">
        <v>0.203781847816877</v>
      </c>
      <c r="N11" s="17">
        <v>0.20309287878052701</v>
      </c>
      <c r="O11" s="17">
        <v>0.29814879621650198</v>
      </c>
    </row>
    <row r="12" spans="2:15" ht="28.8" x14ac:dyDescent="0.3">
      <c r="B12" s="18" t="s">
        <v>106</v>
      </c>
      <c r="C12" s="17">
        <v>4.8266865366929798E-2</v>
      </c>
      <c r="D12" s="17">
        <v>5.1547877084329299E-2</v>
      </c>
      <c r="E12" s="17">
        <v>4.5341321079639202E-2</v>
      </c>
      <c r="F12" s="17"/>
      <c r="G12" s="17">
        <v>3.46604819564894E-3</v>
      </c>
      <c r="H12" s="17">
        <v>5.5381270453640802E-2</v>
      </c>
      <c r="I12" s="17">
        <v>0.111168641210661</v>
      </c>
      <c r="J12" s="17">
        <v>4.1482328810751902E-2</v>
      </c>
      <c r="K12" s="17"/>
      <c r="L12" s="17">
        <v>7.0398715443405396E-2</v>
      </c>
      <c r="M12" s="17">
        <v>7.4332253362123998E-2</v>
      </c>
      <c r="N12" s="17">
        <v>3.7429780622805602E-2</v>
      </c>
      <c r="O12" s="17">
        <v>9.8351518290311097E-3</v>
      </c>
    </row>
    <row r="13" spans="2:15" x14ac:dyDescent="0.3">
      <c r="B13" s="18" t="s">
        <v>107</v>
      </c>
      <c r="C13" s="19">
        <v>1.5362830894643201E-2</v>
      </c>
      <c r="D13" s="19">
        <v>5.4275320084305797E-3</v>
      </c>
      <c r="E13" s="19">
        <v>2.5398777646832099E-2</v>
      </c>
      <c r="F13" s="19"/>
      <c r="G13" s="19">
        <v>8.8466514945444892E-3</v>
      </c>
      <c r="H13" s="19">
        <v>1.4392961201746299E-2</v>
      </c>
      <c r="I13" s="19">
        <v>9.5272069302143794E-3</v>
      </c>
      <c r="J13" s="19">
        <v>3.0392067388415E-2</v>
      </c>
      <c r="K13" s="19"/>
      <c r="L13" s="19">
        <v>8.69090990718226E-3</v>
      </c>
      <c r="M13" s="19">
        <v>6.7992177929642201E-3</v>
      </c>
      <c r="N13" s="19">
        <v>3.6564230858510703E-2</v>
      </c>
      <c r="O13" s="19">
        <v>8.2789402579022692E-3</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128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103</v>
      </c>
      <c r="C9" s="17">
        <v>0.12582407515482699</v>
      </c>
      <c r="D9" s="17">
        <v>8.0665934450489502E-2</v>
      </c>
      <c r="E9" s="17">
        <v>0.17184774543384901</v>
      </c>
      <c r="F9" s="17"/>
      <c r="G9" s="17">
        <v>8.9092923216128203E-2</v>
      </c>
      <c r="H9" s="17">
        <v>0.18284373018898301</v>
      </c>
      <c r="I9" s="17">
        <v>0.124507804051016</v>
      </c>
      <c r="J9" s="17">
        <v>0.111116079452959</v>
      </c>
      <c r="K9" s="17"/>
      <c r="L9" s="17">
        <v>0.20313094127387099</v>
      </c>
      <c r="M9" s="17">
        <v>0.107173282951398</v>
      </c>
      <c r="N9" s="17">
        <v>0.114201252710045</v>
      </c>
      <c r="O9" s="17">
        <v>8.1172331024350203E-2</v>
      </c>
    </row>
    <row r="10" spans="2:15" x14ac:dyDescent="0.3">
      <c r="B10" s="18" t="s">
        <v>104</v>
      </c>
      <c r="C10" s="17">
        <v>0.33818289339258001</v>
      </c>
      <c r="D10" s="17">
        <v>0.344569109292164</v>
      </c>
      <c r="E10" s="17">
        <v>0.32992276677187399</v>
      </c>
      <c r="F10" s="17"/>
      <c r="G10" s="17">
        <v>0.28961316132388298</v>
      </c>
      <c r="H10" s="17">
        <v>0.30098598880028499</v>
      </c>
      <c r="I10" s="17">
        <v>0.31611016432763001</v>
      </c>
      <c r="J10" s="17">
        <v>0.466441021344839</v>
      </c>
      <c r="K10" s="17"/>
      <c r="L10" s="17">
        <v>0.37102120742864397</v>
      </c>
      <c r="M10" s="17">
        <v>0.35031650416010801</v>
      </c>
      <c r="N10" s="17">
        <v>0.306415628688819</v>
      </c>
      <c r="O10" s="17">
        <v>0.32670629241446297</v>
      </c>
    </row>
    <row r="11" spans="2:15" ht="28.8" x14ac:dyDescent="0.3">
      <c r="B11" s="18" t="s">
        <v>105</v>
      </c>
      <c r="C11" s="17">
        <v>0.32473258738683702</v>
      </c>
      <c r="D11" s="17">
        <v>0.34355930294999498</v>
      </c>
      <c r="E11" s="17">
        <v>0.30829371073172301</v>
      </c>
      <c r="F11" s="17"/>
      <c r="G11" s="17">
        <v>0.296609511231478</v>
      </c>
      <c r="H11" s="17">
        <v>0.36846720466251498</v>
      </c>
      <c r="I11" s="17">
        <v>0.36526279068789702</v>
      </c>
      <c r="J11" s="17">
        <v>0.26935618823861501</v>
      </c>
      <c r="K11" s="17"/>
      <c r="L11" s="17">
        <v>0.22781517279660701</v>
      </c>
      <c r="M11" s="17">
        <v>0.37228774806135201</v>
      </c>
      <c r="N11" s="17">
        <v>0.30085468482559602</v>
      </c>
      <c r="O11" s="17">
        <v>0.39635990538976701</v>
      </c>
    </row>
    <row r="12" spans="2:15" ht="28.8" x14ac:dyDescent="0.3">
      <c r="B12" s="18" t="s">
        <v>106</v>
      </c>
      <c r="C12" s="17">
        <v>0.18512254826737501</v>
      </c>
      <c r="D12" s="17">
        <v>0.21085730261125299</v>
      </c>
      <c r="E12" s="17">
        <v>0.16076611652776601</v>
      </c>
      <c r="F12" s="17"/>
      <c r="G12" s="17">
        <v>0.30012525043760802</v>
      </c>
      <c r="H12" s="17">
        <v>0.106292440704065</v>
      </c>
      <c r="I12" s="17">
        <v>0.194119240933457</v>
      </c>
      <c r="J12" s="17">
        <v>0.11816743468734101</v>
      </c>
      <c r="K12" s="17"/>
      <c r="L12" s="17">
        <v>0.157557865855109</v>
      </c>
      <c r="M12" s="17">
        <v>0.149885524468198</v>
      </c>
      <c r="N12" s="17">
        <v>0.25128673502993598</v>
      </c>
      <c r="O12" s="17">
        <v>0.178915856985981</v>
      </c>
    </row>
    <row r="13" spans="2:15" x14ac:dyDescent="0.3">
      <c r="B13" s="18" t="s">
        <v>107</v>
      </c>
      <c r="C13" s="19">
        <v>2.61378957983802E-2</v>
      </c>
      <c r="D13" s="19">
        <v>2.0348350696098999E-2</v>
      </c>
      <c r="E13" s="19">
        <v>2.91696605347883E-2</v>
      </c>
      <c r="F13" s="19"/>
      <c r="G13" s="19">
        <v>2.4559153790903499E-2</v>
      </c>
      <c r="H13" s="19">
        <v>4.1410635644151997E-2</v>
      </c>
      <c r="I13" s="19">
        <v>0</v>
      </c>
      <c r="J13" s="19">
        <v>3.4919276276247503E-2</v>
      </c>
      <c r="K13" s="19"/>
      <c r="L13" s="19">
        <v>4.0474812645768403E-2</v>
      </c>
      <c r="M13" s="19">
        <v>2.0336940358944001E-2</v>
      </c>
      <c r="N13" s="19">
        <v>2.7241698745604101E-2</v>
      </c>
      <c r="O13" s="19">
        <v>1.6845614185438298E-2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K21"/>
  <sheetViews>
    <sheetView showGridLines="0" workbookViewId="0">
      <pane xSplit="2" topLeftCell="C1" activePane="topRight" state="frozen"/>
      <selection pane="topRight" activeCell="D13" sqref="D13"/>
    </sheetView>
  </sheetViews>
  <sheetFormatPr defaultColWidth="11.5546875" defaultRowHeight="14.4" x14ac:dyDescent="0.3"/>
  <cols>
    <col min="2" max="2" width="25.6640625" customWidth="1"/>
    <col min="3" max="11" width="20.6640625" customWidth="1"/>
  </cols>
  <sheetData>
    <row r="2" spans="2:11" ht="40.049999999999997" customHeight="1" x14ac:dyDescent="0.3">
      <c r="D2" s="30" t="s">
        <v>145</v>
      </c>
      <c r="E2" s="26"/>
      <c r="F2" s="26"/>
      <c r="G2" s="26"/>
      <c r="H2" s="26"/>
      <c r="I2" s="26"/>
      <c r="J2" s="26"/>
      <c r="K2" s="26"/>
    </row>
    <row r="6" spans="2:11" ht="49.95" customHeight="1" x14ac:dyDescent="0.3">
      <c r="B6" s="20" t="s">
        <v>14</v>
      </c>
      <c r="C6" s="20" t="s">
        <v>129</v>
      </c>
      <c r="D6" s="20" t="s">
        <v>130</v>
      </c>
      <c r="E6" s="20" t="s">
        <v>131</v>
      </c>
      <c r="F6" s="20" t="s">
        <v>132</v>
      </c>
      <c r="G6" s="20" t="s">
        <v>133</v>
      </c>
      <c r="H6" s="20" t="s">
        <v>134</v>
      </c>
      <c r="I6" s="20" t="s">
        <v>135</v>
      </c>
      <c r="J6" s="20" t="s">
        <v>136</v>
      </c>
    </row>
    <row r="7" spans="2:11" x14ac:dyDescent="0.3">
      <c r="B7" s="18" t="s">
        <v>137</v>
      </c>
      <c r="C7" s="17">
        <v>0.14536289900344801</v>
      </c>
      <c r="D7" s="17">
        <v>0.17653140105923601</v>
      </c>
      <c r="E7" s="17">
        <v>0.110352813075017</v>
      </c>
      <c r="F7" s="17">
        <v>7.6091037153294697E-2</v>
      </c>
      <c r="G7" s="17">
        <v>8.0201968897607598E-2</v>
      </c>
      <c r="H7" s="17">
        <v>4.1148875130451103E-2</v>
      </c>
      <c r="I7" s="17">
        <v>5.0284743102722997E-2</v>
      </c>
      <c r="J7" s="17">
        <v>4.7355038449455301E-2</v>
      </c>
    </row>
    <row r="8" spans="2:11" x14ac:dyDescent="0.3">
      <c r="B8" s="18" t="s">
        <v>138</v>
      </c>
      <c r="C8" s="17">
        <v>0.51262582299247506</v>
      </c>
      <c r="D8" s="17">
        <v>0.48560369327240099</v>
      </c>
      <c r="E8" s="17">
        <v>0.42371582494377202</v>
      </c>
      <c r="F8" s="17">
        <v>0.42037595092728702</v>
      </c>
      <c r="G8" s="17">
        <v>0.26985095811898302</v>
      </c>
      <c r="H8" s="17">
        <v>0.23527306930091099</v>
      </c>
      <c r="I8" s="17">
        <v>0.19691903774917099</v>
      </c>
      <c r="J8" s="17">
        <v>0.20129196967379701</v>
      </c>
    </row>
    <row r="9" spans="2:11" x14ac:dyDescent="0.3">
      <c r="B9" s="18" t="s">
        <v>139</v>
      </c>
      <c r="C9" s="17">
        <v>0.19536207084076301</v>
      </c>
      <c r="D9" s="17">
        <v>0.19451205496250201</v>
      </c>
      <c r="E9" s="17">
        <v>0.26838633283016899</v>
      </c>
      <c r="F9" s="17">
        <v>0.30147629115045199</v>
      </c>
      <c r="G9" s="17">
        <v>0.27315663196148998</v>
      </c>
      <c r="H9" s="17">
        <v>0.25409174485328001</v>
      </c>
      <c r="I9" s="17">
        <v>0.25572564286629901</v>
      </c>
      <c r="J9" s="17">
        <v>0.20602979453276199</v>
      </c>
    </row>
    <row r="10" spans="2:11" x14ac:dyDescent="0.3">
      <c r="B10" s="18" t="s">
        <v>140</v>
      </c>
      <c r="C10" s="17">
        <v>6.2925037793299499E-2</v>
      </c>
      <c r="D10" s="17">
        <v>0.10044885192148501</v>
      </c>
      <c r="E10" s="17">
        <v>0.118492805376163</v>
      </c>
      <c r="F10" s="17">
        <v>0.13947140290590301</v>
      </c>
      <c r="G10" s="17">
        <v>0.25376354351174402</v>
      </c>
      <c r="H10" s="17">
        <v>0.32001083754944798</v>
      </c>
      <c r="I10" s="17">
        <v>0.33872251198671599</v>
      </c>
      <c r="J10" s="17">
        <v>0.34455193371393</v>
      </c>
    </row>
    <row r="11" spans="2:11" x14ac:dyDescent="0.3">
      <c r="B11" s="18" t="s">
        <v>141</v>
      </c>
      <c r="C11" s="17">
        <v>3.0477181991760801E-2</v>
      </c>
      <c r="D11" s="17">
        <v>3.7898305450238097E-2</v>
      </c>
      <c r="E11" s="17">
        <v>3.8173335439697302E-2</v>
      </c>
      <c r="F11" s="17">
        <v>3.1362921431295203E-2</v>
      </c>
      <c r="G11" s="17">
        <v>8.8973180073463901E-2</v>
      </c>
      <c r="H11" s="17">
        <v>0.108014069033119</v>
      </c>
      <c r="I11" s="17">
        <v>0.128205668054377</v>
      </c>
      <c r="J11" s="17">
        <v>0.17753768599598599</v>
      </c>
    </row>
    <row r="12" spans="2:11" x14ac:dyDescent="0.3">
      <c r="B12" s="18" t="s">
        <v>142</v>
      </c>
      <c r="C12" s="17">
        <v>5.3246987378254597E-2</v>
      </c>
      <c r="D12" s="17">
        <v>5.0056933341367403E-3</v>
      </c>
      <c r="E12" s="17">
        <v>4.0878888335181697E-2</v>
      </c>
      <c r="F12" s="17">
        <v>3.1222396431767802E-2</v>
      </c>
      <c r="G12" s="17">
        <v>3.4053717436710998E-2</v>
      </c>
      <c r="H12" s="17">
        <v>4.1461404132790702E-2</v>
      </c>
      <c r="I12" s="17">
        <v>3.0142396240714499E-2</v>
      </c>
      <c r="J12" s="17">
        <v>2.3233577634070801E-2</v>
      </c>
    </row>
    <row r="13" spans="2:11" x14ac:dyDescent="0.3">
      <c r="B13" s="22" t="s">
        <v>143</v>
      </c>
      <c r="C13" s="21">
        <v>0.65798872199592195</v>
      </c>
      <c r="D13" s="21">
        <v>0.66213509433163797</v>
      </c>
      <c r="E13" s="21">
        <v>0.53406863801878901</v>
      </c>
      <c r="F13" s="21">
        <v>0.49646698808058098</v>
      </c>
      <c r="G13" s="21">
        <v>0.35005292701659102</v>
      </c>
      <c r="H13" s="21">
        <v>0.27642194443136198</v>
      </c>
      <c r="I13" s="21">
        <v>0.24720378085189401</v>
      </c>
      <c r="J13" s="21">
        <v>0.24864700812325199</v>
      </c>
    </row>
    <row r="14" spans="2:11" x14ac:dyDescent="0.3">
      <c r="B14" s="22" t="s">
        <v>144</v>
      </c>
      <c r="C14" s="21">
        <v>9.3402219785060303E-2</v>
      </c>
      <c r="D14" s="21">
        <v>0.13834715737172401</v>
      </c>
      <c r="E14" s="21">
        <v>0.15666614081586</v>
      </c>
      <c r="F14" s="21">
        <v>0.170834324337199</v>
      </c>
      <c r="G14" s="21">
        <v>0.34273672358520801</v>
      </c>
      <c r="H14" s="21">
        <v>0.42802490658256698</v>
      </c>
      <c r="I14" s="21">
        <v>0.46692818004109299</v>
      </c>
      <c r="J14" s="21">
        <v>0.52208961970991496</v>
      </c>
    </row>
    <row r="15" spans="2:11" x14ac:dyDescent="0.3">
      <c r="B15" s="16"/>
      <c r="C15" s="16"/>
      <c r="D15" s="16"/>
      <c r="E15" s="16"/>
      <c r="F15" s="16"/>
      <c r="G15" s="16"/>
      <c r="H15" s="16"/>
      <c r="I15" s="16"/>
      <c r="J15" s="16"/>
    </row>
    <row r="16" spans="2:11" x14ac:dyDescent="0.3">
      <c r="B16" t="s">
        <v>47</v>
      </c>
    </row>
    <row r="17" spans="2:2" x14ac:dyDescent="0.3">
      <c r="B17" t="s">
        <v>48</v>
      </c>
    </row>
    <row r="21" spans="2:2" x14ac:dyDescent="0.3">
      <c r="B21"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O21"/>
  <sheetViews>
    <sheetView showGridLines="0" workbookViewId="0">
      <pane xSplit="2" topLeftCell="C1" activePane="topRight" state="frozen"/>
      <selection pane="topRight" activeCell="D13" sqref="D13"/>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146</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0.14536289900344801</v>
      </c>
      <c r="D9" s="17">
        <v>0.15710519720174601</v>
      </c>
      <c r="E9" s="17">
        <v>0.134693261914063</v>
      </c>
      <c r="F9" s="17"/>
      <c r="G9" s="17">
        <v>0.224990373930746</v>
      </c>
      <c r="H9" s="17">
        <v>0.101408227529191</v>
      </c>
      <c r="I9" s="17">
        <v>8.8380086003602601E-2</v>
      </c>
      <c r="J9" s="17">
        <v>0.144765023491009</v>
      </c>
      <c r="K9" s="17"/>
      <c r="L9" s="17">
        <v>0.14919774488696</v>
      </c>
      <c r="M9" s="17">
        <v>0.127478941023658</v>
      </c>
      <c r="N9" s="17">
        <v>0.176938359775518</v>
      </c>
      <c r="O9" s="17">
        <v>0.12656010723148101</v>
      </c>
    </row>
    <row r="10" spans="2:15" x14ac:dyDescent="0.3">
      <c r="B10" s="18" t="s">
        <v>138</v>
      </c>
      <c r="C10" s="17">
        <v>0.51262582299247506</v>
      </c>
      <c r="D10" s="17">
        <v>0.52417770650356199</v>
      </c>
      <c r="E10" s="17">
        <v>0.49753545403177502</v>
      </c>
      <c r="F10" s="17"/>
      <c r="G10" s="17">
        <v>0.53043767650033902</v>
      </c>
      <c r="H10" s="17">
        <v>0.50087845768815797</v>
      </c>
      <c r="I10" s="17">
        <v>0.520105780887682</v>
      </c>
      <c r="J10" s="17">
        <v>0.49208376333950898</v>
      </c>
      <c r="K10" s="17"/>
      <c r="L10" s="17">
        <v>0.48056517732863202</v>
      </c>
      <c r="M10" s="17">
        <v>0.49994621651776999</v>
      </c>
      <c r="N10" s="17">
        <v>0.53344243924630597</v>
      </c>
      <c r="O10" s="17">
        <v>0.53577531710412296</v>
      </c>
    </row>
    <row r="11" spans="2:15" x14ac:dyDescent="0.3">
      <c r="B11" s="18" t="s">
        <v>139</v>
      </c>
      <c r="C11" s="17">
        <v>0.19536207084076301</v>
      </c>
      <c r="D11" s="17">
        <v>0.18303688445670799</v>
      </c>
      <c r="E11" s="17">
        <v>0.20909688984168101</v>
      </c>
      <c r="F11" s="17"/>
      <c r="G11" s="17">
        <v>0.18311162476477799</v>
      </c>
      <c r="H11" s="17">
        <v>0.17203315989988099</v>
      </c>
      <c r="I11" s="17">
        <v>0.19646398984492799</v>
      </c>
      <c r="J11" s="17">
        <v>0.238327741943102</v>
      </c>
      <c r="K11" s="17"/>
      <c r="L11" s="17">
        <v>0.199634875641195</v>
      </c>
      <c r="M11" s="17">
        <v>0.225358258189127</v>
      </c>
      <c r="N11" s="17">
        <v>0.15839669709600901</v>
      </c>
      <c r="O11" s="17">
        <v>0.198866461813301</v>
      </c>
    </row>
    <row r="12" spans="2:15" x14ac:dyDescent="0.3">
      <c r="B12" s="18" t="s">
        <v>140</v>
      </c>
      <c r="C12" s="17">
        <v>6.2925037793299499E-2</v>
      </c>
      <c r="D12" s="17">
        <v>6.0253698236031203E-2</v>
      </c>
      <c r="E12" s="17">
        <v>6.6051889782001993E-2</v>
      </c>
      <c r="F12" s="17"/>
      <c r="G12" s="17">
        <v>2.7845485420408201E-2</v>
      </c>
      <c r="H12" s="17">
        <v>0.100379042289204</v>
      </c>
      <c r="I12" s="17">
        <v>8.2589116606246696E-2</v>
      </c>
      <c r="J12" s="17">
        <v>4.8628209167298098E-2</v>
      </c>
      <c r="K12" s="17"/>
      <c r="L12" s="17">
        <v>6.7566692499627296E-2</v>
      </c>
      <c r="M12" s="17">
        <v>4.41831142845674E-2</v>
      </c>
      <c r="N12" s="17">
        <v>7.4211521890980098E-2</v>
      </c>
      <c r="O12" s="17">
        <v>6.6218124846605497E-2</v>
      </c>
    </row>
    <row r="13" spans="2:15" x14ac:dyDescent="0.3">
      <c r="B13" s="18" t="s">
        <v>141</v>
      </c>
      <c r="C13" s="17">
        <v>3.0477181991760801E-2</v>
      </c>
      <c r="D13" s="17">
        <v>2.84499127007607E-2</v>
      </c>
      <c r="E13" s="17">
        <v>3.2724240108573603E-2</v>
      </c>
      <c r="F13" s="17"/>
      <c r="G13" s="17">
        <v>1.1304149531342801E-2</v>
      </c>
      <c r="H13" s="17">
        <v>2.0419033287923299E-2</v>
      </c>
      <c r="I13" s="17">
        <v>6.3268885673176706E-2</v>
      </c>
      <c r="J13" s="17">
        <v>3.7163800801065003E-2</v>
      </c>
      <c r="K13" s="17"/>
      <c r="L13" s="17">
        <v>3.7774404235123397E-2</v>
      </c>
      <c r="M13" s="17">
        <v>3.4122919661351801E-2</v>
      </c>
      <c r="N13" s="17">
        <v>2.7395086289513398E-2</v>
      </c>
      <c r="O13" s="17">
        <v>2.25969668418789E-2</v>
      </c>
    </row>
    <row r="14" spans="2:15" x14ac:dyDescent="0.3">
      <c r="B14" s="18" t="s">
        <v>142</v>
      </c>
      <c r="C14" s="17">
        <v>5.3246987378254597E-2</v>
      </c>
      <c r="D14" s="17">
        <v>4.6976600901192898E-2</v>
      </c>
      <c r="E14" s="17">
        <v>5.9898264321905002E-2</v>
      </c>
      <c r="F14" s="17"/>
      <c r="G14" s="17">
        <v>2.2310689852386101E-2</v>
      </c>
      <c r="H14" s="17">
        <v>0.104882079305642</v>
      </c>
      <c r="I14" s="17">
        <v>4.91921409843636E-2</v>
      </c>
      <c r="J14" s="17">
        <v>3.9031461258017097E-2</v>
      </c>
      <c r="K14" s="17"/>
      <c r="L14" s="17">
        <v>6.5261105408462305E-2</v>
      </c>
      <c r="M14" s="17">
        <v>6.8910550323525804E-2</v>
      </c>
      <c r="N14" s="17">
        <v>2.9615895701674399E-2</v>
      </c>
      <c r="O14" s="17">
        <v>4.9983022162610899E-2</v>
      </c>
    </row>
    <row r="15" spans="2:15" x14ac:dyDescent="0.3">
      <c r="B15" s="18" t="s">
        <v>143</v>
      </c>
      <c r="C15" s="21">
        <v>0.65798872199592195</v>
      </c>
      <c r="D15" s="21">
        <v>0.68128290370530797</v>
      </c>
      <c r="E15" s="21">
        <v>0.63222871594583896</v>
      </c>
      <c r="F15" s="21"/>
      <c r="G15" s="21">
        <v>0.75542805043108496</v>
      </c>
      <c r="H15" s="21">
        <v>0.60228668521734896</v>
      </c>
      <c r="I15" s="21">
        <v>0.60848586689128503</v>
      </c>
      <c r="J15" s="21">
        <v>0.63684878683051704</v>
      </c>
      <c r="K15" s="21"/>
      <c r="L15" s="21">
        <v>0.62976292221559205</v>
      </c>
      <c r="M15" s="21">
        <v>0.62742515754142802</v>
      </c>
      <c r="N15" s="21">
        <v>0.71038079902182405</v>
      </c>
      <c r="O15" s="21">
        <v>0.66233542433560399</v>
      </c>
    </row>
    <row r="16" spans="2:15" x14ac:dyDescent="0.3">
      <c r="B16" s="18" t="s">
        <v>144</v>
      </c>
      <c r="C16" s="21">
        <v>9.3402219785060303E-2</v>
      </c>
      <c r="D16" s="21">
        <v>8.8703610936791896E-2</v>
      </c>
      <c r="E16" s="21">
        <v>9.8776129890575604E-2</v>
      </c>
      <c r="F16" s="21"/>
      <c r="G16" s="21">
        <v>3.9149634951751E-2</v>
      </c>
      <c r="H16" s="21">
        <v>0.120798075577127</v>
      </c>
      <c r="I16" s="21">
        <v>0.145858002279423</v>
      </c>
      <c r="J16" s="21">
        <v>8.5792009968363003E-2</v>
      </c>
      <c r="K16" s="21"/>
      <c r="L16" s="21">
        <v>0.10534109673475101</v>
      </c>
      <c r="M16" s="21">
        <v>7.8306033945919201E-2</v>
      </c>
      <c r="N16" s="21">
        <v>0.101606608180493</v>
      </c>
      <c r="O16" s="21">
        <v>8.8815091688484393E-2</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O21"/>
  <sheetViews>
    <sheetView showGridLines="0" workbookViewId="0">
      <pane xSplit="2" topLeftCell="C1" activePane="topRight" state="frozen"/>
      <selection pane="topRight" activeCell="D13" sqref="D13"/>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147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8.0201968897607598E-2</v>
      </c>
      <c r="D9" s="17">
        <v>7.6288955492264998E-2</v>
      </c>
      <c r="E9" s="17">
        <v>8.46949836101418E-2</v>
      </c>
      <c r="F9" s="17"/>
      <c r="G9" s="17">
        <v>5.8095739142245403E-2</v>
      </c>
      <c r="H9" s="17">
        <v>7.2184688547058701E-2</v>
      </c>
      <c r="I9" s="17">
        <v>9.9522536252781096E-2</v>
      </c>
      <c r="J9" s="17">
        <v>0.10107796618601</v>
      </c>
      <c r="K9" s="17"/>
      <c r="L9" s="17">
        <v>0.10033979792809</v>
      </c>
      <c r="M9" s="17">
        <v>6.9875161583138501E-2</v>
      </c>
      <c r="N9" s="17">
        <v>8.6801405820581504E-2</v>
      </c>
      <c r="O9" s="17">
        <v>6.4023891069165395E-2</v>
      </c>
    </row>
    <row r="10" spans="2:15" x14ac:dyDescent="0.3">
      <c r="B10" s="18" t="s">
        <v>138</v>
      </c>
      <c r="C10" s="17">
        <v>0.26985095811898302</v>
      </c>
      <c r="D10" s="17">
        <v>0.239015174822897</v>
      </c>
      <c r="E10" s="17">
        <v>0.29827252227485501</v>
      </c>
      <c r="F10" s="17"/>
      <c r="G10" s="17">
        <v>0.274570191454094</v>
      </c>
      <c r="H10" s="17">
        <v>0.29461307306996998</v>
      </c>
      <c r="I10" s="17">
        <v>0.210434773446151</v>
      </c>
      <c r="J10" s="17">
        <v>0.28403596369852202</v>
      </c>
      <c r="K10" s="17"/>
      <c r="L10" s="17">
        <v>0.37104074760966299</v>
      </c>
      <c r="M10" s="17">
        <v>0.24778983297870699</v>
      </c>
      <c r="N10" s="17">
        <v>0.244607104355477</v>
      </c>
      <c r="O10" s="17">
        <v>0.219741099371491</v>
      </c>
    </row>
    <row r="11" spans="2:15" x14ac:dyDescent="0.3">
      <c r="B11" s="18" t="s">
        <v>139</v>
      </c>
      <c r="C11" s="17">
        <v>0.27315663196148998</v>
      </c>
      <c r="D11" s="17">
        <v>0.259939716501975</v>
      </c>
      <c r="E11" s="17">
        <v>0.28540740926450803</v>
      </c>
      <c r="F11" s="17"/>
      <c r="G11" s="17">
        <v>0.27853046708448098</v>
      </c>
      <c r="H11" s="17">
        <v>0.23815004808059301</v>
      </c>
      <c r="I11" s="17">
        <v>0.29881400719158602</v>
      </c>
      <c r="J11" s="17">
        <v>0.28464511975370199</v>
      </c>
      <c r="K11" s="17"/>
      <c r="L11" s="17">
        <v>0.27086884607011602</v>
      </c>
      <c r="M11" s="17">
        <v>0.33607031071535498</v>
      </c>
      <c r="N11" s="17">
        <v>0.247422846160753</v>
      </c>
      <c r="O11" s="17">
        <v>0.235642819265416</v>
      </c>
    </row>
    <row r="12" spans="2:15" x14ac:dyDescent="0.3">
      <c r="B12" s="18" t="s">
        <v>140</v>
      </c>
      <c r="C12" s="17">
        <v>0.25376354351174402</v>
      </c>
      <c r="D12" s="17">
        <v>0.29416485784485702</v>
      </c>
      <c r="E12" s="17">
        <v>0.21525744668521599</v>
      </c>
      <c r="F12" s="17"/>
      <c r="G12" s="17">
        <v>0.28894256306473498</v>
      </c>
      <c r="H12" s="17">
        <v>0.30036538313894201</v>
      </c>
      <c r="I12" s="17">
        <v>0.22609801877000901</v>
      </c>
      <c r="J12" s="17">
        <v>0.182345449136464</v>
      </c>
      <c r="K12" s="17"/>
      <c r="L12" s="17">
        <v>0.15377768658889501</v>
      </c>
      <c r="M12" s="17">
        <v>0.23192239439404899</v>
      </c>
      <c r="N12" s="17">
        <v>0.29114644228241998</v>
      </c>
      <c r="O12" s="17">
        <v>0.33674704172630598</v>
      </c>
    </row>
    <row r="13" spans="2:15" x14ac:dyDescent="0.3">
      <c r="B13" s="18" t="s">
        <v>141</v>
      </c>
      <c r="C13" s="17">
        <v>8.8973180073463901E-2</v>
      </c>
      <c r="D13" s="17">
        <v>9.5295232330295895E-2</v>
      </c>
      <c r="E13" s="17">
        <v>8.3306693793334705E-2</v>
      </c>
      <c r="F13" s="17"/>
      <c r="G13" s="17">
        <v>8.63161913698927E-2</v>
      </c>
      <c r="H13" s="17">
        <v>3.9474387100659501E-2</v>
      </c>
      <c r="I13" s="17">
        <v>0.14313606712951499</v>
      </c>
      <c r="J13" s="17">
        <v>9.9887524633395799E-2</v>
      </c>
      <c r="K13" s="17"/>
      <c r="L13" s="17">
        <v>8.2441769500282203E-2</v>
      </c>
      <c r="M13" s="17">
        <v>7.4958950094208193E-2</v>
      </c>
      <c r="N13" s="17">
        <v>0.109128959807841</v>
      </c>
      <c r="O13" s="17">
        <v>8.8745076669662998E-2</v>
      </c>
    </row>
    <row r="14" spans="2:15" x14ac:dyDescent="0.3">
      <c r="B14" s="18" t="s">
        <v>142</v>
      </c>
      <c r="C14" s="17">
        <v>3.4053717436710998E-2</v>
      </c>
      <c r="D14" s="17">
        <v>3.5296063007710002E-2</v>
      </c>
      <c r="E14" s="17">
        <v>3.3060944371944602E-2</v>
      </c>
      <c r="F14" s="17"/>
      <c r="G14" s="17">
        <v>1.35448478845515E-2</v>
      </c>
      <c r="H14" s="17">
        <v>5.5212420062775998E-2</v>
      </c>
      <c r="I14" s="17">
        <v>2.19945972099585E-2</v>
      </c>
      <c r="J14" s="17">
        <v>4.8007976591906497E-2</v>
      </c>
      <c r="K14" s="17"/>
      <c r="L14" s="17">
        <v>2.15311523029545E-2</v>
      </c>
      <c r="M14" s="17">
        <v>3.93833502345435E-2</v>
      </c>
      <c r="N14" s="17">
        <v>2.0893241572926699E-2</v>
      </c>
      <c r="O14" s="17">
        <v>5.5100071897959402E-2</v>
      </c>
    </row>
    <row r="15" spans="2:15" x14ac:dyDescent="0.3">
      <c r="B15" s="18" t="s">
        <v>143</v>
      </c>
      <c r="C15" s="21">
        <v>0.35005292701659102</v>
      </c>
      <c r="D15" s="21">
        <v>0.31530413031516202</v>
      </c>
      <c r="E15" s="21">
        <v>0.38296750588499701</v>
      </c>
      <c r="F15" s="21"/>
      <c r="G15" s="21">
        <v>0.33266593059633998</v>
      </c>
      <c r="H15" s="21">
        <v>0.36679776161702898</v>
      </c>
      <c r="I15" s="21">
        <v>0.30995730969893198</v>
      </c>
      <c r="J15" s="21">
        <v>0.38511392988453202</v>
      </c>
      <c r="K15" s="21"/>
      <c r="L15" s="21">
        <v>0.47138054553775299</v>
      </c>
      <c r="M15" s="21">
        <v>0.31766499456184499</v>
      </c>
      <c r="N15" s="21">
        <v>0.33140851017605799</v>
      </c>
      <c r="O15" s="21">
        <v>0.28376499044065601</v>
      </c>
    </row>
    <row r="16" spans="2:15" x14ac:dyDescent="0.3">
      <c r="B16" s="18" t="s">
        <v>144</v>
      </c>
      <c r="C16" s="21">
        <v>0.34273672358520801</v>
      </c>
      <c r="D16" s="21">
        <v>0.38946009017515298</v>
      </c>
      <c r="E16" s="21">
        <v>0.29856414047855101</v>
      </c>
      <c r="F16" s="21"/>
      <c r="G16" s="21">
        <v>0.37525875443462797</v>
      </c>
      <c r="H16" s="21">
        <v>0.33983977023960199</v>
      </c>
      <c r="I16" s="21">
        <v>0.369234085899524</v>
      </c>
      <c r="J16" s="21">
        <v>0.28223297376986001</v>
      </c>
      <c r="K16" s="21"/>
      <c r="L16" s="21">
        <v>0.23621945608917699</v>
      </c>
      <c r="M16" s="21">
        <v>0.30688134448825699</v>
      </c>
      <c r="N16" s="21">
        <v>0.40027540209026202</v>
      </c>
      <c r="O16" s="21">
        <v>0.42549211839596901</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O21"/>
  <sheetViews>
    <sheetView showGridLines="0" workbookViewId="0">
      <pane xSplit="2" topLeftCell="C1" activePane="topRight" state="frozen"/>
      <selection pane="topRight" activeCell="E12" sqref="E12"/>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148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0.110352813075017</v>
      </c>
      <c r="D9" s="17">
        <v>0.13732346970117301</v>
      </c>
      <c r="E9" s="17">
        <v>8.4217017662333402E-2</v>
      </c>
      <c r="F9" s="17"/>
      <c r="G9" s="17">
        <v>0.149200455220171</v>
      </c>
      <c r="H9" s="17">
        <v>8.1171726538164193E-2</v>
      </c>
      <c r="I9" s="17">
        <v>0.11477656392393901</v>
      </c>
      <c r="J9" s="17">
        <v>8.1816472756090802E-2</v>
      </c>
      <c r="K9" s="17"/>
      <c r="L9" s="17">
        <v>0.123071723216798</v>
      </c>
      <c r="M9" s="17">
        <v>7.0337832797169306E-2</v>
      </c>
      <c r="N9" s="17">
        <v>0.13979753658973201</v>
      </c>
      <c r="O9" s="17">
        <v>0.108781870636644</v>
      </c>
    </row>
    <row r="10" spans="2:15" x14ac:dyDescent="0.3">
      <c r="B10" s="18" t="s">
        <v>138</v>
      </c>
      <c r="C10" s="17">
        <v>0.42371582494377202</v>
      </c>
      <c r="D10" s="17">
        <v>0.42493007378014702</v>
      </c>
      <c r="E10" s="17">
        <v>0.42559069207642902</v>
      </c>
      <c r="F10" s="17"/>
      <c r="G10" s="17">
        <v>0.463164355219924</v>
      </c>
      <c r="H10" s="17">
        <v>0.39034537646291101</v>
      </c>
      <c r="I10" s="17">
        <v>0.42732555137914002</v>
      </c>
      <c r="J10" s="17">
        <v>0.41031207877189901</v>
      </c>
      <c r="K10" s="17"/>
      <c r="L10" s="17">
        <v>0.35265742359865399</v>
      </c>
      <c r="M10" s="17">
        <v>0.46206285267307001</v>
      </c>
      <c r="N10" s="17">
        <v>0.38281963644461298</v>
      </c>
      <c r="O10" s="17">
        <v>0.49782632490873502</v>
      </c>
    </row>
    <row r="11" spans="2:15" x14ac:dyDescent="0.3">
      <c r="B11" s="18" t="s">
        <v>139</v>
      </c>
      <c r="C11" s="17">
        <v>0.26838633283016899</v>
      </c>
      <c r="D11" s="17">
        <v>0.25581297246454698</v>
      </c>
      <c r="E11" s="17">
        <v>0.275613915107352</v>
      </c>
      <c r="F11" s="17"/>
      <c r="G11" s="17">
        <v>0.252790759056922</v>
      </c>
      <c r="H11" s="17">
        <v>0.25320088190133999</v>
      </c>
      <c r="I11" s="17">
        <v>0.26231362561563698</v>
      </c>
      <c r="J11" s="17">
        <v>0.31359007846239201</v>
      </c>
      <c r="K11" s="17"/>
      <c r="L11" s="17">
        <v>0.31939360708357001</v>
      </c>
      <c r="M11" s="17">
        <v>0.242219296933639</v>
      </c>
      <c r="N11" s="17">
        <v>0.27941673223566099</v>
      </c>
      <c r="O11" s="17">
        <v>0.23357884632163201</v>
      </c>
    </row>
    <row r="12" spans="2:15" x14ac:dyDescent="0.3">
      <c r="B12" s="18" t="s">
        <v>140</v>
      </c>
      <c r="C12" s="17">
        <v>0.118492805376163</v>
      </c>
      <c r="D12" s="17">
        <v>0.11529709263808401</v>
      </c>
      <c r="E12" s="17">
        <v>0.122548371538776</v>
      </c>
      <c r="F12" s="17"/>
      <c r="G12" s="17">
        <v>9.1365476664029305E-2</v>
      </c>
      <c r="H12" s="17">
        <v>0.16625057743574101</v>
      </c>
      <c r="I12" s="17">
        <v>0.117603343059617</v>
      </c>
      <c r="J12" s="17">
        <v>0.10134911349008199</v>
      </c>
      <c r="K12" s="17"/>
      <c r="L12" s="17">
        <v>0.15366678355869101</v>
      </c>
      <c r="M12" s="17">
        <v>0.110377718107759</v>
      </c>
      <c r="N12" s="17">
        <v>0.11370679249500799</v>
      </c>
      <c r="O12" s="17">
        <v>9.7233541088472306E-2</v>
      </c>
    </row>
    <row r="13" spans="2:15" x14ac:dyDescent="0.3">
      <c r="B13" s="18" t="s">
        <v>141</v>
      </c>
      <c r="C13" s="17">
        <v>3.8173335439697302E-2</v>
      </c>
      <c r="D13" s="17">
        <v>2.1768875499483101E-2</v>
      </c>
      <c r="E13" s="17">
        <v>5.48373084684231E-2</v>
      </c>
      <c r="F13" s="17"/>
      <c r="G13" s="17">
        <v>2.1106603427440501E-2</v>
      </c>
      <c r="H13" s="17">
        <v>2.6637951480406E-2</v>
      </c>
      <c r="I13" s="17">
        <v>6.1233291633389399E-2</v>
      </c>
      <c r="J13" s="17">
        <v>5.27371931242109E-2</v>
      </c>
      <c r="K13" s="17"/>
      <c r="L13" s="17">
        <v>2.0536278474607199E-2</v>
      </c>
      <c r="M13" s="17">
        <v>6.8452722312527498E-2</v>
      </c>
      <c r="N13" s="17">
        <v>4.7842840892803197E-2</v>
      </c>
      <c r="O13" s="17">
        <v>1.27618150128478E-2</v>
      </c>
    </row>
    <row r="14" spans="2:15" x14ac:dyDescent="0.3">
      <c r="B14" s="18" t="s">
        <v>142</v>
      </c>
      <c r="C14" s="17">
        <v>4.0878888335181697E-2</v>
      </c>
      <c r="D14" s="17">
        <v>4.4867515916566798E-2</v>
      </c>
      <c r="E14" s="17">
        <v>3.7192695146686702E-2</v>
      </c>
      <c r="F14" s="17"/>
      <c r="G14" s="17">
        <v>2.2372350411514402E-2</v>
      </c>
      <c r="H14" s="17">
        <v>8.2393486181438005E-2</v>
      </c>
      <c r="I14" s="17">
        <v>1.6747624388276702E-2</v>
      </c>
      <c r="J14" s="17">
        <v>4.0195063395325997E-2</v>
      </c>
      <c r="K14" s="17"/>
      <c r="L14" s="17">
        <v>3.0674184067680899E-2</v>
      </c>
      <c r="M14" s="17">
        <v>4.6549577175835202E-2</v>
      </c>
      <c r="N14" s="17">
        <v>3.6416461342182398E-2</v>
      </c>
      <c r="O14" s="17">
        <v>4.9817602031668198E-2</v>
      </c>
    </row>
    <row r="15" spans="2:15" x14ac:dyDescent="0.3">
      <c r="B15" s="18" t="s">
        <v>143</v>
      </c>
      <c r="C15" s="21">
        <v>0.53406863801878901</v>
      </c>
      <c r="D15" s="21">
        <v>0.56225354348131895</v>
      </c>
      <c r="E15" s="21">
        <v>0.50980770973876199</v>
      </c>
      <c r="F15" s="21"/>
      <c r="G15" s="21">
        <v>0.61236481044009405</v>
      </c>
      <c r="H15" s="21">
        <v>0.47151710300107502</v>
      </c>
      <c r="I15" s="21">
        <v>0.54210211530307895</v>
      </c>
      <c r="J15" s="21">
        <v>0.49212855152799001</v>
      </c>
      <c r="K15" s="21"/>
      <c r="L15" s="21">
        <v>0.47572914681545198</v>
      </c>
      <c r="M15" s="21">
        <v>0.532400685470239</v>
      </c>
      <c r="N15" s="21">
        <v>0.52261717303434496</v>
      </c>
      <c r="O15" s="21">
        <v>0.60660819554538004</v>
      </c>
    </row>
    <row r="16" spans="2:15" x14ac:dyDescent="0.3">
      <c r="B16" s="18" t="s">
        <v>144</v>
      </c>
      <c r="C16" s="21">
        <v>0.15666614081586</v>
      </c>
      <c r="D16" s="21">
        <v>0.137065968137567</v>
      </c>
      <c r="E16" s="21">
        <v>0.17738568000719901</v>
      </c>
      <c r="F16" s="21"/>
      <c r="G16" s="21">
        <v>0.11247208009147</v>
      </c>
      <c r="H16" s="21">
        <v>0.192888528916147</v>
      </c>
      <c r="I16" s="21">
        <v>0.17883663469300701</v>
      </c>
      <c r="J16" s="21">
        <v>0.15408630661429301</v>
      </c>
      <c r="K16" s="21"/>
      <c r="L16" s="21">
        <v>0.174203062033298</v>
      </c>
      <c r="M16" s="21">
        <v>0.17883044042028701</v>
      </c>
      <c r="N16" s="21">
        <v>0.161549633387811</v>
      </c>
      <c r="O16" s="21">
        <v>0.10999535610132</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O21"/>
  <sheetViews>
    <sheetView showGridLines="0" workbookViewId="0">
      <pane xSplit="2" topLeftCell="C1" activePane="topRight" state="frozen"/>
      <selection pane="topRight" activeCell="E14" sqref="E14"/>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149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4.1148875130451103E-2</v>
      </c>
      <c r="D9" s="17">
        <v>4.2270143313392801E-2</v>
      </c>
      <c r="E9" s="17">
        <v>4.0328746054760903E-2</v>
      </c>
      <c r="F9" s="17"/>
      <c r="G9" s="17">
        <v>4.06298322721673E-2</v>
      </c>
      <c r="H9" s="17">
        <v>2.4449293469330401E-2</v>
      </c>
      <c r="I9" s="17">
        <v>5.7929331012029101E-2</v>
      </c>
      <c r="J9" s="17">
        <v>4.5790420294377701E-2</v>
      </c>
      <c r="K9" s="17"/>
      <c r="L9" s="17">
        <v>3.3341105324246702E-2</v>
      </c>
      <c r="M9" s="17">
        <v>4.9045393099156502E-2</v>
      </c>
      <c r="N9" s="17">
        <v>6.6718189804482297E-2</v>
      </c>
      <c r="O9" s="17">
        <v>1.27618150128478E-2</v>
      </c>
    </row>
    <row r="10" spans="2:15" x14ac:dyDescent="0.3">
      <c r="B10" s="18" t="s">
        <v>138</v>
      </c>
      <c r="C10" s="17">
        <v>0.23527306930091099</v>
      </c>
      <c r="D10" s="17">
        <v>0.213007121320656</v>
      </c>
      <c r="E10" s="17">
        <v>0.25488257108490697</v>
      </c>
      <c r="F10" s="17"/>
      <c r="G10" s="17">
        <v>0.22515378888042201</v>
      </c>
      <c r="H10" s="17">
        <v>0.26583175412209298</v>
      </c>
      <c r="I10" s="17">
        <v>0.17902544654609501</v>
      </c>
      <c r="J10" s="17">
        <v>0.26695805675076001</v>
      </c>
      <c r="K10" s="17"/>
      <c r="L10" s="17">
        <v>0.27715214800956101</v>
      </c>
      <c r="M10" s="17">
        <v>0.23524071458054299</v>
      </c>
      <c r="N10" s="17">
        <v>0.22439522445222199</v>
      </c>
      <c r="O10" s="17">
        <v>0.205213128347221</v>
      </c>
    </row>
    <row r="11" spans="2:15" x14ac:dyDescent="0.3">
      <c r="B11" s="18" t="s">
        <v>139</v>
      </c>
      <c r="C11" s="17">
        <v>0.25409174485328001</v>
      </c>
      <c r="D11" s="17">
        <v>0.238888779610158</v>
      </c>
      <c r="E11" s="17">
        <v>0.268187380924089</v>
      </c>
      <c r="F11" s="17"/>
      <c r="G11" s="17">
        <v>0.24474536755236001</v>
      </c>
      <c r="H11" s="17">
        <v>0.20058925402290501</v>
      </c>
      <c r="I11" s="17">
        <v>0.29067753480840902</v>
      </c>
      <c r="J11" s="17">
        <v>0.29560692303483999</v>
      </c>
      <c r="K11" s="17"/>
      <c r="L11" s="17">
        <v>0.23716801216408701</v>
      </c>
      <c r="M11" s="17">
        <v>0.28264569695567898</v>
      </c>
      <c r="N11" s="17">
        <v>0.25529410623252302</v>
      </c>
      <c r="O11" s="17">
        <v>0.23899578908965399</v>
      </c>
    </row>
    <row r="12" spans="2:15" x14ac:dyDescent="0.3">
      <c r="B12" s="18" t="s">
        <v>140</v>
      </c>
      <c r="C12" s="17">
        <v>0.32001083754944798</v>
      </c>
      <c r="D12" s="17">
        <v>0.34517094117793401</v>
      </c>
      <c r="E12" s="17">
        <v>0.29721137086420801</v>
      </c>
      <c r="F12" s="17"/>
      <c r="G12" s="17">
        <v>0.30110988023159801</v>
      </c>
      <c r="H12" s="17">
        <v>0.37776927624960499</v>
      </c>
      <c r="I12" s="17">
        <v>0.30621024833529098</v>
      </c>
      <c r="J12" s="17">
        <v>0.28625911787557601</v>
      </c>
      <c r="K12" s="17"/>
      <c r="L12" s="17">
        <v>0.29001967598359102</v>
      </c>
      <c r="M12" s="17">
        <v>0.27777372447651999</v>
      </c>
      <c r="N12" s="17">
        <v>0.32842432808482502</v>
      </c>
      <c r="O12" s="17">
        <v>0.38632427873497599</v>
      </c>
    </row>
    <row r="13" spans="2:15" x14ac:dyDescent="0.3">
      <c r="B13" s="18" t="s">
        <v>141</v>
      </c>
      <c r="C13" s="17">
        <v>0.108014069033119</v>
      </c>
      <c r="D13" s="17">
        <v>0.121377910953104</v>
      </c>
      <c r="E13" s="17">
        <v>9.5452562125795504E-2</v>
      </c>
      <c r="F13" s="17"/>
      <c r="G13" s="17">
        <v>0.16552182519343001</v>
      </c>
      <c r="H13" s="17">
        <v>5.0432940717382302E-2</v>
      </c>
      <c r="I13" s="17">
        <v>0.14615927485775301</v>
      </c>
      <c r="J13" s="17">
        <v>6.4562704984488295E-2</v>
      </c>
      <c r="K13" s="17"/>
      <c r="L13" s="17">
        <v>9.6646872740658002E-2</v>
      </c>
      <c r="M13" s="17">
        <v>0.114155836159194</v>
      </c>
      <c r="N13" s="17">
        <v>0.10067368961859401</v>
      </c>
      <c r="O13" s="17">
        <v>0.12072629051023499</v>
      </c>
    </row>
    <row r="14" spans="2:15" x14ac:dyDescent="0.3">
      <c r="B14" s="18" t="s">
        <v>142</v>
      </c>
      <c r="C14" s="17">
        <v>4.1461404132790702E-2</v>
      </c>
      <c r="D14" s="17">
        <v>3.9285103624754902E-2</v>
      </c>
      <c r="E14" s="17">
        <v>4.3937368946240001E-2</v>
      </c>
      <c r="F14" s="17"/>
      <c r="G14" s="17">
        <v>2.2839305870022499E-2</v>
      </c>
      <c r="H14" s="17">
        <v>8.0927481418684902E-2</v>
      </c>
      <c r="I14" s="17">
        <v>1.9998164440422499E-2</v>
      </c>
      <c r="J14" s="17">
        <v>4.0822777059957002E-2</v>
      </c>
      <c r="K14" s="17"/>
      <c r="L14" s="17">
        <v>6.5672185777857398E-2</v>
      </c>
      <c r="M14" s="17">
        <v>4.1138634728907199E-2</v>
      </c>
      <c r="N14" s="17">
        <v>2.4494461807352701E-2</v>
      </c>
      <c r="O14" s="17">
        <v>3.5978698305065601E-2</v>
      </c>
    </row>
    <row r="15" spans="2:15" x14ac:dyDescent="0.3">
      <c r="B15" s="18" t="s">
        <v>143</v>
      </c>
      <c r="C15" s="21">
        <v>0.27642194443136198</v>
      </c>
      <c r="D15" s="21">
        <v>0.25527726463404798</v>
      </c>
      <c r="E15" s="21">
        <v>0.29521131713966797</v>
      </c>
      <c r="F15" s="21"/>
      <c r="G15" s="21">
        <v>0.26578362115259002</v>
      </c>
      <c r="H15" s="21">
        <v>0.29028104759142298</v>
      </c>
      <c r="I15" s="21">
        <v>0.236954777558125</v>
      </c>
      <c r="J15" s="21">
        <v>0.31274847704513797</v>
      </c>
      <c r="K15" s="21"/>
      <c r="L15" s="21">
        <v>0.31049325333380701</v>
      </c>
      <c r="M15" s="21">
        <v>0.28428610767969997</v>
      </c>
      <c r="N15" s="21">
        <v>0.29111341425670401</v>
      </c>
      <c r="O15" s="21">
        <v>0.21797494336006901</v>
      </c>
    </row>
    <row r="16" spans="2:15" x14ac:dyDescent="0.3">
      <c r="B16" s="18" t="s">
        <v>144</v>
      </c>
      <c r="C16" s="21">
        <v>0.42802490658256698</v>
      </c>
      <c r="D16" s="21">
        <v>0.46654885213103803</v>
      </c>
      <c r="E16" s="21">
        <v>0.39266393299000302</v>
      </c>
      <c r="F16" s="21"/>
      <c r="G16" s="21">
        <v>0.46663170542502802</v>
      </c>
      <c r="H16" s="21">
        <v>0.42820221696698701</v>
      </c>
      <c r="I16" s="21">
        <v>0.45236952319304402</v>
      </c>
      <c r="J16" s="21">
        <v>0.35082182286006502</v>
      </c>
      <c r="K16" s="21"/>
      <c r="L16" s="21">
        <v>0.38666654872424899</v>
      </c>
      <c r="M16" s="21">
        <v>0.39192956063571399</v>
      </c>
      <c r="N16" s="21">
        <v>0.42909801770341999</v>
      </c>
      <c r="O16" s="21">
        <v>0.50705056924521197</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O21"/>
  <sheetViews>
    <sheetView showGridLines="0"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150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7.6091037153294697E-2</v>
      </c>
      <c r="D9" s="17">
        <v>8.7835982476853106E-2</v>
      </c>
      <c r="E9" s="17">
        <v>6.4913952754947005E-2</v>
      </c>
      <c r="F9" s="17"/>
      <c r="G9" s="17">
        <v>0.11859394431427001</v>
      </c>
      <c r="H9" s="17">
        <v>6.4507114262374293E-2</v>
      </c>
      <c r="I9" s="17">
        <v>7.3056629637831799E-2</v>
      </c>
      <c r="J9" s="17">
        <v>3.7291337176463803E-2</v>
      </c>
      <c r="K9" s="17"/>
      <c r="L9" s="17">
        <v>6.1055859782197901E-2</v>
      </c>
      <c r="M9" s="17">
        <v>5.2933207989594201E-2</v>
      </c>
      <c r="N9" s="17">
        <v>0.110334752922708</v>
      </c>
      <c r="O9" s="17">
        <v>7.8941065935144397E-2</v>
      </c>
    </row>
    <row r="10" spans="2:15" x14ac:dyDescent="0.3">
      <c r="B10" s="18" t="s">
        <v>138</v>
      </c>
      <c r="C10" s="17">
        <v>0.42037595092728702</v>
      </c>
      <c r="D10" s="17">
        <v>0.44461875227292802</v>
      </c>
      <c r="E10" s="17">
        <v>0.39628246450203503</v>
      </c>
      <c r="F10" s="17"/>
      <c r="G10" s="17">
        <v>0.46893706507963601</v>
      </c>
      <c r="H10" s="17">
        <v>0.38105625824902301</v>
      </c>
      <c r="I10" s="17">
        <v>0.384962337173129</v>
      </c>
      <c r="J10" s="17">
        <v>0.43744950723280301</v>
      </c>
      <c r="K10" s="17"/>
      <c r="L10" s="17">
        <v>0.42057451033270898</v>
      </c>
      <c r="M10" s="17">
        <v>0.45918265431314598</v>
      </c>
      <c r="N10" s="17">
        <v>0.35456031329580701</v>
      </c>
      <c r="O10" s="17">
        <v>0.44973106046511901</v>
      </c>
    </row>
    <row r="11" spans="2:15" x14ac:dyDescent="0.3">
      <c r="B11" s="18" t="s">
        <v>139</v>
      </c>
      <c r="C11" s="17">
        <v>0.30147629115045199</v>
      </c>
      <c r="D11" s="17">
        <v>0.28866552334450202</v>
      </c>
      <c r="E11" s="17">
        <v>0.316469422673398</v>
      </c>
      <c r="F11" s="17"/>
      <c r="G11" s="17">
        <v>0.27996302638124099</v>
      </c>
      <c r="H11" s="17">
        <v>0.27278801420342602</v>
      </c>
      <c r="I11" s="17">
        <v>0.36121328788172802</v>
      </c>
      <c r="J11" s="17">
        <v>0.30991269292518497</v>
      </c>
      <c r="K11" s="17"/>
      <c r="L11" s="17">
        <v>0.27209000267368</v>
      </c>
      <c r="M11" s="17">
        <v>0.27731976300919597</v>
      </c>
      <c r="N11" s="17">
        <v>0.341476900211858</v>
      </c>
      <c r="O11" s="17">
        <v>0.313515154629326</v>
      </c>
    </row>
    <row r="12" spans="2:15" x14ac:dyDescent="0.3">
      <c r="B12" s="18" t="s">
        <v>140</v>
      </c>
      <c r="C12" s="17">
        <v>0.13947140290590301</v>
      </c>
      <c r="D12" s="17">
        <v>0.11495902367250201</v>
      </c>
      <c r="E12" s="17">
        <v>0.160626646528815</v>
      </c>
      <c r="F12" s="17"/>
      <c r="G12" s="17">
        <v>0.10649772225132099</v>
      </c>
      <c r="H12" s="17">
        <v>0.2133413443895</v>
      </c>
      <c r="I12" s="17">
        <v>9.0411827336708897E-2</v>
      </c>
      <c r="J12" s="17">
        <v>0.13649511991416999</v>
      </c>
      <c r="K12" s="17"/>
      <c r="L12" s="17">
        <v>0.17347823792334399</v>
      </c>
      <c r="M12" s="17">
        <v>0.14302753788383499</v>
      </c>
      <c r="N12" s="17">
        <v>0.13076498378690801</v>
      </c>
      <c r="O12" s="17">
        <v>0.11107098279111501</v>
      </c>
    </row>
    <row r="13" spans="2:15" x14ac:dyDescent="0.3">
      <c r="B13" s="18" t="s">
        <v>141</v>
      </c>
      <c r="C13" s="17">
        <v>3.1362921431295203E-2</v>
      </c>
      <c r="D13" s="17">
        <v>2.5501045416910301E-2</v>
      </c>
      <c r="E13" s="17">
        <v>3.7446677519570502E-2</v>
      </c>
      <c r="F13" s="17"/>
      <c r="G13" s="17">
        <v>8.4519394401353504E-3</v>
      </c>
      <c r="H13" s="17">
        <v>1.9245221366363599E-2</v>
      </c>
      <c r="I13" s="17">
        <v>6.2241486712008701E-2</v>
      </c>
      <c r="J13" s="17">
        <v>4.7005081025309599E-2</v>
      </c>
      <c r="K13" s="17"/>
      <c r="L13" s="17">
        <v>3.1718593769202698E-2</v>
      </c>
      <c r="M13" s="17">
        <v>4.15704431131734E-2</v>
      </c>
      <c r="N13" s="17">
        <v>3.8068720171187301E-2</v>
      </c>
      <c r="O13" s="17">
        <v>1.27618150128478E-2</v>
      </c>
    </row>
    <row r="14" spans="2:15" x14ac:dyDescent="0.3">
      <c r="B14" s="18" t="s">
        <v>142</v>
      </c>
      <c r="C14" s="17">
        <v>3.1222396431767802E-2</v>
      </c>
      <c r="D14" s="17">
        <v>3.8419672816304401E-2</v>
      </c>
      <c r="E14" s="17">
        <v>2.42608360212343E-2</v>
      </c>
      <c r="F14" s="17"/>
      <c r="G14" s="17">
        <v>1.75563025333976E-2</v>
      </c>
      <c r="H14" s="17">
        <v>4.9062047529312799E-2</v>
      </c>
      <c r="I14" s="17">
        <v>2.81144312585942E-2</v>
      </c>
      <c r="J14" s="17">
        <v>3.1846261726067603E-2</v>
      </c>
      <c r="K14" s="17"/>
      <c r="L14" s="17">
        <v>4.1082795518866899E-2</v>
      </c>
      <c r="M14" s="17">
        <v>2.5966393691054801E-2</v>
      </c>
      <c r="N14" s="17">
        <v>2.4794329611531801E-2</v>
      </c>
      <c r="O14" s="17">
        <v>3.39799211664489E-2</v>
      </c>
    </row>
    <row r="15" spans="2:15" x14ac:dyDescent="0.3">
      <c r="B15" s="18" t="s">
        <v>143</v>
      </c>
      <c r="C15" s="21">
        <v>0.49646698808058098</v>
      </c>
      <c r="D15" s="21">
        <v>0.532454734749781</v>
      </c>
      <c r="E15" s="21">
        <v>0.46119641725698202</v>
      </c>
      <c r="F15" s="21"/>
      <c r="G15" s="21">
        <v>0.58753100939390501</v>
      </c>
      <c r="H15" s="21">
        <v>0.44556337251139699</v>
      </c>
      <c r="I15" s="21">
        <v>0.45801896681095999</v>
      </c>
      <c r="J15" s="21">
        <v>0.474740844409267</v>
      </c>
      <c r="K15" s="21"/>
      <c r="L15" s="21">
        <v>0.481630370114907</v>
      </c>
      <c r="M15" s="21">
        <v>0.51211586230273998</v>
      </c>
      <c r="N15" s="21">
        <v>0.46489506621851501</v>
      </c>
      <c r="O15" s="21">
        <v>0.52867212640026295</v>
      </c>
    </row>
    <row r="16" spans="2:15" x14ac:dyDescent="0.3">
      <c r="B16" s="18" t="s">
        <v>144</v>
      </c>
      <c r="C16" s="21">
        <v>0.170834324337199</v>
      </c>
      <c r="D16" s="21">
        <v>0.140460069089412</v>
      </c>
      <c r="E16" s="21">
        <v>0.19807332404838601</v>
      </c>
      <c r="F16" s="21"/>
      <c r="G16" s="21">
        <v>0.114949661691456</v>
      </c>
      <c r="H16" s="21">
        <v>0.23258656575586401</v>
      </c>
      <c r="I16" s="21">
        <v>0.15265331404871799</v>
      </c>
      <c r="J16" s="21">
        <v>0.18350020093948</v>
      </c>
      <c r="K16" s="21"/>
      <c r="L16" s="21">
        <v>0.20519683169254599</v>
      </c>
      <c r="M16" s="21">
        <v>0.184597980997009</v>
      </c>
      <c r="N16" s="21">
        <v>0.16883370395809499</v>
      </c>
      <c r="O16" s="21">
        <v>0.123832797803963</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O21"/>
  <sheetViews>
    <sheetView showGridLines="0" workbookViewId="0">
      <pane xSplit="2" topLeftCell="C1" activePane="topRight" state="frozen"/>
      <selection pane="topRight" activeCell="D15" sqre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151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5.0284743102722997E-2</v>
      </c>
      <c r="D9" s="17">
        <v>5.3181174846561201E-2</v>
      </c>
      <c r="E9" s="17">
        <v>4.7758046009916802E-2</v>
      </c>
      <c r="F9" s="17"/>
      <c r="G9" s="17">
        <v>5.2204630394061598E-2</v>
      </c>
      <c r="H9" s="17">
        <v>4.5742377154661201E-2</v>
      </c>
      <c r="I9" s="17">
        <v>3.9184078604528501E-2</v>
      </c>
      <c r="J9" s="17">
        <v>5.5538819736748998E-2</v>
      </c>
      <c r="K9" s="17"/>
      <c r="L9" s="17">
        <v>5.5270825235883697E-2</v>
      </c>
      <c r="M9" s="17">
        <v>6.94675824824912E-2</v>
      </c>
      <c r="N9" s="17">
        <v>5.3669403612022201E-2</v>
      </c>
      <c r="O9" s="17">
        <v>2.0995860630495099E-2</v>
      </c>
    </row>
    <row r="10" spans="2:15" x14ac:dyDescent="0.3">
      <c r="B10" s="18" t="s">
        <v>138</v>
      </c>
      <c r="C10" s="17">
        <v>0.19691903774917099</v>
      </c>
      <c r="D10" s="17">
        <v>0.17192796018703799</v>
      </c>
      <c r="E10" s="17">
        <v>0.22331668152157</v>
      </c>
      <c r="F10" s="17"/>
      <c r="G10" s="17">
        <v>0.163383391709919</v>
      </c>
      <c r="H10" s="17">
        <v>0.21003159166882701</v>
      </c>
      <c r="I10" s="17">
        <v>0.24419783443690801</v>
      </c>
      <c r="J10" s="17">
        <v>0.184101094560671</v>
      </c>
      <c r="K10" s="17"/>
      <c r="L10" s="17">
        <v>0.229795838061641</v>
      </c>
      <c r="M10" s="17">
        <v>0.195017310757514</v>
      </c>
      <c r="N10" s="17">
        <v>0.20803117693627199</v>
      </c>
      <c r="O10" s="17">
        <v>0.154049883868973</v>
      </c>
    </row>
    <row r="11" spans="2:15" x14ac:dyDescent="0.3">
      <c r="B11" s="18" t="s">
        <v>139</v>
      </c>
      <c r="C11" s="17">
        <v>0.25572564286629901</v>
      </c>
      <c r="D11" s="17">
        <v>0.24915780244660901</v>
      </c>
      <c r="E11" s="17">
        <v>0.25686227690316199</v>
      </c>
      <c r="F11" s="17"/>
      <c r="G11" s="17">
        <v>0.22011827838262499</v>
      </c>
      <c r="H11" s="17">
        <v>0.27918683805498201</v>
      </c>
      <c r="I11" s="17">
        <v>0.224136836921005</v>
      </c>
      <c r="J11" s="17">
        <v>0.30629883454731399</v>
      </c>
      <c r="K11" s="17"/>
      <c r="L11" s="17">
        <v>0.25899308442671798</v>
      </c>
      <c r="M11" s="17">
        <v>0.24450899975294399</v>
      </c>
      <c r="N11" s="17">
        <v>0.21991464636785399</v>
      </c>
      <c r="O11" s="17">
        <v>0.30331983631628801</v>
      </c>
    </row>
    <row r="12" spans="2:15" x14ac:dyDescent="0.3">
      <c r="B12" s="18" t="s">
        <v>140</v>
      </c>
      <c r="C12" s="17">
        <v>0.33872251198671599</v>
      </c>
      <c r="D12" s="17">
        <v>0.34895207588265098</v>
      </c>
      <c r="E12" s="17">
        <v>0.33097295278839101</v>
      </c>
      <c r="F12" s="17"/>
      <c r="G12" s="17">
        <v>0.38321761892612999</v>
      </c>
      <c r="H12" s="17">
        <v>0.32474220721931002</v>
      </c>
      <c r="I12" s="17">
        <v>0.337559222712292</v>
      </c>
      <c r="J12" s="17">
        <v>0.30042518105807098</v>
      </c>
      <c r="K12" s="17"/>
      <c r="L12" s="17">
        <v>0.31210078390456097</v>
      </c>
      <c r="M12" s="17">
        <v>0.30900714539861901</v>
      </c>
      <c r="N12" s="17">
        <v>0.36561689923941498</v>
      </c>
      <c r="O12" s="17">
        <v>0.36817518460200499</v>
      </c>
    </row>
    <row r="13" spans="2:15" x14ac:dyDescent="0.3">
      <c r="B13" s="18" t="s">
        <v>141</v>
      </c>
      <c r="C13" s="17">
        <v>0.128205668054377</v>
      </c>
      <c r="D13" s="17">
        <v>0.14154607363593599</v>
      </c>
      <c r="E13" s="17">
        <v>0.115814712578023</v>
      </c>
      <c r="F13" s="17"/>
      <c r="G13" s="17">
        <v>0.17450583174367501</v>
      </c>
      <c r="H13" s="17">
        <v>8.2323454083245595E-2</v>
      </c>
      <c r="I13" s="17">
        <v>0.137214639648124</v>
      </c>
      <c r="J13" s="17">
        <v>0.112813293037238</v>
      </c>
      <c r="K13" s="17"/>
      <c r="L13" s="17">
        <v>0.126005526699286</v>
      </c>
      <c r="M13" s="17">
        <v>0.14132875666348099</v>
      </c>
      <c r="N13" s="17">
        <v>0.12720177944837399</v>
      </c>
      <c r="O13" s="17">
        <v>0.117376093410722</v>
      </c>
    </row>
    <row r="14" spans="2:15" x14ac:dyDescent="0.3">
      <c r="B14" s="18" t="s">
        <v>142</v>
      </c>
      <c r="C14" s="17">
        <v>3.0142396240714499E-2</v>
      </c>
      <c r="D14" s="17">
        <v>3.52349130012043E-2</v>
      </c>
      <c r="E14" s="17">
        <v>2.5275330198936002E-2</v>
      </c>
      <c r="F14" s="17"/>
      <c r="G14" s="17">
        <v>6.57024884358873E-3</v>
      </c>
      <c r="H14" s="17">
        <v>5.7973531818973703E-2</v>
      </c>
      <c r="I14" s="17">
        <v>1.7707387677142399E-2</v>
      </c>
      <c r="J14" s="17">
        <v>4.0822777059957002E-2</v>
      </c>
      <c r="K14" s="17"/>
      <c r="L14" s="17">
        <v>1.7833941671908601E-2</v>
      </c>
      <c r="M14" s="17">
        <v>4.0670204944951702E-2</v>
      </c>
      <c r="N14" s="17">
        <v>2.5566094396062101E-2</v>
      </c>
      <c r="O14" s="17">
        <v>3.6083141171517501E-2</v>
      </c>
    </row>
    <row r="15" spans="2:15" x14ac:dyDescent="0.3">
      <c r="B15" s="18" t="s">
        <v>143</v>
      </c>
      <c r="C15" s="21">
        <v>0.24720378085189401</v>
      </c>
      <c r="D15" s="21">
        <v>0.225109135033599</v>
      </c>
      <c r="E15" s="21">
        <v>0.27107472753148698</v>
      </c>
      <c r="F15" s="21"/>
      <c r="G15" s="21">
        <v>0.21558802210398101</v>
      </c>
      <c r="H15" s="21">
        <v>0.25577396882348802</v>
      </c>
      <c r="I15" s="21">
        <v>0.28338191304143701</v>
      </c>
      <c r="J15" s="21">
        <v>0.23963991429741999</v>
      </c>
      <c r="K15" s="21"/>
      <c r="L15" s="21">
        <v>0.285066663297525</v>
      </c>
      <c r="M15" s="21">
        <v>0.26448489324000501</v>
      </c>
      <c r="N15" s="21">
        <v>0.26170058054829498</v>
      </c>
      <c r="O15" s="21">
        <v>0.175045744499468</v>
      </c>
    </row>
    <row r="16" spans="2:15" x14ac:dyDescent="0.3">
      <c r="B16" s="18" t="s">
        <v>144</v>
      </c>
      <c r="C16" s="21">
        <v>0.46692818004109299</v>
      </c>
      <c r="D16" s="21">
        <v>0.490498149518588</v>
      </c>
      <c r="E16" s="21">
        <v>0.44678766536641501</v>
      </c>
      <c r="F16" s="21"/>
      <c r="G16" s="21">
        <v>0.557723450669805</v>
      </c>
      <c r="H16" s="21">
        <v>0.407065661302556</v>
      </c>
      <c r="I16" s="21">
        <v>0.47477386236041502</v>
      </c>
      <c r="J16" s="21">
        <v>0.41323847409530901</v>
      </c>
      <c r="K16" s="21"/>
      <c r="L16" s="21">
        <v>0.43810631060384803</v>
      </c>
      <c r="M16" s="21">
        <v>0.4503359020621</v>
      </c>
      <c r="N16" s="21">
        <v>0.492818678687789</v>
      </c>
      <c r="O16" s="21">
        <v>0.48555127801272702</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O21"/>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152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0.17653140105923601</v>
      </c>
      <c r="D9" s="17">
        <v>0.184602679194077</v>
      </c>
      <c r="E9" s="17">
        <v>0.169755740283593</v>
      </c>
      <c r="F9" s="17"/>
      <c r="G9" s="17">
        <v>0.28453248810131299</v>
      </c>
      <c r="H9" s="17">
        <v>0.13862429917385</v>
      </c>
      <c r="I9" s="17">
        <v>0.124906497158825</v>
      </c>
      <c r="J9" s="17">
        <v>0.119566257123426</v>
      </c>
      <c r="K9" s="17"/>
      <c r="L9" s="17">
        <v>0.14198812715794201</v>
      </c>
      <c r="M9" s="17">
        <v>0.14625744884292799</v>
      </c>
      <c r="N9" s="17">
        <v>0.21503096271031799</v>
      </c>
      <c r="O9" s="17">
        <v>0.201934249950008</v>
      </c>
    </row>
    <row r="10" spans="2:15" x14ac:dyDescent="0.3">
      <c r="B10" s="18" t="s">
        <v>138</v>
      </c>
      <c r="C10" s="17">
        <v>0.48560369327240099</v>
      </c>
      <c r="D10" s="17">
        <v>0.47856690185903999</v>
      </c>
      <c r="E10" s="17">
        <v>0.49322953929271901</v>
      </c>
      <c r="F10" s="17"/>
      <c r="G10" s="17">
        <v>0.42828216161264998</v>
      </c>
      <c r="H10" s="17">
        <v>0.55576393522857304</v>
      </c>
      <c r="I10" s="17">
        <v>0.45306383478890999</v>
      </c>
      <c r="J10" s="17">
        <v>0.514128976491251</v>
      </c>
      <c r="K10" s="17"/>
      <c r="L10" s="17">
        <v>0.48669148313579103</v>
      </c>
      <c r="M10" s="17">
        <v>0.55499915465559402</v>
      </c>
      <c r="N10" s="17">
        <v>0.38372317567911701</v>
      </c>
      <c r="O10" s="17">
        <v>0.52023377082890698</v>
      </c>
    </row>
    <row r="11" spans="2:15" x14ac:dyDescent="0.3">
      <c r="B11" s="18" t="s">
        <v>139</v>
      </c>
      <c r="C11" s="17">
        <v>0.19451205496250201</v>
      </c>
      <c r="D11" s="17">
        <v>0.19153823591091301</v>
      </c>
      <c r="E11" s="17">
        <v>0.19889995320481499</v>
      </c>
      <c r="F11" s="17"/>
      <c r="G11" s="17">
        <v>0.17247530132809899</v>
      </c>
      <c r="H11" s="17">
        <v>0.156186846137227</v>
      </c>
      <c r="I11" s="17">
        <v>0.247049143558564</v>
      </c>
      <c r="J11" s="17">
        <v>0.22028939094821001</v>
      </c>
      <c r="K11" s="17"/>
      <c r="L11" s="17">
        <v>0.16241648509192799</v>
      </c>
      <c r="M11" s="17">
        <v>0.16412453448934899</v>
      </c>
      <c r="N11" s="17">
        <v>0.25551192516069998</v>
      </c>
      <c r="O11" s="17">
        <v>0.19321403747584501</v>
      </c>
    </row>
    <row r="12" spans="2:15" x14ac:dyDescent="0.3">
      <c r="B12" s="18" t="s">
        <v>140</v>
      </c>
      <c r="C12" s="17">
        <v>0.10044885192148501</v>
      </c>
      <c r="D12" s="17">
        <v>0.102078621135303</v>
      </c>
      <c r="E12" s="17">
        <v>9.9552935750092594E-2</v>
      </c>
      <c r="F12" s="17"/>
      <c r="G12" s="17">
        <v>7.9098818011955493E-2</v>
      </c>
      <c r="H12" s="17">
        <v>0.110800588896727</v>
      </c>
      <c r="I12" s="17">
        <v>0.10577228866377</v>
      </c>
      <c r="J12" s="17">
        <v>0.11242685300961899</v>
      </c>
      <c r="K12" s="17"/>
      <c r="L12" s="17">
        <v>0.14419703938938699</v>
      </c>
      <c r="M12" s="17">
        <v>0.110662542402522</v>
      </c>
      <c r="N12" s="17">
        <v>8.8334972771973094E-2</v>
      </c>
      <c r="O12" s="17">
        <v>5.8836578620804103E-2</v>
      </c>
    </row>
    <row r="13" spans="2:15" x14ac:dyDescent="0.3">
      <c r="B13" s="18" t="s">
        <v>141</v>
      </c>
      <c r="C13" s="17">
        <v>3.7898305450238097E-2</v>
      </c>
      <c r="D13" s="17">
        <v>4.0888911676087797E-2</v>
      </c>
      <c r="E13" s="17">
        <v>3.08416679004067E-2</v>
      </c>
      <c r="F13" s="17"/>
      <c r="G13" s="17">
        <v>3.1736612229712399E-2</v>
      </c>
      <c r="H13" s="17">
        <v>3.1873038902904799E-2</v>
      </c>
      <c r="I13" s="17">
        <v>6.9208235829931797E-2</v>
      </c>
      <c r="J13" s="17">
        <v>2.4484021991798E-2</v>
      </c>
      <c r="K13" s="17"/>
      <c r="L13" s="17">
        <v>5.6015955317769699E-2</v>
      </c>
      <c r="M13" s="17">
        <v>1.7157101816642002E-2</v>
      </c>
      <c r="N13" s="17">
        <v>5.29553510478767E-2</v>
      </c>
      <c r="O13" s="17">
        <v>2.57813631244363E-2</v>
      </c>
    </row>
    <row r="14" spans="2:15" x14ac:dyDescent="0.3">
      <c r="B14" s="18" t="s">
        <v>142</v>
      </c>
      <c r="C14" s="17">
        <v>5.0056933341367403E-3</v>
      </c>
      <c r="D14" s="17">
        <v>2.3246502245787E-3</v>
      </c>
      <c r="E14" s="17">
        <v>7.7201635683731597E-3</v>
      </c>
      <c r="F14" s="17"/>
      <c r="G14" s="17">
        <v>3.8746187162700101E-3</v>
      </c>
      <c r="H14" s="17">
        <v>6.75129166071913E-3</v>
      </c>
      <c r="I14" s="17">
        <v>0</v>
      </c>
      <c r="J14" s="17">
        <v>9.1045004356957605E-3</v>
      </c>
      <c r="K14" s="17"/>
      <c r="L14" s="17">
        <v>8.69090990718226E-3</v>
      </c>
      <c r="M14" s="17">
        <v>6.7992177929642201E-3</v>
      </c>
      <c r="N14" s="17">
        <v>4.4436126300146303E-3</v>
      </c>
      <c r="O14" s="17">
        <v>0</v>
      </c>
    </row>
    <row r="15" spans="2:15" x14ac:dyDescent="0.3">
      <c r="B15" s="18" t="s">
        <v>143</v>
      </c>
      <c r="C15" s="21">
        <v>0.66213509433163797</v>
      </c>
      <c r="D15" s="21">
        <v>0.66316958105311696</v>
      </c>
      <c r="E15" s="21">
        <v>0.66298527957631204</v>
      </c>
      <c r="F15" s="21"/>
      <c r="G15" s="21">
        <v>0.71281464971396302</v>
      </c>
      <c r="H15" s="21">
        <v>0.69438823440242303</v>
      </c>
      <c r="I15" s="21">
        <v>0.57797033194773495</v>
      </c>
      <c r="J15" s="21">
        <v>0.63369523361467694</v>
      </c>
      <c r="K15" s="21"/>
      <c r="L15" s="21">
        <v>0.62867961029373298</v>
      </c>
      <c r="M15" s="21">
        <v>0.70125660349852204</v>
      </c>
      <c r="N15" s="21">
        <v>0.59875413838943603</v>
      </c>
      <c r="O15" s="21">
        <v>0.72216802077891495</v>
      </c>
    </row>
    <row r="16" spans="2:15" x14ac:dyDescent="0.3">
      <c r="B16" s="18" t="s">
        <v>144</v>
      </c>
      <c r="C16" s="21">
        <v>0.13834715737172401</v>
      </c>
      <c r="D16" s="21">
        <v>0.14296753281139099</v>
      </c>
      <c r="E16" s="21">
        <v>0.13039460365049901</v>
      </c>
      <c r="F16" s="21"/>
      <c r="G16" s="21">
        <v>0.110835430241668</v>
      </c>
      <c r="H16" s="21">
        <v>0.142673627799631</v>
      </c>
      <c r="I16" s="21">
        <v>0.17498052449370199</v>
      </c>
      <c r="J16" s="21">
        <v>0.13691087500141699</v>
      </c>
      <c r="K16" s="21"/>
      <c r="L16" s="21">
        <v>0.20021299470715601</v>
      </c>
      <c r="M16" s="21">
        <v>0.127819644219164</v>
      </c>
      <c r="N16" s="21">
        <v>0.14129032381984999</v>
      </c>
      <c r="O16" s="21">
        <v>8.4617941745240399E-2</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153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4.7355038449455301E-2</v>
      </c>
      <c r="D9" s="17">
        <v>3.8371251161272102E-2</v>
      </c>
      <c r="E9" s="17">
        <v>5.6673692379248103E-2</v>
      </c>
      <c r="F9" s="17"/>
      <c r="G9" s="17">
        <v>4.4332162284778001E-2</v>
      </c>
      <c r="H9" s="17">
        <v>6.3206280645409105E-2</v>
      </c>
      <c r="I9" s="17">
        <v>3.3558649224679903E-2</v>
      </c>
      <c r="J9" s="17">
        <v>4.6265056720610202E-2</v>
      </c>
      <c r="K9" s="17"/>
      <c r="L9" s="17">
        <v>8.1052363367644598E-2</v>
      </c>
      <c r="M9" s="17">
        <v>3.5421595943400497E-2</v>
      </c>
      <c r="N9" s="17">
        <v>5.4810629628292099E-2</v>
      </c>
      <c r="O9" s="17">
        <v>1.8418314268281898E-2</v>
      </c>
    </row>
    <row r="10" spans="2:15" x14ac:dyDescent="0.3">
      <c r="B10" s="18" t="s">
        <v>138</v>
      </c>
      <c r="C10" s="17">
        <v>0.20129196967379701</v>
      </c>
      <c r="D10" s="17">
        <v>0.180108304589986</v>
      </c>
      <c r="E10" s="17">
        <v>0.223918400166705</v>
      </c>
      <c r="F10" s="17"/>
      <c r="G10" s="17">
        <v>0.178737244219587</v>
      </c>
      <c r="H10" s="17">
        <v>0.21782145778237599</v>
      </c>
      <c r="I10" s="17">
        <v>0.19007454164849899</v>
      </c>
      <c r="J10" s="17">
        <v>0.22372129602672799</v>
      </c>
      <c r="K10" s="17"/>
      <c r="L10" s="17">
        <v>0.27499889764097102</v>
      </c>
      <c r="M10" s="17">
        <v>0.142872521129499</v>
      </c>
      <c r="N10" s="17">
        <v>0.20957293736060201</v>
      </c>
      <c r="O10" s="17">
        <v>0.18145915772235799</v>
      </c>
    </row>
    <row r="11" spans="2:15" x14ac:dyDescent="0.3">
      <c r="B11" s="18" t="s">
        <v>139</v>
      </c>
      <c r="C11" s="17">
        <v>0.20602979453276199</v>
      </c>
      <c r="D11" s="17">
        <v>0.19622950399800401</v>
      </c>
      <c r="E11" s="17">
        <v>0.21297471965829301</v>
      </c>
      <c r="F11" s="17"/>
      <c r="G11" s="17">
        <v>0.172507370475768</v>
      </c>
      <c r="H11" s="17">
        <v>0.17669751655367399</v>
      </c>
      <c r="I11" s="17">
        <v>0.21632635374342701</v>
      </c>
      <c r="J11" s="17">
        <v>0.27518921048408301</v>
      </c>
      <c r="K11" s="17"/>
      <c r="L11" s="17">
        <v>0.201710707801528</v>
      </c>
      <c r="M11" s="17">
        <v>0.24203827256831401</v>
      </c>
      <c r="N11" s="17">
        <v>0.22746079311231601</v>
      </c>
      <c r="O11" s="17">
        <v>0.1483955730979</v>
      </c>
    </row>
    <row r="12" spans="2:15" x14ac:dyDescent="0.3">
      <c r="B12" s="18" t="s">
        <v>140</v>
      </c>
      <c r="C12" s="17">
        <v>0.34455193371393</v>
      </c>
      <c r="D12" s="17">
        <v>0.40685420431855601</v>
      </c>
      <c r="E12" s="17">
        <v>0.28188973514837501</v>
      </c>
      <c r="F12" s="17"/>
      <c r="G12" s="17">
        <v>0.35976636939135098</v>
      </c>
      <c r="H12" s="17">
        <v>0.34827690128773398</v>
      </c>
      <c r="I12" s="17">
        <v>0.356390314454886</v>
      </c>
      <c r="J12" s="17">
        <v>0.30451965518979901</v>
      </c>
      <c r="K12" s="17"/>
      <c r="L12" s="17">
        <v>0.28653671126602598</v>
      </c>
      <c r="M12" s="17">
        <v>0.39017702826600997</v>
      </c>
      <c r="N12" s="17">
        <v>0.31303550962436799</v>
      </c>
      <c r="O12" s="17">
        <v>0.38762840781647001</v>
      </c>
    </row>
    <row r="13" spans="2:15" x14ac:dyDescent="0.3">
      <c r="B13" s="18" t="s">
        <v>141</v>
      </c>
      <c r="C13" s="17">
        <v>0.17753768599598599</v>
      </c>
      <c r="D13" s="17">
        <v>0.159691598009334</v>
      </c>
      <c r="E13" s="17">
        <v>0.19665723317609099</v>
      </c>
      <c r="F13" s="17"/>
      <c r="G13" s="17">
        <v>0.24078223491224501</v>
      </c>
      <c r="H13" s="17">
        <v>0.1504286258117</v>
      </c>
      <c r="I13" s="17">
        <v>0.203650140928508</v>
      </c>
      <c r="J13" s="17">
        <v>0.10356764048678101</v>
      </c>
      <c r="K13" s="17"/>
      <c r="L13" s="17">
        <v>0.122580211008593</v>
      </c>
      <c r="M13" s="17">
        <v>0.168619210358354</v>
      </c>
      <c r="N13" s="17">
        <v>0.1747838780173</v>
      </c>
      <c r="O13" s="17">
        <v>0.24507257069167901</v>
      </c>
    </row>
    <row r="14" spans="2:15" x14ac:dyDescent="0.3">
      <c r="B14" s="18" t="s">
        <v>142</v>
      </c>
      <c r="C14" s="17">
        <v>2.3233577634070801E-2</v>
      </c>
      <c r="D14" s="17">
        <v>1.8745137922847599E-2</v>
      </c>
      <c r="E14" s="17">
        <v>2.78862194712877E-2</v>
      </c>
      <c r="F14" s="17"/>
      <c r="G14" s="17">
        <v>3.8746187162700101E-3</v>
      </c>
      <c r="H14" s="17">
        <v>4.35692179191072E-2</v>
      </c>
      <c r="I14" s="17">
        <v>0</v>
      </c>
      <c r="J14" s="17">
        <v>4.6737141091999099E-2</v>
      </c>
      <c r="K14" s="17"/>
      <c r="L14" s="17">
        <v>3.3121108915237799E-2</v>
      </c>
      <c r="M14" s="17">
        <v>2.08713717344223E-2</v>
      </c>
      <c r="N14" s="17">
        <v>2.0336252257122302E-2</v>
      </c>
      <c r="O14" s="17">
        <v>1.9025976403310701E-2</v>
      </c>
    </row>
    <row r="15" spans="2:15" x14ac:dyDescent="0.3">
      <c r="B15" s="18" t="s">
        <v>143</v>
      </c>
      <c r="C15" s="21">
        <v>0.24864700812325199</v>
      </c>
      <c r="D15" s="21">
        <v>0.21847955575125799</v>
      </c>
      <c r="E15" s="21">
        <v>0.28059209254595302</v>
      </c>
      <c r="F15" s="21"/>
      <c r="G15" s="21">
        <v>0.22306940650436499</v>
      </c>
      <c r="H15" s="21">
        <v>0.281027738427785</v>
      </c>
      <c r="I15" s="21">
        <v>0.22363319087317901</v>
      </c>
      <c r="J15" s="21">
        <v>0.26998635274733801</v>
      </c>
      <c r="K15" s="21"/>
      <c r="L15" s="21">
        <v>0.35605126100861501</v>
      </c>
      <c r="M15" s="21">
        <v>0.17829411707289999</v>
      </c>
      <c r="N15" s="21">
        <v>0.26438356698889398</v>
      </c>
      <c r="O15" s="21">
        <v>0.19987747199063999</v>
      </c>
    </row>
    <row r="16" spans="2:15" x14ac:dyDescent="0.3">
      <c r="B16" s="18" t="s">
        <v>144</v>
      </c>
      <c r="C16" s="21">
        <v>0.52208961970991496</v>
      </c>
      <c r="D16" s="21">
        <v>0.56654580232788998</v>
      </c>
      <c r="E16" s="21">
        <v>0.47854696832446603</v>
      </c>
      <c r="F16" s="21"/>
      <c r="G16" s="21">
        <v>0.60054860430359702</v>
      </c>
      <c r="H16" s="21">
        <v>0.498705527099434</v>
      </c>
      <c r="I16" s="21">
        <v>0.56004045538339398</v>
      </c>
      <c r="J16" s="21">
        <v>0.40808729567657998</v>
      </c>
      <c r="K16" s="21"/>
      <c r="L16" s="21">
        <v>0.40911692227461899</v>
      </c>
      <c r="M16" s="21">
        <v>0.55879623862436401</v>
      </c>
      <c r="N16" s="21">
        <v>0.48781938764166699</v>
      </c>
      <c r="O16" s="21">
        <v>0.63270097850814899</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159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154</v>
      </c>
      <c r="C9" s="17">
        <v>2.33080328330128E-2</v>
      </c>
      <c r="D9" s="17">
        <v>2.55657298246302E-2</v>
      </c>
      <c r="E9" s="17">
        <v>2.1222756938419299E-2</v>
      </c>
      <c r="F9" s="17"/>
      <c r="G9" s="17">
        <v>2.0689755934940799E-2</v>
      </c>
      <c r="H9" s="17">
        <v>1.52198942884383E-2</v>
      </c>
      <c r="I9" s="17">
        <v>2.0044865314586099E-2</v>
      </c>
      <c r="J9" s="17">
        <v>3.1126669783509101E-2</v>
      </c>
      <c r="K9" s="17"/>
      <c r="L9" s="17">
        <v>3.1296856282778701E-2</v>
      </c>
      <c r="M9" s="17">
        <v>2.1607299260215498E-2</v>
      </c>
      <c r="N9" s="17">
        <v>3.9137681825500897E-2</v>
      </c>
      <c r="O9" s="17">
        <v>0</v>
      </c>
    </row>
    <row r="10" spans="2:15" x14ac:dyDescent="0.3">
      <c r="B10" s="18" t="s">
        <v>155</v>
      </c>
      <c r="C10" s="17">
        <v>5.3574222209499298E-2</v>
      </c>
      <c r="D10" s="17">
        <v>3.6615027988360999E-2</v>
      </c>
      <c r="E10" s="17">
        <v>7.0904528806643594E-2</v>
      </c>
      <c r="F10" s="17"/>
      <c r="G10" s="17">
        <v>4.7813045905391698E-2</v>
      </c>
      <c r="H10" s="17">
        <v>4.1590836952330498E-2</v>
      </c>
      <c r="I10" s="17">
        <v>3.8477010404053699E-2</v>
      </c>
      <c r="J10" s="17">
        <v>8.8875667236082798E-2</v>
      </c>
      <c r="K10" s="17"/>
      <c r="L10" s="17">
        <v>7.6085955231252403E-2</v>
      </c>
      <c r="M10" s="17">
        <v>4.0074047950941799E-2</v>
      </c>
      <c r="N10" s="17">
        <v>6.0052743740136902E-2</v>
      </c>
      <c r="O10" s="17">
        <v>3.8567005595579497E-2</v>
      </c>
    </row>
    <row r="11" spans="2:15" ht="28.8" x14ac:dyDescent="0.3">
      <c r="B11" s="18" t="s">
        <v>156</v>
      </c>
      <c r="C11" s="17">
        <v>0.16922654952139099</v>
      </c>
      <c r="D11" s="17">
        <v>0.162600752302301</v>
      </c>
      <c r="E11" s="17">
        <v>0.17707800789932601</v>
      </c>
      <c r="F11" s="17"/>
      <c r="G11" s="17">
        <v>9.9473936625254694E-2</v>
      </c>
      <c r="H11" s="17">
        <v>0.151480252634841</v>
      </c>
      <c r="I11" s="17">
        <v>0.172937032771144</v>
      </c>
      <c r="J11" s="17">
        <v>0.278110219458787</v>
      </c>
      <c r="K11" s="17"/>
      <c r="L11" s="17">
        <v>0.17149215934871501</v>
      </c>
      <c r="M11" s="17">
        <v>0.23537744943307301</v>
      </c>
      <c r="N11" s="17">
        <v>0.135215175297971</v>
      </c>
      <c r="O11" s="17">
        <v>0.132644263379598</v>
      </c>
    </row>
    <row r="12" spans="2:15" x14ac:dyDescent="0.3">
      <c r="B12" s="18" t="s">
        <v>157</v>
      </c>
      <c r="C12" s="17">
        <v>0.48042193575110897</v>
      </c>
      <c r="D12" s="17">
        <v>0.49030232542723401</v>
      </c>
      <c r="E12" s="17">
        <v>0.46676648001717003</v>
      </c>
      <c r="F12" s="17"/>
      <c r="G12" s="17">
        <v>0.470748179177643</v>
      </c>
      <c r="H12" s="17">
        <v>0.48289741440656703</v>
      </c>
      <c r="I12" s="17">
        <v>0.54663185684348503</v>
      </c>
      <c r="J12" s="17">
        <v>0.433591520008972</v>
      </c>
      <c r="K12" s="17"/>
      <c r="L12" s="17">
        <v>0.50615884208140804</v>
      </c>
      <c r="M12" s="17">
        <v>0.44963691596785599</v>
      </c>
      <c r="N12" s="17">
        <v>0.480457686688679</v>
      </c>
      <c r="O12" s="17">
        <v>0.48776351749012298</v>
      </c>
    </row>
    <row r="13" spans="2:15" x14ac:dyDescent="0.3">
      <c r="B13" s="18" t="s">
        <v>158</v>
      </c>
      <c r="C13" s="17">
        <v>0.26794546619586201</v>
      </c>
      <c r="D13" s="17">
        <v>0.277679939512952</v>
      </c>
      <c r="E13" s="17">
        <v>0.26017466232818998</v>
      </c>
      <c r="F13" s="17"/>
      <c r="G13" s="17">
        <v>0.36127508235677003</v>
      </c>
      <c r="H13" s="17">
        <v>0.29474645770359598</v>
      </c>
      <c r="I13" s="17">
        <v>0.213028970042382</v>
      </c>
      <c r="J13" s="17">
        <v>0.16829592351264899</v>
      </c>
      <c r="K13" s="17"/>
      <c r="L13" s="17">
        <v>0.214966187055846</v>
      </c>
      <c r="M13" s="17">
        <v>0.23913929759810201</v>
      </c>
      <c r="N13" s="17">
        <v>0.27799591471780299</v>
      </c>
      <c r="O13" s="17">
        <v>0.3410252135347</v>
      </c>
    </row>
    <row r="14" spans="2:15" x14ac:dyDescent="0.3">
      <c r="B14" s="18" t="s">
        <v>80</v>
      </c>
      <c r="C14" s="19">
        <v>5.52379348912638E-3</v>
      </c>
      <c r="D14" s="19">
        <v>7.2362249445220199E-3</v>
      </c>
      <c r="E14" s="19">
        <v>3.8535640102513999E-3</v>
      </c>
      <c r="F14" s="19"/>
      <c r="G14" s="19">
        <v>0</v>
      </c>
      <c r="H14" s="19">
        <v>1.40651440142267E-2</v>
      </c>
      <c r="I14" s="19">
        <v>8.8802646243490296E-3</v>
      </c>
      <c r="J14" s="19">
        <v>0</v>
      </c>
      <c r="K14" s="19"/>
      <c r="L14" s="19">
        <v>0</v>
      </c>
      <c r="M14" s="19">
        <v>1.4164989789812701E-2</v>
      </c>
      <c r="N14" s="19">
        <v>7.1407977299089501E-3</v>
      </c>
      <c r="O14" s="19">
        <v>0</v>
      </c>
    </row>
    <row r="15" spans="2:15" x14ac:dyDescent="0.3">
      <c r="B15" s="16"/>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165</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160</v>
      </c>
      <c r="C9" s="17">
        <v>1.93384884009596E-2</v>
      </c>
      <c r="D9" s="17">
        <v>3.0181825730526701E-2</v>
      </c>
      <c r="E9" s="17">
        <v>8.6484145588962107E-3</v>
      </c>
      <c r="F9" s="17"/>
      <c r="G9" s="17">
        <v>9.6738317878754393E-3</v>
      </c>
      <c r="H9" s="17">
        <v>6.7806466102750297E-3</v>
      </c>
      <c r="I9" s="17">
        <v>2.7510438244147999E-2</v>
      </c>
      <c r="J9" s="17">
        <v>3.0934211236957599E-2</v>
      </c>
      <c r="K9" s="17"/>
      <c r="L9" s="17">
        <v>1.9484331082774201E-2</v>
      </c>
      <c r="M9" s="17">
        <v>2.38997724496865E-2</v>
      </c>
      <c r="N9" s="17">
        <v>2.5733800949086599E-2</v>
      </c>
      <c r="O9" s="17">
        <v>7.3575545880741203E-3</v>
      </c>
    </row>
    <row r="10" spans="2:15" x14ac:dyDescent="0.3">
      <c r="B10" s="18" t="s">
        <v>161</v>
      </c>
      <c r="C10" s="17">
        <v>7.2705795422069799E-2</v>
      </c>
      <c r="D10" s="17">
        <v>5.0314217021154503E-2</v>
      </c>
      <c r="E10" s="17">
        <v>9.5601721775737003E-2</v>
      </c>
      <c r="F10" s="17"/>
      <c r="G10" s="17">
        <v>6.10584657098125E-2</v>
      </c>
      <c r="H10" s="17">
        <v>6.3086374497340295E-2</v>
      </c>
      <c r="I10" s="17">
        <v>9.7632798609867594E-2</v>
      </c>
      <c r="J10" s="17">
        <v>7.6611572444504297E-2</v>
      </c>
      <c r="K10" s="17"/>
      <c r="L10" s="17">
        <v>7.2777503892798898E-2</v>
      </c>
      <c r="M10" s="17">
        <v>4.6934988750369902E-2</v>
      </c>
      <c r="N10" s="17">
        <v>9.7570761412223997E-2</v>
      </c>
      <c r="O10" s="17">
        <v>7.3420180972471799E-2</v>
      </c>
    </row>
    <row r="11" spans="2:15" ht="28.8" x14ac:dyDescent="0.3">
      <c r="B11" s="18" t="s">
        <v>162</v>
      </c>
      <c r="C11" s="17">
        <v>0.207396573364169</v>
      </c>
      <c r="D11" s="17">
        <v>0.20885196779755699</v>
      </c>
      <c r="E11" s="17">
        <v>0.20451252460748501</v>
      </c>
      <c r="F11" s="17"/>
      <c r="G11" s="17">
        <v>0.151974110858452</v>
      </c>
      <c r="H11" s="17">
        <v>0.172581875675305</v>
      </c>
      <c r="I11" s="17">
        <v>0.25015261357876201</v>
      </c>
      <c r="J11" s="17">
        <v>0.28167099541993201</v>
      </c>
      <c r="K11" s="17"/>
      <c r="L11" s="17">
        <v>0.23536325133529501</v>
      </c>
      <c r="M11" s="17">
        <v>0.24227355852117199</v>
      </c>
      <c r="N11" s="17">
        <v>0.208289459946844</v>
      </c>
      <c r="O11" s="17">
        <v>0.14094342059291601</v>
      </c>
    </row>
    <row r="12" spans="2:15" x14ac:dyDescent="0.3">
      <c r="B12" s="18" t="s">
        <v>163</v>
      </c>
      <c r="C12" s="17">
        <v>0.46467329983056499</v>
      </c>
      <c r="D12" s="17">
        <v>0.48322722373351301</v>
      </c>
      <c r="E12" s="17">
        <v>0.44518108131966</v>
      </c>
      <c r="F12" s="17"/>
      <c r="G12" s="17">
        <v>0.48946339134378802</v>
      </c>
      <c r="H12" s="17">
        <v>0.48825627158888002</v>
      </c>
      <c r="I12" s="17">
        <v>0.42605064124363301</v>
      </c>
      <c r="J12" s="17">
        <v>0.44457437859149701</v>
      </c>
      <c r="K12" s="17"/>
      <c r="L12" s="17">
        <v>0.45246692166910701</v>
      </c>
      <c r="M12" s="17">
        <v>0.47964018815834297</v>
      </c>
      <c r="N12" s="17">
        <v>0.43998122158080399</v>
      </c>
      <c r="O12" s="17">
        <v>0.48752868592513798</v>
      </c>
    </row>
    <row r="13" spans="2:15" x14ac:dyDescent="0.3">
      <c r="B13" s="18" t="s">
        <v>164</v>
      </c>
      <c r="C13" s="17">
        <v>0.20199303966465701</v>
      </c>
      <c r="D13" s="17">
        <v>0.184865589177163</v>
      </c>
      <c r="E13" s="17">
        <v>0.22057297999839401</v>
      </c>
      <c r="F13" s="17"/>
      <c r="G13" s="17">
        <v>0.282166900097375</v>
      </c>
      <c r="H13" s="17">
        <v>0.217679236018224</v>
      </c>
      <c r="I13" s="17">
        <v>0.16652369353179899</v>
      </c>
      <c r="J13" s="17">
        <v>0.113810794218</v>
      </c>
      <c r="K13" s="17"/>
      <c r="L13" s="17">
        <v>0.16897057684986799</v>
      </c>
      <c r="M13" s="17">
        <v>0.17202568788172001</v>
      </c>
      <c r="N13" s="17">
        <v>0.19857386430894799</v>
      </c>
      <c r="O13" s="17">
        <v>0.27095721482068502</v>
      </c>
    </row>
    <row r="14" spans="2:15" x14ac:dyDescent="0.3">
      <c r="B14" s="18" t="s">
        <v>107</v>
      </c>
      <c r="C14" s="19">
        <v>3.3892803317579399E-2</v>
      </c>
      <c r="D14" s="19">
        <v>4.25591765400865E-2</v>
      </c>
      <c r="E14" s="19">
        <v>2.5483277739827399E-2</v>
      </c>
      <c r="F14" s="19"/>
      <c r="G14" s="19">
        <v>5.6633002026967002E-3</v>
      </c>
      <c r="H14" s="19">
        <v>5.1615595609975397E-2</v>
      </c>
      <c r="I14" s="19">
        <v>3.2129814791790001E-2</v>
      </c>
      <c r="J14" s="19">
        <v>5.2398048089108397E-2</v>
      </c>
      <c r="K14" s="19"/>
      <c r="L14" s="19">
        <v>5.0937415170158103E-2</v>
      </c>
      <c r="M14" s="19">
        <v>3.5225804238709101E-2</v>
      </c>
      <c r="N14" s="19">
        <v>2.9850891802092099E-2</v>
      </c>
      <c r="O14" s="19">
        <v>1.97929431007151E-2</v>
      </c>
    </row>
    <row r="15" spans="2:15" x14ac:dyDescent="0.3">
      <c r="B15" s="16"/>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O21"/>
  <sheetViews>
    <sheetView showGridLines="0" workbookViewId="0">
      <pane xSplit="2" topLeftCell="C1" activePane="topRight" state="frozen"/>
      <selection pane="topRight" activeCell="L13" sqref="L13"/>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168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166</v>
      </c>
      <c r="C9" s="17">
        <v>0.205467041826742</v>
      </c>
      <c r="D9" s="17">
        <v>0.24394266627505001</v>
      </c>
      <c r="E9" s="17">
        <v>0.168532493700849</v>
      </c>
      <c r="F9" s="17"/>
      <c r="G9" s="17">
        <v>0.27438018130174502</v>
      </c>
      <c r="H9" s="17">
        <v>0.15898143369288001</v>
      </c>
      <c r="I9" s="17">
        <v>0.153235095480311</v>
      </c>
      <c r="J9" s="17">
        <v>0.20989641390215599</v>
      </c>
      <c r="K9" s="17"/>
      <c r="L9" s="17">
        <v>0.192471268189816</v>
      </c>
      <c r="M9" s="17">
        <v>0.199845901079134</v>
      </c>
      <c r="N9" s="17">
        <v>0.25562627667216498</v>
      </c>
      <c r="O9" s="17">
        <v>0.17017062912476399</v>
      </c>
    </row>
    <row r="10" spans="2:15" x14ac:dyDescent="0.3">
      <c r="B10" s="18" t="s">
        <v>138</v>
      </c>
      <c r="C10" s="17">
        <v>0.34982548097742899</v>
      </c>
      <c r="D10" s="17">
        <v>0.41151820426699798</v>
      </c>
      <c r="E10" s="17">
        <v>0.28781056592196602</v>
      </c>
      <c r="F10" s="17"/>
      <c r="G10" s="17">
        <v>0.375217636951996</v>
      </c>
      <c r="H10" s="17">
        <v>0.313447684486723</v>
      </c>
      <c r="I10" s="17">
        <v>0.3780008321576</v>
      </c>
      <c r="J10" s="17">
        <v>0.33512566080143003</v>
      </c>
      <c r="K10" s="17"/>
      <c r="L10" s="17">
        <v>0.23537722381243201</v>
      </c>
      <c r="M10" s="17">
        <v>0.42072358771499602</v>
      </c>
      <c r="N10" s="17">
        <v>0.39125286488955802</v>
      </c>
      <c r="O10" s="17">
        <v>0.343124896807812</v>
      </c>
    </row>
    <row r="11" spans="2:15" x14ac:dyDescent="0.3">
      <c r="B11" s="18" t="s">
        <v>139</v>
      </c>
      <c r="C11" s="17">
        <v>0.21114407393412901</v>
      </c>
      <c r="D11" s="17">
        <v>0.18667684643389901</v>
      </c>
      <c r="E11" s="17">
        <v>0.23712212549980499</v>
      </c>
      <c r="F11" s="17"/>
      <c r="G11" s="17">
        <v>0.184886509966324</v>
      </c>
      <c r="H11" s="17">
        <v>0.21936677486431699</v>
      </c>
      <c r="I11" s="17">
        <v>0.263611285467935</v>
      </c>
      <c r="J11" s="17">
        <v>0.18978105690152899</v>
      </c>
      <c r="K11" s="17"/>
      <c r="L11" s="17">
        <v>0.30023494985009902</v>
      </c>
      <c r="M11" s="17">
        <v>0.140768573664906</v>
      </c>
      <c r="N11" s="17">
        <v>0.18043960724274</v>
      </c>
      <c r="O11" s="17">
        <v>0.23102334782951101</v>
      </c>
    </row>
    <row r="12" spans="2:15" x14ac:dyDescent="0.3">
      <c r="B12" s="18" t="s">
        <v>140</v>
      </c>
      <c r="C12" s="17">
        <v>0.116533983379357</v>
      </c>
      <c r="D12" s="17">
        <v>6.11524754397419E-2</v>
      </c>
      <c r="E12" s="17">
        <v>0.16835607856707199</v>
      </c>
      <c r="F12" s="17"/>
      <c r="G12" s="17">
        <v>0.10746489156151499</v>
      </c>
      <c r="H12" s="17">
        <v>0.15168043004967599</v>
      </c>
      <c r="I12" s="17">
        <v>0.109335851540472</v>
      </c>
      <c r="J12" s="17">
        <v>9.5941540512103296E-2</v>
      </c>
      <c r="K12" s="17"/>
      <c r="L12" s="17">
        <v>0.12142642898223301</v>
      </c>
      <c r="M12" s="17">
        <v>0.113632299593179</v>
      </c>
      <c r="N12" s="17">
        <v>9.94663887730413E-2</v>
      </c>
      <c r="O12" s="17">
        <v>0.133252940248757</v>
      </c>
    </row>
    <row r="13" spans="2:15" x14ac:dyDescent="0.3">
      <c r="B13" s="18" t="s">
        <v>167</v>
      </c>
      <c r="C13" s="17">
        <v>0.11271328916856101</v>
      </c>
      <c r="D13" s="17">
        <v>9.1899094547250607E-2</v>
      </c>
      <c r="E13" s="17">
        <v>0.134325172300057</v>
      </c>
      <c r="F13" s="17"/>
      <c r="G13" s="17">
        <v>5.8050780218419903E-2</v>
      </c>
      <c r="H13" s="17">
        <v>0.149149539485149</v>
      </c>
      <c r="I13" s="17">
        <v>9.5816935353681507E-2</v>
      </c>
      <c r="J13" s="17">
        <v>0.15881916119890499</v>
      </c>
      <c r="K13" s="17"/>
      <c r="L13" s="17">
        <v>0.14052804666934901</v>
      </c>
      <c r="M13" s="17">
        <v>0.117603152930987</v>
      </c>
      <c r="N13" s="17">
        <v>7.3214862422495294E-2</v>
      </c>
      <c r="O13" s="17">
        <v>0.122428185989157</v>
      </c>
    </row>
    <row r="14" spans="2:15" x14ac:dyDescent="0.3">
      <c r="B14" s="18" t="s">
        <v>107</v>
      </c>
      <c r="C14" s="17">
        <v>4.3161307137824104E-3</v>
      </c>
      <c r="D14" s="17">
        <v>4.8107130370604097E-3</v>
      </c>
      <c r="E14" s="17">
        <v>3.8535640102513999E-3</v>
      </c>
      <c r="F14" s="17"/>
      <c r="G14" s="17">
        <v>0</v>
      </c>
      <c r="H14" s="17">
        <v>7.3741374212546998E-3</v>
      </c>
      <c r="I14" s="17">
        <v>0</v>
      </c>
      <c r="J14" s="17">
        <v>1.04361666838772E-2</v>
      </c>
      <c r="K14" s="17"/>
      <c r="L14" s="17">
        <v>9.9620824960707996E-3</v>
      </c>
      <c r="M14" s="17">
        <v>7.42648501679716E-3</v>
      </c>
      <c r="N14" s="17">
        <v>0</v>
      </c>
      <c r="O14" s="17">
        <v>0</v>
      </c>
    </row>
    <row r="15" spans="2:15" x14ac:dyDescent="0.3">
      <c r="B15" s="18" t="s">
        <v>143</v>
      </c>
      <c r="C15" s="21">
        <v>0.55529252280417096</v>
      </c>
      <c r="D15" s="21">
        <v>0.65546087054204805</v>
      </c>
      <c r="E15" s="21">
        <v>0.45634305962281502</v>
      </c>
      <c r="F15" s="21"/>
      <c r="G15" s="21">
        <v>0.64959781825374097</v>
      </c>
      <c r="H15" s="21">
        <v>0.47242911817960298</v>
      </c>
      <c r="I15" s="21">
        <v>0.53123592763791105</v>
      </c>
      <c r="J15" s="21">
        <v>0.54502207470358599</v>
      </c>
      <c r="K15" s="21"/>
      <c r="L15" s="21">
        <v>0.427848492002248</v>
      </c>
      <c r="M15" s="21">
        <v>0.62056948879412999</v>
      </c>
      <c r="N15" s="21">
        <v>0.64687914156172299</v>
      </c>
      <c r="O15" s="21">
        <v>0.51329552593257599</v>
      </c>
    </row>
    <row r="16" spans="2:15" x14ac:dyDescent="0.3">
      <c r="B16" s="18" t="s">
        <v>144</v>
      </c>
      <c r="C16" s="21">
        <v>0.22924727254791799</v>
      </c>
      <c r="D16" s="21">
        <v>0.15305156998699301</v>
      </c>
      <c r="E16" s="21">
        <v>0.30268125086712799</v>
      </c>
      <c r="F16" s="21"/>
      <c r="G16" s="21">
        <v>0.16551567177993501</v>
      </c>
      <c r="H16" s="21">
        <v>0.30082996953482599</v>
      </c>
      <c r="I16" s="21">
        <v>0.205152786894154</v>
      </c>
      <c r="J16" s="21">
        <v>0.25476070171100801</v>
      </c>
      <c r="K16" s="21"/>
      <c r="L16" s="21">
        <v>0.26195447565158198</v>
      </c>
      <c r="M16" s="21">
        <v>0.231235452524167</v>
      </c>
      <c r="N16" s="21">
        <v>0.17268125119553701</v>
      </c>
      <c r="O16" s="21">
        <v>0.255681126237914</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O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180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169</v>
      </c>
      <c r="C9" s="17">
        <v>0.550388176172385</v>
      </c>
      <c r="D9" s="17">
        <v>0.60607162075610999</v>
      </c>
      <c r="E9" s="17">
        <v>0.49583725766609099</v>
      </c>
      <c r="F9" s="17"/>
      <c r="G9" s="17">
        <v>0.63372183789314995</v>
      </c>
      <c r="H9" s="17">
        <v>0.46893649360837197</v>
      </c>
      <c r="I9" s="17">
        <v>0.55336605451927601</v>
      </c>
      <c r="J9" s="17">
        <v>0.52808541854730995</v>
      </c>
      <c r="K9" s="17"/>
      <c r="L9" s="17">
        <v>0.51852716720778702</v>
      </c>
      <c r="M9" s="17">
        <v>0.51490907735590896</v>
      </c>
      <c r="N9" s="17">
        <v>0.57079415467307804</v>
      </c>
      <c r="O9" s="17">
        <v>0.59830961776077296</v>
      </c>
    </row>
    <row r="10" spans="2:15" x14ac:dyDescent="0.3">
      <c r="B10" s="18" t="s">
        <v>170</v>
      </c>
      <c r="C10" s="17">
        <v>0.40961032789144802</v>
      </c>
      <c r="D10" s="17">
        <v>0.43038840241585902</v>
      </c>
      <c r="E10" s="17">
        <v>0.38889917372258997</v>
      </c>
      <c r="F10" s="17"/>
      <c r="G10" s="17">
        <v>0.43755556302981002</v>
      </c>
      <c r="H10" s="17">
        <v>0.470431635757941</v>
      </c>
      <c r="I10" s="17">
        <v>0.41161130388467299</v>
      </c>
      <c r="J10" s="17">
        <v>0.305631825337844</v>
      </c>
      <c r="K10" s="17"/>
      <c r="L10" s="17">
        <v>0.27619695952278001</v>
      </c>
      <c r="M10" s="17">
        <v>0.504952187912733</v>
      </c>
      <c r="N10" s="17">
        <v>0.44780147867494902</v>
      </c>
      <c r="O10" s="17">
        <v>0.39908522137327501</v>
      </c>
    </row>
    <row r="11" spans="2:15" x14ac:dyDescent="0.3">
      <c r="B11" s="18" t="s">
        <v>171</v>
      </c>
      <c r="C11" s="17">
        <v>0.35021824241980798</v>
      </c>
      <c r="D11" s="17">
        <v>0.38608751550797399</v>
      </c>
      <c r="E11" s="17">
        <v>0.31400025535125498</v>
      </c>
      <c r="F11" s="17"/>
      <c r="G11" s="17">
        <v>0.431310411954346</v>
      </c>
      <c r="H11" s="17">
        <v>0.31421883336713202</v>
      </c>
      <c r="I11" s="17">
        <v>0.29799925402431399</v>
      </c>
      <c r="J11" s="17">
        <v>0.33596259197148798</v>
      </c>
      <c r="K11" s="17"/>
      <c r="L11" s="17">
        <v>0.27705156979745899</v>
      </c>
      <c r="M11" s="17">
        <v>0.39858920974568901</v>
      </c>
      <c r="N11" s="17">
        <v>0.36829434252773202</v>
      </c>
      <c r="O11" s="17">
        <v>0.35176703871103598</v>
      </c>
    </row>
    <row r="12" spans="2:15" x14ac:dyDescent="0.3">
      <c r="B12" s="18" t="s">
        <v>172</v>
      </c>
      <c r="C12" s="17">
        <v>0.30650005053235702</v>
      </c>
      <c r="D12" s="17">
        <v>0.375687908319493</v>
      </c>
      <c r="E12" s="17">
        <v>0.239624471813322</v>
      </c>
      <c r="F12" s="17"/>
      <c r="G12" s="17">
        <v>0.39003869004388297</v>
      </c>
      <c r="H12" s="17">
        <v>0.28552767553819502</v>
      </c>
      <c r="I12" s="17">
        <v>0.31319129504902299</v>
      </c>
      <c r="J12" s="17">
        <v>0.21789783469051699</v>
      </c>
      <c r="K12" s="17"/>
      <c r="L12" s="17">
        <v>0.24767126900304701</v>
      </c>
      <c r="M12" s="17">
        <v>0.26946439048596499</v>
      </c>
      <c r="N12" s="17">
        <v>0.33823204742240898</v>
      </c>
      <c r="O12" s="17">
        <v>0.37079389396553197</v>
      </c>
    </row>
    <row r="13" spans="2:15" x14ac:dyDescent="0.3">
      <c r="B13" s="18" t="s">
        <v>173</v>
      </c>
      <c r="C13" s="17">
        <v>0.26976273458627298</v>
      </c>
      <c r="D13" s="17">
        <v>0.24865339646868201</v>
      </c>
      <c r="E13" s="17">
        <v>0.292813888070386</v>
      </c>
      <c r="F13" s="17"/>
      <c r="G13" s="17">
        <v>0.33161459260107801</v>
      </c>
      <c r="H13" s="17">
        <v>0.23867372922218599</v>
      </c>
      <c r="I13" s="17">
        <v>0.28334494610211702</v>
      </c>
      <c r="J13" s="17">
        <v>0.214288806840461</v>
      </c>
      <c r="K13" s="17"/>
      <c r="L13" s="17">
        <v>0.20301029174190899</v>
      </c>
      <c r="M13" s="17">
        <v>0.23934429534132201</v>
      </c>
      <c r="N13" s="17">
        <v>0.30755555070198298</v>
      </c>
      <c r="O13" s="17">
        <v>0.328295826432428</v>
      </c>
    </row>
    <row r="14" spans="2:15" x14ac:dyDescent="0.3">
      <c r="B14" s="18" t="s">
        <v>174</v>
      </c>
      <c r="C14" s="17">
        <v>0.25787397910419702</v>
      </c>
      <c r="D14" s="17">
        <v>0.30237488361750298</v>
      </c>
      <c r="E14" s="17">
        <v>0.212361244341186</v>
      </c>
      <c r="F14" s="17"/>
      <c r="G14" s="17">
        <v>0.30532279049663802</v>
      </c>
      <c r="H14" s="17">
        <v>0.25562212949233398</v>
      </c>
      <c r="I14" s="17">
        <v>0.184375284435115</v>
      </c>
      <c r="J14" s="17">
        <v>0.26779204928900502</v>
      </c>
      <c r="K14" s="17"/>
      <c r="L14" s="17">
        <v>0.22033140067381499</v>
      </c>
      <c r="M14" s="17">
        <v>0.30974702001259302</v>
      </c>
      <c r="N14" s="17">
        <v>0.207243530806202</v>
      </c>
      <c r="O14" s="17">
        <v>0.29446339312261999</v>
      </c>
    </row>
    <row r="15" spans="2:15" ht="28.8" x14ac:dyDescent="0.3">
      <c r="B15" s="18" t="s">
        <v>175</v>
      </c>
      <c r="C15" s="17">
        <v>0.169864977502553</v>
      </c>
      <c r="D15" s="17">
        <v>0.12500146128105599</v>
      </c>
      <c r="E15" s="17">
        <v>0.21156968703120599</v>
      </c>
      <c r="F15" s="17"/>
      <c r="G15" s="17">
        <v>0.11261606199539401</v>
      </c>
      <c r="H15" s="17">
        <v>0.217855932071642</v>
      </c>
      <c r="I15" s="17">
        <v>0.159153568504208</v>
      </c>
      <c r="J15" s="17">
        <v>0.20103216204934299</v>
      </c>
      <c r="K15" s="17"/>
      <c r="L15" s="17">
        <v>0.21886174869293601</v>
      </c>
      <c r="M15" s="17">
        <v>0.159170575830411</v>
      </c>
      <c r="N15" s="17">
        <v>0.109276405740152</v>
      </c>
      <c r="O15" s="17">
        <v>0.198010409338439</v>
      </c>
    </row>
    <row r="16" spans="2:15" x14ac:dyDescent="0.3">
      <c r="B16" s="18" t="s">
        <v>176</v>
      </c>
      <c r="C16" s="17">
        <v>0.115382163949551</v>
      </c>
      <c r="D16" s="17">
        <v>0.123307983259618</v>
      </c>
      <c r="E16" s="17">
        <v>0.108306185096571</v>
      </c>
      <c r="F16" s="17"/>
      <c r="G16" s="17">
        <v>0.153116207815789</v>
      </c>
      <c r="H16" s="17">
        <v>8.5216128689330206E-2</v>
      </c>
      <c r="I16" s="17">
        <v>0.124863784362963</v>
      </c>
      <c r="J16" s="17">
        <v>9.2768858253148401E-2</v>
      </c>
      <c r="K16" s="17"/>
      <c r="L16" s="17">
        <v>0.101640886250099</v>
      </c>
      <c r="M16" s="17">
        <v>0.10474248603311501</v>
      </c>
      <c r="N16" s="17">
        <v>0.111642184235914</v>
      </c>
      <c r="O16" s="17">
        <v>0.14462080046100201</v>
      </c>
    </row>
    <row r="17" spans="2:15" x14ac:dyDescent="0.3">
      <c r="B17" s="18" t="s">
        <v>177</v>
      </c>
      <c r="C17" s="17">
        <v>0.105385650505136</v>
      </c>
      <c r="D17" s="17">
        <v>0.12566608676928701</v>
      </c>
      <c r="E17" s="17">
        <v>8.5896265599977095E-2</v>
      </c>
      <c r="F17" s="17"/>
      <c r="G17" s="17">
        <v>0.15251609922279999</v>
      </c>
      <c r="H17" s="17">
        <v>7.2664192801225699E-2</v>
      </c>
      <c r="I17" s="17">
        <v>0.116218212048152</v>
      </c>
      <c r="J17" s="17">
        <v>7.2130615089087205E-2</v>
      </c>
      <c r="K17" s="17"/>
      <c r="L17" s="17">
        <v>6.5147370305180599E-2</v>
      </c>
      <c r="M17" s="17">
        <v>0.12543216900114801</v>
      </c>
      <c r="N17" s="17">
        <v>0.137899892381012</v>
      </c>
      <c r="O17" s="17">
        <v>8.8834974533244501E-2</v>
      </c>
    </row>
    <row r="18" spans="2:15" x14ac:dyDescent="0.3">
      <c r="B18" s="18" t="s">
        <v>178</v>
      </c>
      <c r="C18" s="17">
        <v>0.104288636520985</v>
      </c>
      <c r="D18" s="17">
        <v>0.13258339420114301</v>
      </c>
      <c r="E18" s="17">
        <v>7.6786055412338405E-2</v>
      </c>
      <c r="F18" s="17"/>
      <c r="G18" s="17">
        <v>0.15009267751195299</v>
      </c>
      <c r="H18" s="17">
        <v>8.8710442008948495E-2</v>
      </c>
      <c r="I18" s="17">
        <v>7.3779046505923901E-2</v>
      </c>
      <c r="J18" s="17">
        <v>9.1022776996857499E-2</v>
      </c>
      <c r="K18" s="17"/>
      <c r="L18" s="17">
        <v>0.102524925621695</v>
      </c>
      <c r="M18" s="17">
        <v>8.78290950856144E-2</v>
      </c>
      <c r="N18" s="17">
        <v>0.123991453382162</v>
      </c>
      <c r="O18" s="17">
        <v>0.102414105546596</v>
      </c>
    </row>
    <row r="19" spans="2:15" x14ac:dyDescent="0.3">
      <c r="B19" s="18" t="s">
        <v>179</v>
      </c>
      <c r="C19" s="19">
        <v>1.1551293024114799E-3</v>
      </c>
      <c r="D19" s="19">
        <v>0</v>
      </c>
      <c r="E19" s="19">
        <v>2.31736193529872E-3</v>
      </c>
      <c r="F19" s="19"/>
      <c r="G19" s="19">
        <v>3.8668710284980698E-3</v>
      </c>
      <c r="H19" s="19">
        <v>0</v>
      </c>
      <c r="I19" s="19">
        <v>0</v>
      </c>
      <c r="J19" s="19">
        <v>0</v>
      </c>
      <c r="K19" s="19"/>
      <c r="L19" s="19">
        <v>0</v>
      </c>
      <c r="M19" s="19">
        <v>0</v>
      </c>
      <c r="N19" s="19">
        <v>4.4347271819853203E-3</v>
      </c>
      <c r="O19" s="19">
        <v>0</v>
      </c>
    </row>
    <row r="20" spans="2:15" x14ac:dyDescent="0.3">
      <c r="B20" s="16"/>
    </row>
    <row r="21" spans="2:15" x14ac:dyDescent="0.3">
      <c r="B21" t="s">
        <v>47</v>
      </c>
    </row>
    <row r="22" spans="2:15" x14ac:dyDescent="0.3">
      <c r="B22" t="s">
        <v>48</v>
      </c>
    </row>
    <row r="24" spans="2:15" x14ac:dyDescent="0.3">
      <c r="B24"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O2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194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181</v>
      </c>
      <c r="C9" s="17">
        <v>0.58921526423800996</v>
      </c>
      <c r="D9" s="17">
        <v>0.67408040549824599</v>
      </c>
      <c r="E9" s="17">
        <v>0.50579879848076603</v>
      </c>
      <c r="F9" s="17"/>
      <c r="G9" s="17">
        <v>0.642011763485552</v>
      </c>
      <c r="H9" s="17">
        <v>0.52353741351748095</v>
      </c>
      <c r="I9" s="17">
        <v>0.56546643429823895</v>
      </c>
      <c r="J9" s="17">
        <v>0.62138554874262797</v>
      </c>
      <c r="K9" s="17"/>
      <c r="L9" s="17">
        <v>0.54414049066720405</v>
      </c>
      <c r="M9" s="17">
        <v>0.61965793206517095</v>
      </c>
      <c r="N9" s="17">
        <v>0.64527452476798997</v>
      </c>
      <c r="O9" s="17">
        <v>0.54081024169332903</v>
      </c>
    </row>
    <row r="10" spans="2:15" x14ac:dyDescent="0.3">
      <c r="B10" s="18" t="s">
        <v>182</v>
      </c>
      <c r="C10" s="17">
        <v>0.35733831903776597</v>
      </c>
      <c r="D10" s="17">
        <v>0.35546032563052099</v>
      </c>
      <c r="E10" s="17">
        <v>0.361818198542532</v>
      </c>
      <c r="F10" s="17"/>
      <c r="G10" s="17">
        <v>0.43749876344352001</v>
      </c>
      <c r="H10" s="17">
        <v>0.34365185257346698</v>
      </c>
      <c r="I10" s="17">
        <v>0.32054459285839598</v>
      </c>
      <c r="J10" s="17">
        <v>0.30495083742256801</v>
      </c>
      <c r="K10" s="17"/>
      <c r="L10" s="17">
        <v>0.32565437269508302</v>
      </c>
      <c r="M10" s="17">
        <v>0.38627545181231798</v>
      </c>
      <c r="N10" s="17">
        <v>0.371407565451851</v>
      </c>
      <c r="O10" s="17">
        <v>0.34265124196226299</v>
      </c>
    </row>
    <row r="11" spans="2:15" x14ac:dyDescent="0.3">
      <c r="B11" s="18" t="s">
        <v>183</v>
      </c>
      <c r="C11" s="17">
        <v>0.29257324522136002</v>
      </c>
      <c r="D11" s="17">
        <v>0.39028939911483401</v>
      </c>
      <c r="E11" s="17">
        <v>0.19710034412431399</v>
      </c>
      <c r="F11" s="17"/>
      <c r="G11" s="17">
        <v>0.34294619297934598</v>
      </c>
      <c r="H11" s="17">
        <v>0.26237713685116898</v>
      </c>
      <c r="I11" s="17">
        <v>0.26671260612133002</v>
      </c>
      <c r="J11" s="17">
        <v>0.287202193135428</v>
      </c>
      <c r="K11" s="17"/>
      <c r="L11" s="17">
        <v>0.20784130189342001</v>
      </c>
      <c r="M11" s="17">
        <v>0.32325422308318302</v>
      </c>
      <c r="N11" s="17">
        <v>0.29847273398694102</v>
      </c>
      <c r="O11" s="17">
        <v>0.33790878135341401</v>
      </c>
    </row>
    <row r="12" spans="2:15" ht="28.8" x14ac:dyDescent="0.3">
      <c r="B12" s="18" t="s">
        <v>184</v>
      </c>
      <c r="C12" s="17">
        <v>0.21818244192764499</v>
      </c>
      <c r="D12" s="17">
        <v>0.25280171440404497</v>
      </c>
      <c r="E12" s="17">
        <v>0.18519251828348701</v>
      </c>
      <c r="F12" s="17"/>
      <c r="G12" s="17">
        <v>0.30146888592361898</v>
      </c>
      <c r="H12" s="17">
        <v>0.14697652689398</v>
      </c>
      <c r="I12" s="17">
        <v>0.21767761059038601</v>
      </c>
      <c r="J12" s="17">
        <v>0.19278764782617899</v>
      </c>
      <c r="K12" s="17"/>
      <c r="L12" s="17">
        <v>0.17794382240967499</v>
      </c>
      <c r="M12" s="17">
        <v>0.24902605837740599</v>
      </c>
      <c r="N12" s="17">
        <v>0.25274606534646099</v>
      </c>
      <c r="O12" s="17">
        <v>0.18779688201563999</v>
      </c>
    </row>
    <row r="13" spans="2:15" x14ac:dyDescent="0.3">
      <c r="B13" s="18" t="s">
        <v>185</v>
      </c>
      <c r="C13" s="17">
        <v>0.20670169026280699</v>
      </c>
      <c r="D13" s="17">
        <v>0.23443356783628699</v>
      </c>
      <c r="E13" s="17">
        <v>0.17756599444045401</v>
      </c>
      <c r="F13" s="17"/>
      <c r="G13" s="17">
        <v>0.30198277093889703</v>
      </c>
      <c r="H13" s="17">
        <v>0.156942096456721</v>
      </c>
      <c r="I13" s="17">
        <v>0.16851253938344599</v>
      </c>
      <c r="J13" s="17">
        <v>0.175653883913514</v>
      </c>
      <c r="K13" s="17"/>
      <c r="L13" s="17">
        <v>0.15386953349794399</v>
      </c>
      <c r="M13" s="17">
        <v>0.22658397880557701</v>
      </c>
      <c r="N13" s="17">
        <v>0.22062377183076401</v>
      </c>
      <c r="O13" s="17">
        <v>0.22306306947243401</v>
      </c>
    </row>
    <row r="14" spans="2:15" x14ac:dyDescent="0.3">
      <c r="B14" s="18" t="s">
        <v>186</v>
      </c>
      <c r="C14" s="17">
        <v>0.18984691665408801</v>
      </c>
      <c r="D14" s="17">
        <v>0.213314996668687</v>
      </c>
      <c r="E14" s="17">
        <v>0.167789007783995</v>
      </c>
      <c r="F14" s="17"/>
      <c r="G14" s="17">
        <v>0.22691967999065499</v>
      </c>
      <c r="H14" s="17">
        <v>0.185378517675509</v>
      </c>
      <c r="I14" s="17">
        <v>0.156576451582145</v>
      </c>
      <c r="J14" s="17">
        <v>0.17853430454171601</v>
      </c>
      <c r="K14" s="17"/>
      <c r="L14" s="17">
        <v>0.13725103937348301</v>
      </c>
      <c r="M14" s="17">
        <v>0.19834276184822799</v>
      </c>
      <c r="N14" s="17">
        <v>0.19494561467433699</v>
      </c>
      <c r="O14" s="17">
        <v>0.22777973458269599</v>
      </c>
    </row>
    <row r="15" spans="2:15" x14ac:dyDescent="0.3">
      <c r="B15" s="18" t="s">
        <v>187</v>
      </c>
      <c r="C15" s="17">
        <v>0.18733104765917</v>
      </c>
      <c r="D15" s="17">
        <v>0.15858985549896201</v>
      </c>
      <c r="E15" s="17">
        <v>0.217404668460109</v>
      </c>
      <c r="F15" s="17"/>
      <c r="G15" s="17">
        <v>0.27392554460200202</v>
      </c>
      <c r="H15" s="17">
        <v>0.14792381751880901</v>
      </c>
      <c r="I15" s="17">
        <v>8.9615466046087305E-2</v>
      </c>
      <c r="J15" s="17">
        <v>0.21000916184565299</v>
      </c>
      <c r="K15" s="17"/>
      <c r="L15" s="17">
        <v>0.15316456528365099</v>
      </c>
      <c r="M15" s="17">
        <v>0.17637151765981901</v>
      </c>
      <c r="N15" s="17">
        <v>0.22026880714518099</v>
      </c>
      <c r="O15" s="17">
        <v>0.19760475468172201</v>
      </c>
    </row>
    <row r="16" spans="2:15" ht="28.8" x14ac:dyDescent="0.3">
      <c r="B16" s="18" t="s">
        <v>188</v>
      </c>
      <c r="C16" s="17">
        <v>0.17324576207824899</v>
      </c>
      <c r="D16" s="17">
        <v>0.18468826282687401</v>
      </c>
      <c r="E16" s="17">
        <v>0.16307877142726199</v>
      </c>
      <c r="F16" s="17"/>
      <c r="G16" s="17">
        <v>0.19920909180240301</v>
      </c>
      <c r="H16" s="17">
        <v>0.178651335535078</v>
      </c>
      <c r="I16" s="17">
        <v>0.18217786094449501</v>
      </c>
      <c r="J16" s="17">
        <v>0.118609372955014</v>
      </c>
      <c r="K16" s="17"/>
      <c r="L16" s="17">
        <v>0.16307604532193501</v>
      </c>
      <c r="M16" s="17">
        <v>0.16657957060193301</v>
      </c>
      <c r="N16" s="17">
        <v>0.17723596810836001</v>
      </c>
      <c r="O16" s="17">
        <v>0.18626396161737399</v>
      </c>
    </row>
    <row r="17" spans="2:15" x14ac:dyDescent="0.3">
      <c r="B17" s="18" t="s">
        <v>189</v>
      </c>
      <c r="C17" s="17">
        <v>0.167697119353652</v>
      </c>
      <c r="D17" s="17">
        <v>0.21241254721792499</v>
      </c>
      <c r="E17" s="17">
        <v>0.124254628192888</v>
      </c>
      <c r="F17" s="17"/>
      <c r="G17" s="17">
        <v>0.23856315004084899</v>
      </c>
      <c r="H17" s="17">
        <v>0.117356177819833</v>
      </c>
      <c r="I17" s="17">
        <v>0.14556343117856599</v>
      </c>
      <c r="J17" s="17">
        <v>0.15412511512142599</v>
      </c>
      <c r="K17" s="17"/>
      <c r="L17" s="17">
        <v>0.11514714742957199</v>
      </c>
      <c r="M17" s="17">
        <v>0.16575993299379199</v>
      </c>
      <c r="N17" s="17">
        <v>0.17662512766088501</v>
      </c>
      <c r="O17" s="17">
        <v>0.212659025180502</v>
      </c>
    </row>
    <row r="18" spans="2:15" x14ac:dyDescent="0.3">
      <c r="B18" s="18" t="s">
        <v>190</v>
      </c>
      <c r="C18" s="17">
        <v>0.111265298366855</v>
      </c>
      <c r="D18" s="17">
        <v>9.3890520016654905E-2</v>
      </c>
      <c r="E18" s="17">
        <v>0.129431127012895</v>
      </c>
      <c r="F18" s="17"/>
      <c r="G18" s="17">
        <v>0.16403325476486899</v>
      </c>
      <c r="H18" s="17">
        <v>6.8689583845794697E-2</v>
      </c>
      <c r="I18" s="17">
        <v>9.62577300606762E-2</v>
      </c>
      <c r="J18" s="17">
        <v>0.105484857073451</v>
      </c>
      <c r="K18" s="17"/>
      <c r="L18" s="17">
        <v>0.13618273222642599</v>
      </c>
      <c r="M18" s="17">
        <v>9.2764952982396301E-2</v>
      </c>
      <c r="N18" s="17">
        <v>0.143276358555986</v>
      </c>
      <c r="O18" s="17">
        <v>7.1571102670521303E-2</v>
      </c>
    </row>
    <row r="19" spans="2:15" x14ac:dyDescent="0.3">
      <c r="B19" s="18" t="s">
        <v>191</v>
      </c>
      <c r="C19" s="17">
        <v>0.10889835668162499</v>
      </c>
      <c r="D19" s="17">
        <v>0.120278923007569</v>
      </c>
      <c r="E19" s="17">
        <v>9.8324312657308205E-2</v>
      </c>
      <c r="F19" s="17"/>
      <c r="G19" s="17">
        <v>0.13787627789276499</v>
      </c>
      <c r="H19" s="17">
        <v>0.107679977627965</v>
      </c>
      <c r="I19" s="17">
        <v>6.0612882696981001E-2</v>
      </c>
      <c r="J19" s="17">
        <v>0.11749338910412099</v>
      </c>
      <c r="K19" s="17"/>
      <c r="L19" s="17">
        <v>8.3093551811917798E-2</v>
      </c>
      <c r="M19" s="17">
        <v>6.2202519505574802E-2</v>
      </c>
      <c r="N19" s="17">
        <v>0.13138343957981599</v>
      </c>
      <c r="O19" s="17">
        <v>0.16057772234343801</v>
      </c>
    </row>
    <row r="20" spans="2:15" x14ac:dyDescent="0.3">
      <c r="B20" s="18" t="s">
        <v>192</v>
      </c>
      <c r="C20" s="17">
        <v>0.102860537118829</v>
      </c>
      <c r="D20" s="17">
        <v>0.163414740358266</v>
      </c>
      <c r="E20" s="17">
        <v>4.3124811358768597E-2</v>
      </c>
      <c r="F20" s="17"/>
      <c r="G20" s="17">
        <v>0.10323758670367</v>
      </c>
      <c r="H20" s="17">
        <v>0.127352566265031</v>
      </c>
      <c r="I20" s="17">
        <v>8.2178311271175405E-2</v>
      </c>
      <c r="J20" s="17">
        <v>9.42626794306856E-2</v>
      </c>
      <c r="K20" s="17"/>
      <c r="L20" s="17">
        <v>6.0086882713345301E-2</v>
      </c>
      <c r="M20" s="17">
        <v>0.13540016066237201</v>
      </c>
      <c r="N20" s="17">
        <v>0.112680492109954</v>
      </c>
      <c r="O20" s="17">
        <v>9.9991160411327107E-2</v>
      </c>
    </row>
    <row r="21" spans="2:15" x14ac:dyDescent="0.3">
      <c r="B21" s="18" t="s">
        <v>193</v>
      </c>
      <c r="C21" s="17">
        <v>8.2542682342068602E-2</v>
      </c>
      <c r="D21" s="17">
        <v>0.107167429032373</v>
      </c>
      <c r="E21" s="17">
        <v>5.8547467359897999E-2</v>
      </c>
      <c r="F21" s="17"/>
      <c r="G21" s="17">
        <v>0.123116559270738</v>
      </c>
      <c r="H21" s="17">
        <v>5.8406870354852897E-2</v>
      </c>
      <c r="I21" s="17">
        <v>7.9998348111779E-2</v>
      </c>
      <c r="J21" s="17">
        <v>6.0103433316865303E-2</v>
      </c>
      <c r="K21" s="17"/>
      <c r="L21" s="17">
        <v>5.9037114017183298E-2</v>
      </c>
      <c r="M21" s="17">
        <v>0.101200869605553</v>
      </c>
      <c r="N21" s="17">
        <v>0.101052501625447</v>
      </c>
      <c r="O21" s="17">
        <v>6.5924260144697905E-2</v>
      </c>
    </row>
    <row r="22" spans="2:15" x14ac:dyDescent="0.3">
      <c r="B22" s="18" t="s">
        <v>44</v>
      </c>
      <c r="C22" s="19">
        <v>0.193051870907127</v>
      </c>
      <c r="D22" s="19">
        <v>0.12954224959128999</v>
      </c>
      <c r="E22" s="19">
        <v>0.25355043751816098</v>
      </c>
      <c r="F22" s="19"/>
      <c r="G22" s="19">
        <v>0.14673094016345301</v>
      </c>
      <c r="H22" s="19">
        <v>0.22220227319292499</v>
      </c>
      <c r="I22" s="19">
        <v>0.22710686550461101</v>
      </c>
      <c r="J22" s="19">
        <v>0.19070959087051001</v>
      </c>
      <c r="K22" s="19"/>
      <c r="L22" s="19">
        <v>0.244065847340697</v>
      </c>
      <c r="M22" s="19">
        <v>0.17232680274555001</v>
      </c>
      <c r="N22" s="19">
        <v>0.13823268826867599</v>
      </c>
      <c r="O22" s="19">
        <v>0.223720491414787</v>
      </c>
    </row>
    <row r="23" spans="2:15" x14ac:dyDescent="0.3">
      <c r="B23" s="16"/>
    </row>
    <row r="24" spans="2:15" x14ac:dyDescent="0.3">
      <c r="B24" t="s">
        <v>47</v>
      </c>
    </row>
    <row r="25" spans="2:15" x14ac:dyDescent="0.3">
      <c r="B25" t="s">
        <v>48</v>
      </c>
    </row>
    <row r="27" spans="2:15" x14ac:dyDescent="0.3">
      <c r="B27"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O31"/>
  <sheetViews>
    <sheetView showGridLines="0" topLeftCell="A11" workbookViewId="0">
      <pane xSplit="2" topLeftCell="C1" activePane="topRight" state="frozen"/>
      <selection pane="topRight" activeCell="B22" sqref="B22"/>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213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195</v>
      </c>
      <c r="C9" s="17">
        <v>0.65395775891874497</v>
      </c>
      <c r="D9" s="17">
        <v>0.753835911556335</v>
      </c>
      <c r="E9" s="17">
        <v>0.55601716146108704</v>
      </c>
      <c r="F9" s="17"/>
      <c r="G9" s="17">
        <v>0.71946894756524404</v>
      </c>
      <c r="H9" s="17">
        <v>0.65178746664370701</v>
      </c>
      <c r="I9" s="17">
        <v>0.61417366002402096</v>
      </c>
      <c r="J9" s="17">
        <v>0.61264832931066404</v>
      </c>
      <c r="K9" s="17"/>
      <c r="L9" s="17">
        <v>0.59376963837363606</v>
      </c>
      <c r="M9" s="17">
        <v>0.69921179158403002</v>
      </c>
      <c r="N9" s="17">
        <v>0.71113356499373703</v>
      </c>
      <c r="O9" s="17">
        <v>0.60352305440935305</v>
      </c>
    </row>
    <row r="10" spans="2:15" x14ac:dyDescent="0.3">
      <c r="B10" s="18" t="s">
        <v>196</v>
      </c>
      <c r="C10" s="17">
        <v>0.236483701222542</v>
      </c>
      <c r="D10" s="17">
        <v>0.19137506872704901</v>
      </c>
      <c r="E10" s="17">
        <v>0.28326432689625503</v>
      </c>
      <c r="F10" s="17"/>
      <c r="G10" s="17">
        <v>0.28155266053065803</v>
      </c>
      <c r="H10" s="17">
        <v>0.21261453023837801</v>
      </c>
      <c r="I10" s="17">
        <v>0.22708437725292499</v>
      </c>
      <c r="J10" s="17">
        <v>0.207436416452661</v>
      </c>
      <c r="K10" s="17"/>
      <c r="L10" s="17">
        <v>0.211810846785395</v>
      </c>
      <c r="M10" s="17">
        <v>0.206737959862066</v>
      </c>
      <c r="N10" s="17">
        <v>0.27371402760524999</v>
      </c>
      <c r="O10" s="17">
        <v>0.25282290869347901</v>
      </c>
    </row>
    <row r="11" spans="2:15" x14ac:dyDescent="0.3">
      <c r="B11" s="18" t="s">
        <v>197</v>
      </c>
      <c r="C11" s="17">
        <v>0.19758958116893299</v>
      </c>
      <c r="D11" s="17">
        <v>0.202029953049913</v>
      </c>
      <c r="E11" s="17">
        <v>0.19459415183341999</v>
      </c>
      <c r="F11" s="17"/>
      <c r="G11" s="17">
        <v>0.30143086793121199</v>
      </c>
      <c r="H11" s="17">
        <v>0.16752845860544599</v>
      </c>
      <c r="I11" s="17">
        <v>0.19870514752118401</v>
      </c>
      <c r="J11" s="17">
        <v>9.7102234055053097E-2</v>
      </c>
      <c r="K11" s="17"/>
      <c r="L11" s="17">
        <v>0.19248297837498601</v>
      </c>
      <c r="M11" s="17">
        <v>0.215135232956641</v>
      </c>
      <c r="N11" s="17">
        <v>0.187143663467149</v>
      </c>
      <c r="O11" s="17">
        <v>0.195137726974247</v>
      </c>
    </row>
    <row r="12" spans="2:15" ht="28.8" x14ac:dyDescent="0.3">
      <c r="B12" s="18" t="s">
        <v>198</v>
      </c>
      <c r="C12" s="17">
        <v>0.192126980244123</v>
      </c>
      <c r="D12" s="17">
        <v>0.130531306091591</v>
      </c>
      <c r="E12" s="17">
        <v>0.25070703762902602</v>
      </c>
      <c r="F12" s="17"/>
      <c r="G12" s="17">
        <v>0.142680629228459</v>
      </c>
      <c r="H12" s="17">
        <v>0.20501556283259001</v>
      </c>
      <c r="I12" s="17">
        <v>0.18425686834301999</v>
      </c>
      <c r="J12" s="17">
        <v>0.25056189373481103</v>
      </c>
      <c r="K12" s="17"/>
      <c r="L12" s="17">
        <v>0.23143694612843899</v>
      </c>
      <c r="M12" s="17">
        <v>0.176568078492324</v>
      </c>
      <c r="N12" s="17">
        <v>0.132120113393357</v>
      </c>
      <c r="O12" s="17">
        <v>0.234562059878103</v>
      </c>
    </row>
    <row r="13" spans="2:15" x14ac:dyDescent="0.3">
      <c r="B13" s="18" t="s">
        <v>199</v>
      </c>
      <c r="C13" s="17">
        <v>0.189658987993991</v>
      </c>
      <c r="D13" s="17">
        <v>0.24319101682583699</v>
      </c>
      <c r="E13" s="17">
        <v>0.13462830389713801</v>
      </c>
      <c r="F13" s="17"/>
      <c r="G13" s="17">
        <v>0.22980902086789701</v>
      </c>
      <c r="H13" s="17">
        <v>0.13609499649461401</v>
      </c>
      <c r="I13" s="17">
        <v>0.21386392312691299</v>
      </c>
      <c r="J13" s="17">
        <v>0.177609550265169</v>
      </c>
      <c r="K13" s="17"/>
      <c r="L13" s="17">
        <v>0.18088962990455101</v>
      </c>
      <c r="M13" s="17">
        <v>0.17683367410714701</v>
      </c>
      <c r="N13" s="17">
        <v>0.17733095253452</v>
      </c>
      <c r="O13" s="17">
        <v>0.22558064640643399</v>
      </c>
    </row>
    <row r="14" spans="2:15" x14ac:dyDescent="0.3">
      <c r="B14" s="18" t="s">
        <v>200</v>
      </c>
      <c r="C14" s="17">
        <v>0.1699191064043</v>
      </c>
      <c r="D14" s="17">
        <v>0.216314309522883</v>
      </c>
      <c r="E14" s="17">
        <v>0.124814943630671</v>
      </c>
      <c r="F14" s="17"/>
      <c r="G14" s="17">
        <v>0.20266029181539699</v>
      </c>
      <c r="H14" s="17">
        <v>0.1615813670515</v>
      </c>
      <c r="I14" s="17">
        <v>0.200530082228462</v>
      </c>
      <c r="J14" s="17">
        <v>0.110180396854431</v>
      </c>
      <c r="K14" s="17"/>
      <c r="L14" s="17">
        <v>0.111230980589997</v>
      </c>
      <c r="M14" s="17">
        <v>0.177429856657813</v>
      </c>
      <c r="N14" s="17">
        <v>0.22491673860605099</v>
      </c>
      <c r="O14" s="17">
        <v>0.16094671751519901</v>
      </c>
    </row>
    <row r="15" spans="2:15" x14ac:dyDescent="0.3">
      <c r="B15" s="18" t="s">
        <v>201</v>
      </c>
      <c r="C15" s="17">
        <v>0.150784188966749</v>
      </c>
      <c r="D15" s="17">
        <v>0.10578022719529601</v>
      </c>
      <c r="E15" s="17">
        <v>0.19389408045831699</v>
      </c>
      <c r="F15" s="17"/>
      <c r="G15" s="17">
        <v>0.207244655448904</v>
      </c>
      <c r="H15" s="17">
        <v>0.14878823123052401</v>
      </c>
      <c r="I15" s="17">
        <v>8.3172726631682903E-2</v>
      </c>
      <c r="J15" s="17">
        <v>0.14246073160370601</v>
      </c>
      <c r="K15" s="17"/>
      <c r="L15" s="17">
        <v>0.19005737777698101</v>
      </c>
      <c r="M15" s="17">
        <v>0.15192501110329501</v>
      </c>
      <c r="N15" s="17">
        <v>0.140473119394981</v>
      </c>
      <c r="O15" s="17">
        <v>0.121454077469953</v>
      </c>
    </row>
    <row r="16" spans="2:15" x14ac:dyDescent="0.3">
      <c r="B16" s="18" t="s">
        <v>202</v>
      </c>
      <c r="C16" s="17">
        <v>0.14656836331915399</v>
      </c>
      <c r="D16" s="17">
        <v>0.17403461001001699</v>
      </c>
      <c r="E16" s="17">
        <v>0.120201454491559</v>
      </c>
      <c r="F16" s="17"/>
      <c r="G16" s="17">
        <v>0.19055795194152</v>
      </c>
      <c r="H16" s="17">
        <v>0.12789423757402801</v>
      </c>
      <c r="I16" s="17">
        <v>0.116369593792018</v>
      </c>
      <c r="J16" s="17">
        <v>0.139229529073708</v>
      </c>
      <c r="K16" s="17"/>
      <c r="L16" s="17">
        <v>0.14489915136502099</v>
      </c>
      <c r="M16" s="17">
        <v>0.131888329583915</v>
      </c>
      <c r="N16" s="17">
        <v>0.14173662094925499</v>
      </c>
      <c r="O16" s="17">
        <v>0.169264120343736</v>
      </c>
    </row>
    <row r="17" spans="2:15" x14ac:dyDescent="0.3">
      <c r="B17" s="18" t="s">
        <v>203</v>
      </c>
      <c r="C17" s="17">
        <v>0.124822677236079</v>
      </c>
      <c r="D17" s="17">
        <v>0.14608545895257</v>
      </c>
      <c r="E17" s="17">
        <v>0.10449370766847101</v>
      </c>
      <c r="F17" s="17"/>
      <c r="G17" s="17">
        <v>0.185435880990619</v>
      </c>
      <c r="H17" s="17">
        <v>9.7204411147214204E-2</v>
      </c>
      <c r="I17" s="17">
        <v>0.11117850891447401</v>
      </c>
      <c r="J17" s="17">
        <v>9.0718600736586094E-2</v>
      </c>
      <c r="K17" s="17"/>
      <c r="L17" s="17">
        <v>0.11466763992522901</v>
      </c>
      <c r="M17" s="17">
        <v>0.136160905739004</v>
      </c>
      <c r="N17" s="17">
        <v>0.15104537270271801</v>
      </c>
      <c r="O17" s="17">
        <v>9.43726092503782E-2</v>
      </c>
    </row>
    <row r="18" spans="2:15" x14ac:dyDescent="0.3">
      <c r="B18" s="18" t="s">
        <v>204</v>
      </c>
      <c r="C18" s="17">
        <v>9.8020802934594101E-2</v>
      </c>
      <c r="D18" s="17">
        <v>0.121710289002573</v>
      </c>
      <c r="E18" s="17">
        <v>7.5072577687415099E-2</v>
      </c>
      <c r="F18" s="17"/>
      <c r="G18" s="17">
        <v>0.208101701927835</v>
      </c>
      <c r="H18" s="17">
        <v>9.2355407615640595E-2</v>
      </c>
      <c r="I18" s="17">
        <v>3.7939239297705298E-2</v>
      </c>
      <c r="J18" s="17">
        <v>1.6782232514293598E-2</v>
      </c>
      <c r="K18" s="17"/>
      <c r="L18" s="17">
        <v>3.3738972328922798E-2</v>
      </c>
      <c r="M18" s="17">
        <v>0.11851904540649801</v>
      </c>
      <c r="N18" s="17">
        <v>0.15694398202485099</v>
      </c>
      <c r="O18" s="17">
        <v>7.6418049896953097E-2</v>
      </c>
    </row>
    <row r="19" spans="2:15" x14ac:dyDescent="0.3">
      <c r="B19" s="18" t="s">
        <v>205</v>
      </c>
      <c r="C19" s="17">
        <v>8.5769536369015006E-2</v>
      </c>
      <c r="D19" s="17">
        <v>4.6558025420231998E-2</v>
      </c>
      <c r="E19" s="17">
        <v>0.125561455042455</v>
      </c>
      <c r="F19" s="17"/>
      <c r="G19" s="17">
        <v>0.10441490830753999</v>
      </c>
      <c r="H19" s="17">
        <v>9.5293494530775999E-2</v>
      </c>
      <c r="I19" s="17">
        <v>5.3769840192302999E-2</v>
      </c>
      <c r="J19" s="17">
        <v>8.0575222643475997E-2</v>
      </c>
      <c r="K19" s="17"/>
      <c r="L19" s="17">
        <v>0.10216151377159099</v>
      </c>
      <c r="M19" s="17">
        <v>7.3236517028191603E-2</v>
      </c>
      <c r="N19" s="17">
        <v>6.28192917611681E-2</v>
      </c>
      <c r="O19" s="17">
        <v>0.10772281446128</v>
      </c>
    </row>
    <row r="20" spans="2:15" x14ac:dyDescent="0.3">
      <c r="B20" s="18" t="s">
        <v>206</v>
      </c>
      <c r="C20" s="17">
        <v>8.0093645831008503E-2</v>
      </c>
      <c r="D20" s="17">
        <v>0.11300548888222101</v>
      </c>
      <c r="E20" s="17">
        <v>4.7802917528010601E-2</v>
      </c>
      <c r="F20" s="17"/>
      <c r="G20" s="17">
        <v>0.13945440101235601</v>
      </c>
      <c r="H20" s="17">
        <v>8.5607351998373896E-2</v>
      </c>
      <c r="I20" s="17">
        <v>5.8828637118464297E-2</v>
      </c>
      <c r="J20" s="17">
        <v>1.6616402877356599E-2</v>
      </c>
      <c r="K20" s="17"/>
      <c r="L20" s="17">
        <v>4.8353921401645399E-2</v>
      </c>
      <c r="M20" s="17">
        <v>8.4416228077438996E-2</v>
      </c>
      <c r="N20" s="17">
        <v>0.117133482368529</v>
      </c>
      <c r="O20" s="17">
        <v>6.7056830079624805E-2</v>
      </c>
    </row>
    <row r="21" spans="2:15" x14ac:dyDescent="0.3">
      <c r="B21" s="18" t="s">
        <v>207</v>
      </c>
      <c r="C21" s="17">
        <v>6.73128020254984E-2</v>
      </c>
      <c r="D21" s="17">
        <v>8.1748245452760396E-2</v>
      </c>
      <c r="E21" s="17">
        <v>5.3384311603224599E-2</v>
      </c>
      <c r="F21" s="17"/>
      <c r="G21" s="17">
        <v>9.5245991060234694E-2</v>
      </c>
      <c r="H21" s="17">
        <v>2.94588760489022E-2</v>
      </c>
      <c r="I21" s="17">
        <v>7.4430777620067903E-2</v>
      </c>
      <c r="J21" s="17">
        <v>6.7956925626455195E-2</v>
      </c>
      <c r="K21" s="17"/>
      <c r="L21" s="17">
        <v>8.9184992179091802E-2</v>
      </c>
      <c r="M21" s="17">
        <v>7.0008122359617703E-2</v>
      </c>
      <c r="N21" s="17">
        <v>5.1501985234466301E-2</v>
      </c>
      <c r="O21" s="17">
        <v>5.9669485460334099E-2</v>
      </c>
    </row>
    <row r="22" spans="2:15" x14ac:dyDescent="0.3">
      <c r="B22" s="18" t="s">
        <v>208</v>
      </c>
      <c r="C22" s="17">
        <v>5.8266265280545897E-2</v>
      </c>
      <c r="D22" s="17">
        <v>1.65135671868233E-2</v>
      </c>
      <c r="E22" s="17">
        <v>0.10039605555963001</v>
      </c>
      <c r="F22" s="17"/>
      <c r="G22" s="17">
        <v>8.9226632449219703E-2</v>
      </c>
      <c r="H22" s="17">
        <v>5.9946835457080301E-2</v>
      </c>
      <c r="I22" s="17">
        <v>5.4507007145774299E-2</v>
      </c>
      <c r="J22" s="17">
        <v>1.9955286259045399E-2</v>
      </c>
      <c r="K22" s="17"/>
      <c r="L22" s="17">
        <v>7.9897194750361999E-2</v>
      </c>
      <c r="M22" s="17">
        <v>8.0472664697792101E-2</v>
      </c>
      <c r="N22" s="17">
        <v>4.4961485033387698E-2</v>
      </c>
      <c r="O22" s="17">
        <v>2.7160145341749899E-2</v>
      </c>
    </row>
    <row r="23" spans="2:15" x14ac:dyDescent="0.3">
      <c r="B23" s="18" t="s">
        <v>209</v>
      </c>
      <c r="C23" s="17">
        <v>3.6612546980613302E-2</v>
      </c>
      <c r="D23" s="17">
        <v>2.6841386846561E-2</v>
      </c>
      <c r="E23" s="17">
        <v>4.6639394305339497E-2</v>
      </c>
      <c r="F23" s="17"/>
      <c r="G23" s="17">
        <v>7.6839078828515595E-2</v>
      </c>
      <c r="H23" s="17">
        <v>1.34988140292647E-2</v>
      </c>
      <c r="I23" s="17">
        <v>3.7726108909774597E-2</v>
      </c>
      <c r="J23" s="17">
        <v>9.7629290184502206E-3</v>
      </c>
      <c r="K23" s="17"/>
      <c r="L23" s="17">
        <v>2.14475571948817E-2</v>
      </c>
      <c r="M23" s="17">
        <v>6.1149847659092003E-2</v>
      </c>
      <c r="N23" s="17">
        <v>5.2689801068638402E-2</v>
      </c>
      <c r="O23" s="17">
        <v>7.9643244108029195E-3</v>
      </c>
    </row>
    <row r="24" spans="2:15" x14ac:dyDescent="0.3">
      <c r="B24" s="18" t="s">
        <v>210</v>
      </c>
      <c r="C24" s="17">
        <v>3.1039878188627801E-2</v>
      </c>
      <c r="D24" s="17">
        <v>2.5492330610197799E-2</v>
      </c>
      <c r="E24" s="17">
        <v>3.6807309408352903E-2</v>
      </c>
      <c r="F24" s="17"/>
      <c r="G24" s="17">
        <v>5.8553652005126501E-2</v>
      </c>
      <c r="H24" s="17">
        <v>2.2945546189663601E-2</v>
      </c>
      <c r="I24" s="17">
        <v>2.4993917515114698E-2</v>
      </c>
      <c r="J24" s="17">
        <v>1.0179711064890301E-2</v>
      </c>
      <c r="K24" s="17"/>
      <c r="L24" s="17">
        <v>3.8430636579898501E-2</v>
      </c>
      <c r="M24" s="17">
        <v>8.6283923035049906E-3</v>
      </c>
      <c r="N24" s="17">
        <v>3.5562545492690598E-2</v>
      </c>
      <c r="O24" s="17">
        <v>4.2858889276194002E-2</v>
      </c>
    </row>
    <row r="25" spans="2:15" x14ac:dyDescent="0.3">
      <c r="B25" s="18" t="s">
        <v>211</v>
      </c>
      <c r="C25" s="17">
        <v>2.40655094242564E-2</v>
      </c>
      <c r="D25" s="17">
        <v>1.8343885526490199E-2</v>
      </c>
      <c r="E25" s="17">
        <v>2.9955994730662201E-2</v>
      </c>
      <c r="F25" s="17"/>
      <c r="G25" s="17">
        <v>3.6893840391086202E-2</v>
      </c>
      <c r="H25" s="17">
        <v>3.2129399248576503E-2</v>
      </c>
      <c r="I25" s="17">
        <v>2.23205490552114E-2</v>
      </c>
      <c r="J25" s="17">
        <v>0</v>
      </c>
      <c r="K25" s="17"/>
      <c r="L25" s="17">
        <v>2.0602106858501199E-2</v>
      </c>
      <c r="M25" s="17">
        <v>3.0056528266011798E-2</v>
      </c>
      <c r="N25" s="17">
        <v>2.7999126869077198E-2</v>
      </c>
      <c r="O25" s="17">
        <v>1.6822609185930801E-2</v>
      </c>
    </row>
    <row r="26" spans="2:15" x14ac:dyDescent="0.3">
      <c r="B26" s="18" t="s">
        <v>212</v>
      </c>
      <c r="C26" s="19">
        <v>2.74267458952212E-3</v>
      </c>
      <c r="D26" s="19">
        <v>0</v>
      </c>
      <c r="E26" s="19">
        <v>5.5022149307450896E-3</v>
      </c>
      <c r="F26" s="19"/>
      <c r="G26" s="19">
        <v>9.1812828993952794E-3</v>
      </c>
      <c r="H26" s="19">
        <v>0</v>
      </c>
      <c r="I26" s="19">
        <v>0</v>
      </c>
      <c r="J26" s="19">
        <v>0</v>
      </c>
      <c r="K26" s="19"/>
      <c r="L26" s="19">
        <v>5.8541103247993099E-3</v>
      </c>
      <c r="M26" s="19">
        <v>0</v>
      </c>
      <c r="N26" s="19">
        <v>5.1257747326862403E-3</v>
      </c>
      <c r="O26" s="19">
        <v>0</v>
      </c>
    </row>
    <row r="27" spans="2:15" x14ac:dyDescent="0.3">
      <c r="B27" s="16"/>
    </row>
    <row r="28" spans="2:15" x14ac:dyDescent="0.3">
      <c r="B28" t="s">
        <v>47</v>
      </c>
    </row>
    <row r="29" spans="2:15" x14ac:dyDescent="0.3">
      <c r="B29" t="s">
        <v>48</v>
      </c>
    </row>
    <row r="31" spans="2:15" x14ac:dyDescent="0.3">
      <c r="B3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T22"/>
  <sheetViews>
    <sheetView showGridLines="0" workbookViewId="0">
      <pane xSplit="2" topLeftCell="C1" activePane="topRight" state="frozen"/>
      <selection pane="topRight" activeCell="E6" sqref="E6"/>
    </sheetView>
  </sheetViews>
  <sheetFormatPr defaultColWidth="11.5546875" defaultRowHeight="14.4" x14ac:dyDescent="0.3"/>
  <cols>
    <col min="2" max="2" width="25.6640625" customWidth="1"/>
    <col min="3" max="20" width="20.6640625" customWidth="1"/>
  </cols>
  <sheetData>
    <row r="2" spans="2:20" ht="40.049999999999997" customHeight="1" x14ac:dyDescent="0.3">
      <c r="D2" s="30" t="s">
        <v>240</v>
      </c>
      <c r="E2" s="26"/>
      <c r="F2" s="26"/>
      <c r="G2" s="26"/>
      <c r="H2" s="26"/>
      <c r="I2" s="26"/>
      <c r="J2" s="26"/>
      <c r="K2" s="26"/>
      <c r="L2" s="26"/>
      <c r="M2" s="26"/>
      <c r="N2" s="26"/>
      <c r="O2" s="26"/>
      <c r="P2" s="26"/>
      <c r="Q2" s="26"/>
      <c r="R2" s="26"/>
      <c r="S2" s="26"/>
      <c r="T2" s="26"/>
    </row>
    <row r="6" spans="2:20" ht="49.95" customHeight="1" x14ac:dyDescent="0.3">
      <c r="B6" s="20" t="s">
        <v>14</v>
      </c>
      <c r="C6" s="20" t="s">
        <v>214</v>
      </c>
      <c r="D6" s="20" t="s">
        <v>215</v>
      </c>
      <c r="E6" s="20" t="s">
        <v>216</v>
      </c>
      <c r="F6" s="20" t="s">
        <v>217</v>
      </c>
      <c r="G6" s="20" t="s">
        <v>218</v>
      </c>
      <c r="H6" s="20" t="s">
        <v>219</v>
      </c>
      <c r="I6" s="20" t="s">
        <v>220</v>
      </c>
      <c r="J6" s="20" t="s">
        <v>221</v>
      </c>
      <c r="K6" s="20" t="s">
        <v>222</v>
      </c>
      <c r="L6" s="20" t="s">
        <v>223</v>
      </c>
      <c r="M6" s="20" t="s">
        <v>224</v>
      </c>
      <c r="N6" s="20" t="s">
        <v>225</v>
      </c>
      <c r="O6" s="20" t="s">
        <v>226</v>
      </c>
      <c r="P6" s="20" t="s">
        <v>227</v>
      </c>
      <c r="Q6" s="20" t="s">
        <v>228</v>
      </c>
      <c r="R6" s="20" t="s">
        <v>229</v>
      </c>
      <c r="S6" s="20" t="s">
        <v>230</v>
      </c>
    </row>
    <row r="7" spans="2:20" x14ac:dyDescent="0.3">
      <c r="B7" s="18" t="s">
        <v>231</v>
      </c>
      <c r="C7" s="17">
        <v>7.2426798876808803E-3</v>
      </c>
      <c r="D7" s="17">
        <v>7.1765005998355003E-2</v>
      </c>
      <c r="E7" s="17">
        <v>2.15435070485623E-2</v>
      </c>
      <c r="F7" s="17">
        <v>0</v>
      </c>
      <c r="G7" s="17">
        <v>2.1393703554300401E-2</v>
      </c>
      <c r="H7" s="17">
        <v>3.9233392819755401E-2</v>
      </c>
      <c r="I7" s="17">
        <v>0</v>
      </c>
      <c r="J7" s="17">
        <v>1.9587687069497501E-2</v>
      </c>
      <c r="K7" s="17">
        <v>1.2662886536104E-2</v>
      </c>
      <c r="L7" s="17">
        <v>2.1840925421719001E-2</v>
      </c>
      <c r="M7" s="17">
        <v>0</v>
      </c>
      <c r="N7" s="17">
        <v>4.0901467471983997E-2</v>
      </c>
      <c r="O7" s="17">
        <v>0</v>
      </c>
      <c r="P7" s="17">
        <v>0</v>
      </c>
      <c r="Q7" s="17">
        <v>0</v>
      </c>
      <c r="R7" s="17">
        <v>1.45547842695949E-2</v>
      </c>
      <c r="S7" s="17">
        <v>2.1465287480179299E-2</v>
      </c>
    </row>
    <row r="8" spans="2:20" x14ac:dyDescent="0.3">
      <c r="B8" s="18" t="s">
        <v>232</v>
      </c>
      <c r="C8" s="17">
        <v>8.4567079387064897E-2</v>
      </c>
      <c r="D8" s="17">
        <v>0.33623474458943298</v>
      </c>
      <c r="E8" s="17">
        <v>0.140907091557325</v>
      </c>
      <c r="F8" s="17">
        <v>0.113094374895613</v>
      </c>
      <c r="G8" s="17">
        <v>9.6949524694379299E-2</v>
      </c>
      <c r="H8" s="17">
        <v>0.25994056649034503</v>
      </c>
      <c r="I8" s="17">
        <v>0.11708851082089</v>
      </c>
      <c r="J8" s="17">
        <v>0.111614476038711</v>
      </c>
      <c r="K8" s="17">
        <v>0.12526700160916299</v>
      </c>
      <c r="L8" s="17">
        <v>8.5686612028382597E-2</v>
      </c>
      <c r="M8" s="17">
        <v>0.10886943581091001</v>
      </c>
      <c r="N8" s="17">
        <v>0.13739864394971299</v>
      </c>
      <c r="O8" s="17">
        <v>9.3354202730587005E-2</v>
      </c>
      <c r="P8" s="17">
        <v>0</v>
      </c>
      <c r="Q8" s="17">
        <v>0.19297624664391899</v>
      </c>
      <c r="R8" s="17">
        <v>0.14784458544080101</v>
      </c>
      <c r="S8" s="17">
        <v>6.2702907377925998E-2</v>
      </c>
    </row>
    <row r="9" spans="2:20" x14ac:dyDescent="0.3">
      <c r="B9" s="18" t="s">
        <v>233</v>
      </c>
      <c r="C9" s="17">
        <v>0.24302919851326399</v>
      </c>
      <c r="D9" s="17">
        <v>0.28304192032905401</v>
      </c>
      <c r="E9" s="17">
        <v>0.15333498595856701</v>
      </c>
      <c r="F9" s="17">
        <v>0.154501877523642</v>
      </c>
      <c r="G9" s="17">
        <v>0.26766132874570803</v>
      </c>
      <c r="H9" s="17">
        <v>0.15248185566574901</v>
      </c>
      <c r="I9" s="17">
        <v>0.13142443036234999</v>
      </c>
      <c r="J9" s="17">
        <v>0.217560368793698</v>
      </c>
      <c r="K9" s="17">
        <v>0.22892982418282701</v>
      </c>
      <c r="L9" s="17">
        <v>0.18399412739076201</v>
      </c>
      <c r="M9" s="17">
        <v>0.14325298764468999</v>
      </c>
      <c r="N9" s="17">
        <v>0.21484269244875501</v>
      </c>
      <c r="O9" s="17">
        <v>0.130050169783236</v>
      </c>
      <c r="P9" s="17">
        <v>1</v>
      </c>
      <c r="Q9" s="17">
        <v>0.17553263443561101</v>
      </c>
      <c r="R9" s="17">
        <v>0.25845935429163702</v>
      </c>
      <c r="S9" s="17">
        <v>8.1998431929491605E-2</v>
      </c>
    </row>
    <row r="10" spans="2:20" x14ac:dyDescent="0.3">
      <c r="B10" s="18" t="s">
        <v>234</v>
      </c>
      <c r="C10" s="17">
        <v>0.164638791437792</v>
      </c>
      <c r="D10" s="17">
        <v>0.15399753851202599</v>
      </c>
      <c r="E10" s="17">
        <v>0.20096168114573701</v>
      </c>
      <c r="F10" s="17">
        <v>0.205585961635666</v>
      </c>
      <c r="G10" s="17">
        <v>0.21295625533384099</v>
      </c>
      <c r="H10" s="17">
        <v>0.249365730418106</v>
      </c>
      <c r="I10" s="17">
        <v>0.20510065735031899</v>
      </c>
      <c r="J10" s="17">
        <v>0.27639694534534198</v>
      </c>
      <c r="K10" s="17">
        <v>0.34671733378830999</v>
      </c>
      <c r="L10" s="17">
        <v>0.21471211666065801</v>
      </c>
      <c r="M10" s="17">
        <v>0.19692586942065499</v>
      </c>
      <c r="N10" s="17">
        <v>0.24506056546728</v>
      </c>
      <c r="O10" s="17">
        <v>0.31463695918706502</v>
      </c>
      <c r="P10" s="17">
        <v>0</v>
      </c>
      <c r="Q10" s="17">
        <v>0.24265728034425901</v>
      </c>
      <c r="R10" s="17">
        <v>0.35399300695186797</v>
      </c>
      <c r="S10" s="17">
        <v>0.31756291165788098</v>
      </c>
    </row>
    <row r="11" spans="2:20" x14ac:dyDescent="0.3">
      <c r="B11" s="18" t="s">
        <v>235</v>
      </c>
      <c r="C11" s="17">
        <v>0.12566151599535499</v>
      </c>
      <c r="D11" s="17">
        <v>6.6569629437287697E-2</v>
      </c>
      <c r="E11" s="17">
        <v>0.24715397379604301</v>
      </c>
      <c r="F11" s="17">
        <v>0.17544693617634799</v>
      </c>
      <c r="G11" s="17">
        <v>0.18680358443998299</v>
      </c>
      <c r="H11" s="17">
        <v>0.13795031277377301</v>
      </c>
      <c r="I11" s="17">
        <v>0.220143500878418</v>
      </c>
      <c r="J11" s="17">
        <v>0.176459091445648</v>
      </c>
      <c r="K11" s="17">
        <v>0.10399528552935999</v>
      </c>
      <c r="L11" s="17">
        <v>0.13801700982197099</v>
      </c>
      <c r="M11" s="17">
        <v>0.11792124568139201</v>
      </c>
      <c r="N11" s="17">
        <v>0.19685572026834</v>
      </c>
      <c r="O11" s="17">
        <v>0.24218517538471099</v>
      </c>
      <c r="P11" s="17">
        <v>0</v>
      </c>
      <c r="Q11" s="17">
        <v>0.25062586925305003</v>
      </c>
      <c r="R11" s="17">
        <v>9.9921049801414794E-2</v>
      </c>
      <c r="S11" s="17">
        <v>0.19185379406429601</v>
      </c>
    </row>
    <row r="12" spans="2:20" x14ac:dyDescent="0.3">
      <c r="B12" s="18" t="s">
        <v>236</v>
      </c>
      <c r="C12" s="17">
        <v>0.327064548793708</v>
      </c>
      <c r="D12" s="17">
        <v>6.6448593496886699E-2</v>
      </c>
      <c r="E12" s="17">
        <v>6.5507891725644599E-2</v>
      </c>
      <c r="F12" s="17">
        <v>0.131428073774046</v>
      </c>
      <c r="G12" s="17">
        <v>0.126600231687858</v>
      </c>
      <c r="H12" s="17">
        <v>7.6501456994331293E-2</v>
      </c>
      <c r="I12" s="17">
        <v>0.15479303887654999</v>
      </c>
      <c r="J12" s="17">
        <v>0.16467017443277099</v>
      </c>
      <c r="K12" s="17">
        <v>0.15125018821545699</v>
      </c>
      <c r="L12" s="17">
        <v>0.27133713396188203</v>
      </c>
      <c r="M12" s="17">
        <v>0.189816900301399</v>
      </c>
      <c r="N12" s="17">
        <v>0.13837610290348401</v>
      </c>
      <c r="O12" s="17">
        <v>0.19424044302239499</v>
      </c>
      <c r="P12" s="17">
        <v>0</v>
      </c>
      <c r="Q12" s="17">
        <v>6.0138255054849002E-2</v>
      </c>
      <c r="R12" s="17">
        <v>7.8068474929253007E-2</v>
      </c>
      <c r="S12" s="17">
        <v>0.27763006241356702</v>
      </c>
    </row>
    <row r="13" spans="2:20" x14ac:dyDescent="0.3">
      <c r="B13" s="18" t="s">
        <v>237</v>
      </c>
      <c r="C13" s="17">
        <v>3.16472654702106E-2</v>
      </c>
      <c r="D13" s="17">
        <v>1.3068050153665399E-2</v>
      </c>
      <c r="E13" s="17">
        <v>0</v>
      </c>
      <c r="F13" s="17">
        <v>8.4492998986583204E-2</v>
      </c>
      <c r="G13" s="17">
        <v>5.5733710285063798E-2</v>
      </c>
      <c r="H13" s="17">
        <v>2.9389165654348501E-2</v>
      </c>
      <c r="I13" s="17">
        <v>5.6017675301206098E-2</v>
      </c>
      <c r="J13" s="17">
        <v>9.8436359853099793E-3</v>
      </c>
      <c r="K13" s="17">
        <v>3.11774801387786E-2</v>
      </c>
      <c r="L13" s="17">
        <v>8.4412074714625099E-2</v>
      </c>
      <c r="M13" s="17">
        <v>8.1547363189183E-2</v>
      </c>
      <c r="N13" s="17">
        <v>0</v>
      </c>
      <c r="O13" s="17">
        <v>2.5533049892006301E-2</v>
      </c>
      <c r="P13" s="17">
        <v>0</v>
      </c>
      <c r="Q13" s="17">
        <v>7.8069714268311802E-2</v>
      </c>
      <c r="R13" s="17">
        <v>3.50718385151235E-2</v>
      </c>
      <c r="S13" s="17">
        <v>4.6786605076659403E-2</v>
      </c>
    </row>
    <row r="14" spans="2:20" ht="28.8" x14ac:dyDescent="0.3">
      <c r="B14" s="18" t="s">
        <v>238</v>
      </c>
      <c r="C14" s="17">
        <v>1.61489205149234E-2</v>
      </c>
      <c r="D14" s="17">
        <v>8.8745174832921096E-3</v>
      </c>
      <c r="E14" s="17">
        <v>0</v>
      </c>
      <c r="F14" s="17">
        <v>8.2945839121967194E-2</v>
      </c>
      <c r="G14" s="17">
        <v>0</v>
      </c>
      <c r="H14" s="17">
        <v>3.1775828318594303E-2</v>
      </c>
      <c r="I14" s="17">
        <v>0.11543218641026599</v>
      </c>
      <c r="J14" s="17">
        <v>2.3867620889023399E-2</v>
      </c>
      <c r="K14" s="17">
        <v>0</v>
      </c>
      <c r="L14" s="17">
        <v>0</v>
      </c>
      <c r="M14" s="17">
        <v>6.4465096617630696E-2</v>
      </c>
      <c r="N14" s="17">
        <v>2.6564807490443699E-2</v>
      </c>
      <c r="O14" s="17">
        <v>0</v>
      </c>
      <c r="P14" s="17">
        <v>0</v>
      </c>
      <c r="Q14" s="17">
        <v>0</v>
      </c>
      <c r="R14" s="17">
        <v>0</v>
      </c>
      <c r="S14" s="17">
        <v>0</v>
      </c>
    </row>
    <row r="15" spans="2:20" ht="28.8" x14ac:dyDescent="0.3">
      <c r="B15" s="18" t="s">
        <v>239</v>
      </c>
      <c r="C15" s="17">
        <v>0</v>
      </c>
      <c r="D15" s="17">
        <v>0</v>
      </c>
      <c r="E15" s="17">
        <v>0.17059086876812099</v>
      </c>
      <c r="F15" s="17">
        <v>5.2503937886134298E-2</v>
      </c>
      <c r="G15" s="17">
        <v>3.1901661258867203E-2</v>
      </c>
      <c r="H15" s="17">
        <v>2.3361690864998601E-2</v>
      </c>
      <c r="I15" s="17">
        <v>0</v>
      </c>
      <c r="J15" s="17">
        <v>0</v>
      </c>
      <c r="K15" s="17">
        <v>0</v>
      </c>
      <c r="L15" s="17">
        <v>0</v>
      </c>
      <c r="M15" s="17">
        <v>9.7201101334141393E-2</v>
      </c>
      <c r="N15" s="17">
        <v>0</v>
      </c>
      <c r="O15" s="17">
        <v>0</v>
      </c>
      <c r="P15" s="17">
        <v>0</v>
      </c>
      <c r="Q15" s="17">
        <v>0</v>
      </c>
      <c r="R15" s="17">
        <v>1.20869058003079E-2</v>
      </c>
      <c r="S15" s="17">
        <v>0</v>
      </c>
    </row>
    <row r="16" spans="2:20" x14ac:dyDescent="0.3">
      <c r="B16" s="16" t="s">
        <v>241</v>
      </c>
      <c r="C16" s="16"/>
      <c r="D16" s="16"/>
      <c r="E16" s="16"/>
      <c r="F16" s="16"/>
      <c r="G16" s="16"/>
      <c r="H16" s="16"/>
      <c r="I16" s="16"/>
      <c r="J16" s="16"/>
      <c r="K16" s="16"/>
      <c r="L16" s="16"/>
      <c r="M16" s="16"/>
      <c r="N16" s="16"/>
      <c r="O16" s="16"/>
      <c r="P16" s="16"/>
      <c r="Q16" s="16"/>
      <c r="R16" s="16"/>
      <c r="S16" s="16"/>
    </row>
    <row r="17" spans="2:2" x14ac:dyDescent="0.3">
      <c r="B17" t="s">
        <v>47</v>
      </c>
    </row>
    <row r="18" spans="2:2" x14ac:dyDescent="0.3">
      <c r="B18" t="s">
        <v>48</v>
      </c>
    </row>
    <row r="22" spans="2:2" x14ac:dyDescent="0.3">
      <c r="B22" s="8" t="str">
        <f>HYPERLINK("#'Contents'!A1", "Return to Contents")</f>
        <v>Return to Contents</v>
      </c>
    </row>
  </sheetData>
  <mergeCells count="1">
    <mergeCell ref="D2:T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242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122</v>
      </c>
      <c r="D7" s="10">
        <v>52</v>
      </c>
      <c r="E7" s="10">
        <v>70</v>
      </c>
      <c r="F7" s="10"/>
      <c r="G7" s="10">
        <v>56</v>
      </c>
      <c r="H7" s="10">
        <v>25</v>
      </c>
      <c r="I7" s="10">
        <v>19</v>
      </c>
      <c r="J7" s="10">
        <v>21</v>
      </c>
      <c r="K7" s="10"/>
      <c r="L7" s="10">
        <v>23</v>
      </c>
      <c r="M7" s="10">
        <v>31</v>
      </c>
      <c r="N7" s="10">
        <v>41</v>
      </c>
      <c r="O7" s="10">
        <v>27</v>
      </c>
    </row>
    <row r="8" spans="2:15" ht="30" customHeight="1" x14ac:dyDescent="0.3">
      <c r="B8" s="11" t="s">
        <v>19</v>
      </c>
      <c r="C8" s="11">
        <v>117</v>
      </c>
      <c r="D8" s="11">
        <v>45</v>
      </c>
      <c r="E8" s="11">
        <v>72</v>
      </c>
      <c r="F8" s="11"/>
      <c r="G8" s="11">
        <v>41</v>
      </c>
      <c r="H8" s="11">
        <v>25</v>
      </c>
      <c r="I8" s="11">
        <v>23</v>
      </c>
      <c r="J8" s="11">
        <v>26</v>
      </c>
      <c r="K8" s="11"/>
      <c r="L8" s="11">
        <v>26</v>
      </c>
      <c r="M8" s="11">
        <v>27</v>
      </c>
      <c r="N8" s="11">
        <v>32</v>
      </c>
      <c r="O8" s="11">
        <v>31</v>
      </c>
    </row>
    <row r="9" spans="2:15" x14ac:dyDescent="0.3">
      <c r="B9" s="18" t="s">
        <v>231</v>
      </c>
      <c r="C9" s="17">
        <v>7.2426798876808803E-3</v>
      </c>
      <c r="D9" s="17">
        <v>0</v>
      </c>
      <c r="E9" s="17">
        <v>1.1789048412801499E-2</v>
      </c>
      <c r="F9" s="17"/>
      <c r="G9" s="17">
        <v>2.0470716384026401E-2</v>
      </c>
      <c r="H9" s="17">
        <v>0</v>
      </c>
      <c r="I9" s="17">
        <v>0</v>
      </c>
      <c r="J9" s="17">
        <v>0</v>
      </c>
      <c r="K9" s="17"/>
      <c r="L9" s="17">
        <v>3.2855039626278698E-2</v>
      </c>
      <c r="M9" s="17">
        <v>0</v>
      </c>
      <c r="N9" s="17">
        <v>0</v>
      </c>
      <c r="O9" s="17">
        <v>0</v>
      </c>
    </row>
    <row r="10" spans="2:15" x14ac:dyDescent="0.3">
      <c r="B10" s="18" t="s">
        <v>232</v>
      </c>
      <c r="C10" s="17">
        <v>8.4567079387064897E-2</v>
      </c>
      <c r="D10" s="17">
        <v>0.153175595970274</v>
      </c>
      <c r="E10" s="17">
        <v>4.1500202873625797E-2</v>
      </c>
      <c r="F10" s="17"/>
      <c r="G10" s="17">
        <v>0.216084382974706</v>
      </c>
      <c r="H10" s="17">
        <v>3.78620152990332E-2</v>
      </c>
      <c r="I10" s="17">
        <v>0</v>
      </c>
      <c r="J10" s="17">
        <v>0</v>
      </c>
      <c r="K10" s="17"/>
      <c r="L10" s="17">
        <v>7.8740213472570098E-2</v>
      </c>
      <c r="M10" s="17">
        <v>0.14267744239365801</v>
      </c>
      <c r="N10" s="17">
        <v>9.3158318220265601E-2</v>
      </c>
      <c r="O10" s="17">
        <v>3.0047315271952899E-2</v>
      </c>
    </row>
    <row r="11" spans="2:15" x14ac:dyDescent="0.3">
      <c r="B11" s="18" t="s">
        <v>233</v>
      </c>
      <c r="C11" s="17">
        <v>0.24302919851326399</v>
      </c>
      <c r="D11" s="17">
        <v>0.30546717432895598</v>
      </c>
      <c r="E11" s="17">
        <v>0.20383568831774501</v>
      </c>
      <c r="F11" s="17"/>
      <c r="G11" s="17">
        <v>0.26112245931003703</v>
      </c>
      <c r="H11" s="17">
        <v>0.24718596035601201</v>
      </c>
      <c r="I11" s="17">
        <v>0.156828473250403</v>
      </c>
      <c r="J11" s="17">
        <v>0.25802529146178199</v>
      </c>
      <c r="K11" s="17"/>
      <c r="L11" s="17">
        <v>0.17717596900813601</v>
      </c>
      <c r="M11" s="17">
        <v>0.34203652686430103</v>
      </c>
      <c r="N11" s="17">
        <v>0.26521530688045197</v>
      </c>
      <c r="O11" s="17">
        <v>0.18811322798324701</v>
      </c>
    </row>
    <row r="12" spans="2:15" x14ac:dyDescent="0.3">
      <c r="B12" s="18" t="s">
        <v>234</v>
      </c>
      <c r="C12" s="17">
        <v>0.164638791437792</v>
      </c>
      <c r="D12" s="17">
        <v>0.117179705576167</v>
      </c>
      <c r="E12" s="17">
        <v>0.194429766261806</v>
      </c>
      <c r="F12" s="17"/>
      <c r="G12" s="17">
        <v>0.187417960720687</v>
      </c>
      <c r="H12" s="17">
        <v>8.1467307975337605E-2</v>
      </c>
      <c r="I12" s="17">
        <v>0.27642014432087902</v>
      </c>
      <c r="J12" s="17">
        <v>0.115337164453531</v>
      </c>
      <c r="K12" s="17"/>
      <c r="L12" s="17">
        <v>0.25502666055833501</v>
      </c>
      <c r="M12" s="17">
        <v>6.5758764011294393E-2</v>
      </c>
      <c r="N12" s="17">
        <v>0.200268183343529</v>
      </c>
      <c r="O12" s="17">
        <v>0.14063480175439899</v>
      </c>
    </row>
    <row r="13" spans="2:15" x14ac:dyDescent="0.3">
      <c r="B13" s="18" t="s">
        <v>235</v>
      </c>
      <c r="C13" s="17">
        <v>0.12566151599535499</v>
      </c>
      <c r="D13" s="17">
        <v>0.118022062119522</v>
      </c>
      <c r="E13" s="17">
        <v>0.13045694713256101</v>
      </c>
      <c r="F13" s="17"/>
      <c r="G13" s="17">
        <v>7.6063435943920399E-2</v>
      </c>
      <c r="H13" s="17">
        <v>0.25531298030101002</v>
      </c>
      <c r="I13" s="17">
        <v>0.14511263236442201</v>
      </c>
      <c r="J13" s="17">
        <v>6.7570330767428299E-2</v>
      </c>
      <c r="K13" s="17"/>
      <c r="L13" s="17">
        <v>3.4048697817150503E-2</v>
      </c>
      <c r="M13" s="17">
        <v>3.5597276709756397E-2</v>
      </c>
      <c r="N13" s="17">
        <v>0.100092274554213</v>
      </c>
      <c r="O13" s="17">
        <v>0.30476907040481199</v>
      </c>
    </row>
    <row r="14" spans="2:15" x14ac:dyDescent="0.3">
      <c r="B14" s="18" t="s">
        <v>236</v>
      </c>
      <c r="C14" s="17">
        <v>0.327064548793708</v>
      </c>
      <c r="D14" s="17">
        <v>0.28951640214769198</v>
      </c>
      <c r="E14" s="17">
        <v>0.35063423773970398</v>
      </c>
      <c r="F14" s="17"/>
      <c r="G14" s="17">
        <v>0.23884104466662301</v>
      </c>
      <c r="H14" s="17">
        <v>0.23011231119197001</v>
      </c>
      <c r="I14" s="17">
        <v>0.373154612920369</v>
      </c>
      <c r="J14" s="17">
        <v>0.53046384068846697</v>
      </c>
      <c r="K14" s="17"/>
      <c r="L14" s="17">
        <v>0.37974756610427901</v>
      </c>
      <c r="M14" s="17">
        <v>0.331242441714451</v>
      </c>
      <c r="N14" s="17">
        <v>0.30613759821736303</v>
      </c>
      <c r="O14" s="17">
        <v>0.30170610448776602</v>
      </c>
    </row>
    <row r="15" spans="2:15" x14ac:dyDescent="0.3">
      <c r="B15" s="18" t="s">
        <v>237</v>
      </c>
      <c r="C15" s="17">
        <v>3.16472654702106E-2</v>
      </c>
      <c r="D15" s="17">
        <v>1.6639059857387801E-2</v>
      </c>
      <c r="E15" s="17">
        <v>4.1068202840745797E-2</v>
      </c>
      <c r="F15" s="17"/>
      <c r="G15" s="17">
        <v>0</v>
      </c>
      <c r="H15" s="17">
        <v>0.11771844769968</v>
      </c>
      <c r="I15" s="17">
        <v>0</v>
      </c>
      <c r="J15" s="17">
        <v>2.8603372628791101E-2</v>
      </c>
      <c r="K15" s="17"/>
      <c r="L15" s="17">
        <v>4.2405853413250101E-2</v>
      </c>
      <c r="M15" s="17">
        <v>5.5002678930002498E-2</v>
      </c>
      <c r="N15" s="17">
        <v>0</v>
      </c>
      <c r="O15" s="17">
        <v>3.4729480097822903E-2</v>
      </c>
    </row>
    <row r="16" spans="2:15" ht="28.8" x14ac:dyDescent="0.3">
      <c r="B16" s="18" t="s">
        <v>238</v>
      </c>
      <c r="C16" s="17">
        <v>1.61489205149234E-2</v>
      </c>
      <c r="D16" s="17">
        <v>0</v>
      </c>
      <c r="E16" s="17">
        <v>2.62859064210107E-2</v>
      </c>
      <c r="F16" s="17"/>
      <c r="G16" s="17">
        <v>0</v>
      </c>
      <c r="H16" s="17">
        <v>3.03409771769571E-2</v>
      </c>
      <c r="I16" s="17">
        <v>4.8484137143926603E-2</v>
      </c>
      <c r="J16" s="17">
        <v>0</v>
      </c>
      <c r="K16" s="17"/>
      <c r="L16" s="17">
        <v>0</v>
      </c>
      <c r="M16" s="17">
        <v>2.76848693765364E-2</v>
      </c>
      <c r="N16" s="17">
        <v>3.5128318784176403E-2</v>
      </c>
      <c r="O16" s="17">
        <v>0</v>
      </c>
    </row>
    <row r="17" spans="2:15" ht="28.8" x14ac:dyDescent="0.3">
      <c r="B17" s="18" t="s">
        <v>239</v>
      </c>
      <c r="C17" s="19">
        <v>0</v>
      </c>
      <c r="D17" s="19">
        <v>0</v>
      </c>
      <c r="E17" s="19">
        <v>0</v>
      </c>
      <c r="F17" s="19"/>
      <c r="G17" s="19">
        <v>0</v>
      </c>
      <c r="H17" s="19">
        <v>0</v>
      </c>
      <c r="I17" s="19">
        <v>0</v>
      </c>
      <c r="J17" s="19">
        <v>0</v>
      </c>
      <c r="K17" s="19"/>
      <c r="L17" s="19">
        <v>0</v>
      </c>
      <c r="M17" s="19">
        <v>0</v>
      </c>
      <c r="N17" s="19">
        <v>0</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243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335</v>
      </c>
      <c r="D7" s="10">
        <v>196</v>
      </c>
      <c r="E7" s="10">
        <v>138</v>
      </c>
      <c r="F7" s="10"/>
      <c r="G7" s="10">
        <v>134</v>
      </c>
      <c r="H7" s="10">
        <v>85</v>
      </c>
      <c r="I7" s="10">
        <v>52</v>
      </c>
      <c r="J7" s="10">
        <v>64</v>
      </c>
      <c r="K7" s="10"/>
      <c r="L7" s="10">
        <v>64</v>
      </c>
      <c r="M7" s="10">
        <v>97</v>
      </c>
      <c r="N7" s="10">
        <v>107</v>
      </c>
      <c r="O7" s="10">
        <v>67</v>
      </c>
    </row>
    <row r="8" spans="2:15" ht="30" customHeight="1" x14ac:dyDescent="0.3">
      <c r="B8" s="11" t="s">
        <v>19</v>
      </c>
      <c r="C8" s="11">
        <v>325</v>
      </c>
      <c r="D8" s="11">
        <v>186</v>
      </c>
      <c r="E8" s="11">
        <v>138</v>
      </c>
      <c r="F8" s="11"/>
      <c r="G8" s="11">
        <v>103</v>
      </c>
      <c r="H8" s="11">
        <v>82</v>
      </c>
      <c r="I8" s="11">
        <v>63</v>
      </c>
      <c r="J8" s="11">
        <v>77</v>
      </c>
      <c r="K8" s="11"/>
      <c r="L8" s="11">
        <v>71</v>
      </c>
      <c r="M8" s="11">
        <v>90</v>
      </c>
      <c r="N8" s="11">
        <v>89</v>
      </c>
      <c r="O8" s="11">
        <v>76</v>
      </c>
    </row>
    <row r="9" spans="2:15" x14ac:dyDescent="0.3">
      <c r="B9" s="18" t="s">
        <v>231</v>
      </c>
      <c r="C9" s="17">
        <v>7.1765005998355003E-2</v>
      </c>
      <c r="D9" s="17">
        <v>0.101197841794609</v>
      </c>
      <c r="E9" s="17">
        <v>3.2537069337543398E-2</v>
      </c>
      <c r="F9" s="17"/>
      <c r="G9" s="17">
        <v>8.6065706535148501E-2</v>
      </c>
      <c r="H9" s="17">
        <v>5.7504632260816403E-2</v>
      </c>
      <c r="I9" s="17">
        <v>4.0096920085227299E-2</v>
      </c>
      <c r="J9" s="17">
        <v>9.3945970749178306E-2</v>
      </c>
      <c r="K9" s="17"/>
      <c r="L9" s="17">
        <v>5.6547649628038203E-2</v>
      </c>
      <c r="M9" s="17">
        <v>8.4007294848036096E-2</v>
      </c>
      <c r="N9" s="17">
        <v>8.7735869035631395E-2</v>
      </c>
      <c r="O9" s="17">
        <v>5.28439260485246E-2</v>
      </c>
    </row>
    <row r="10" spans="2:15" x14ac:dyDescent="0.3">
      <c r="B10" s="18" t="s">
        <v>232</v>
      </c>
      <c r="C10" s="17">
        <v>0.33623474458943298</v>
      </c>
      <c r="D10" s="17">
        <v>0.39125179642580299</v>
      </c>
      <c r="E10" s="17">
        <v>0.264084268929628</v>
      </c>
      <c r="F10" s="17"/>
      <c r="G10" s="17">
        <v>0.41824948491337199</v>
      </c>
      <c r="H10" s="17">
        <v>0.29762914155334802</v>
      </c>
      <c r="I10" s="17">
        <v>0.25445834984141003</v>
      </c>
      <c r="J10" s="17">
        <v>0.33549009546069097</v>
      </c>
      <c r="K10" s="17"/>
      <c r="L10" s="17">
        <v>0.29398241261744201</v>
      </c>
      <c r="M10" s="17">
        <v>0.34324823682591799</v>
      </c>
      <c r="N10" s="17">
        <v>0.40094435889836899</v>
      </c>
      <c r="O10" s="17">
        <v>0.29163478698275402</v>
      </c>
    </row>
    <row r="11" spans="2:15" x14ac:dyDescent="0.3">
      <c r="B11" s="18" t="s">
        <v>233</v>
      </c>
      <c r="C11" s="17">
        <v>0.28304192032905401</v>
      </c>
      <c r="D11" s="17">
        <v>0.28014590918329302</v>
      </c>
      <c r="E11" s="17">
        <v>0.28277074104634797</v>
      </c>
      <c r="F11" s="17"/>
      <c r="G11" s="17">
        <v>0.25602562707906901</v>
      </c>
      <c r="H11" s="17">
        <v>0.29645529163929502</v>
      </c>
      <c r="I11" s="17">
        <v>0.39825381105623298</v>
      </c>
      <c r="J11" s="17">
        <v>0.210157274839126</v>
      </c>
      <c r="K11" s="17"/>
      <c r="L11" s="17">
        <v>0.28275990095742498</v>
      </c>
      <c r="M11" s="17">
        <v>0.24654078757953299</v>
      </c>
      <c r="N11" s="17">
        <v>0.26034144432217898</v>
      </c>
      <c r="O11" s="17">
        <v>0.35277180870029801</v>
      </c>
    </row>
    <row r="12" spans="2:15" x14ac:dyDescent="0.3">
      <c r="B12" s="18" t="s">
        <v>234</v>
      </c>
      <c r="C12" s="17">
        <v>0.15399753851202599</v>
      </c>
      <c r="D12" s="17">
        <v>0.121480738286004</v>
      </c>
      <c r="E12" s="17">
        <v>0.198693261775723</v>
      </c>
      <c r="F12" s="17"/>
      <c r="G12" s="17">
        <v>0.106559081725941</v>
      </c>
      <c r="H12" s="17">
        <v>0.15126157075244501</v>
      </c>
      <c r="I12" s="17">
        <v>0.17888050275151601</v>
      </c>
      <c r="J12" s="17">
        <v>0.19956274433180601</v>
      </c>
      <c r="K12" s="17"/>
      <c r="L12" s="17">
        <v>0.18690969639793301</v>
      </c>
      <c r="M12" s="17">
        <v>0.23854854934735101</v>
      </c>
      <c r="N12" s="17">
        <v>7.8725265154265395E-2</v>
      </c>
      <c r="O12" s="17">
        <v>0.11191099191078401</v>
      </c>
    </row>
    <row r="13" spans="2:15" x14ac:dyDescent="0.3">
      <c r="B13" s="18" t="s">
        <v>235</v>
      </c>
      <c r="C13" s="17">
        <v>6.6569629437287697E-2</v>
      </c>
      <c r="D13" s="17">
        <v>4.5326364850383702E-2</v>
      </c>
      <c r="E13" s="17">
        <v>9.5571333115778506E-2</v>
      </c>
      <c r="F13" s="17"/>
      <c r="G13" s="17">
        <v>7.2408043258148203E-2</v>
      </c>
      <c r="H13" s="17">
        <v>7.1258947226650396E-2</v>
      </c>
      <c r="I13" s="17">
        <v>5.5614649800652498E-2</v>
      </c>
      <c r="J13" s="17">
        <v>6.2788544951091194E-2</v>
      </c>
      <c r="K13" s="17"/>
      <c r="L13" s="17">
        <v>9.4898314136859202E-2</v>
      </c>
      <c r="M13" s="17">
        <v>3.9479154673506503E-2</v>
      </c>
      <c r="N13" s="17">
        <v>9.0136356805557899E-2</v>
      </c>
      <c r="O13" s="17">
        <v>4.4563869083079799E-2</v>
      </c>
    </row>
    <row r="14" spans="2:15" x14ac:dyDescent="0.3">
      <c r="B14" s="18" t="s">
        <v>236</v>
      </c>
      <c r="C14" s="17">
        <v>6.6448593496886699E-2</v>
      </c>
      <c r="D14" s="17">
        <v>4.88493735905427E-2</v>
      </c>
      <c r="E14" s="17">
        <v>9.0541124669887896E-2</v>
      </c>
      <c r="F14" s="17"/>
      <c r="G14" s="17">
        <v>6.0692056488321801E-2</v>
      </c>
      <c r="H14" s="17">
        <v>7.7278022220526807E-2</v>
      </c>
      <c r="I14" s="17">
        <v>5.7722727279818503E-2</v>
      </c>
      <c r="J14" s="17">
        <v>6.9697284647426902E-2</v>
      </c>
      <c r="K14" s="17"/>
      <c r="L14" s="17">
        <v>6.7850511001285002E-2</v>
      </c>
      <c r="M14" s="17">
        <v>3.9717321369351001E-2</v>
      </c>
      <c r="N14" s="17">
        <v>5.2570115710810397E-2</v>
      </c>
      <c r="O14" s="17">
        <v>0.112810374166866</v>
      </c>
    </row>
    <row r="15" spans="2:15" x14ac:dyDescent="0.3">
      <c r="B15" s="18" t="s">
        <v>237</v>
      </c>
      <c r="C15" s="17">
        <v>1.3068050153665399E-2</v>
      </c>
      <c r="D15" s="17">
        <v>7.8099454276126298E-3</v>
      </c>
      <c r="E15" s="17">
        <v>2.02266750764039E-2</v>
      </c>
      <c r="F15" s="17"/>
      <c r="G15" s="17">
        <v>0</v>
      </c>
      <c r="H15" s="17">
        <v>3.3963467603014497E-2</v>
      </c>
      <c r="I15" s="17">
        <v>0</v>
      </c>
      <c r="J15" s="17">
        <v>1.8852191978080302E-2</v>
      </c>
      <c r="K15" s="17"/>
      <c r="L15" s="17">
        <v>0</v>
      </c>
      <c r="M15" s="17">
        <v>8.4586553563036904E-3</v>
      </c>
      <c r="N15" s="17">
        <v>1.0649196971596799E-2</v>
      </c>
      <c r="O15" s="17">
        <v>3.34642431076934E-2</v>
      </c>
    </row>
    <row r="16" spans="2:15" ht="28.8" x14ac:dyDescent="0.3">
      <c r="B16" s="18" t="s">
        <v>238</v>
      </c>
      <c r="C16" s="17">
        <v>8.8745174832921096E-3</v>
      </c>
      <c r="D16" s="17">
        <v>3.9380304417518004E-3</v>
      </c>
      <c r="E16" s="17">
        <v>1.55755260486879E-2</v>
      </c>
      <c r="F16" s="17"/>
      <c r="G16" s="17">
        <v>0</v>
      </c>
      <c r="H16" s="17">
        <v>1.46489267439034E-2</v>
      </c>
      <c r="I16" s="17">
        <v>1.49730391851438E-2</v>
      </c>
      <c r="J16" s="17">
        <v>9.5058930426000898E-3</v>
      </c>
      <c r="K16" s="17"/>
      <c r="L16" s="17">
        <v>1.7051515261018502E-2</v>
      </c>
      <c r="M16" s="17">
        <v>0</v>
      </c>
      <c r="N16" s="17">
        <v>1.8897393101589902E-2</v>
      </c>
      <c r="O16" s="17">
        <v>0</v>
      </c>
    </row>
    <row r="17" spans="2:15" ht="28.8" x14ac:dyDescent="0.3">
      <c r="B17" s="18" t="s">
        <v>239</v>
      </c>
      <c r="C17" s="19">
        <v>0</v>
      </c>
      <c r="D17" s="19">
        <v>0</v>
      </c>
      <c r="E17" s="19">
        <v>0</v>
      </c>
      <c r="F17" s="19"/>
      <c r="G17" s="19">
        <v>0</v>
      </c>
      <c r="H17" s="19">
        <v>0</v>
      </c>
      <c r="I17" s="19">
        <v>0</v>
      </c>
      <c r="J17" s="19">
        <v>0</v>
      </c>
      <c r="K17" s="19"/>
      <c r="L17" s="19">
        <v>0</v>
      </c>
      <c r="M17" s="19">
        <v>0</v>
      </c>
      <c r="N17" s="19">
        <v>0</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O22"/>
  <sheetViews>
    <sheetView showGridLines="0" workbookViewId="0">
      <pane xSplit="2" topLeftCell="C1" activePane="topRight" state="frozen"/>
      <selection pane="topRight" activeCell="D2" sqref="D2:N2"/>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244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32</v>
      </c>
      <c r="D7" s="10">
        <v>6</v>
      </c>
      <c r="E7" s="10">
        <v>26</v>
      </c>
      <c r="F7" s="10"/>
      <c r="G7" s="10">
        <v>19</v>
      </c>
      <c r="H7" s="10">
        <v>7</v>
      </c>
      <c r="I7" s="10">
        <v>4</v>
      </c>
      <c r="J7" s="10">
        <v>2</v>
      </c>
      <c r="K7" s="10"/>
      <c r="L7" s="10">
        <v>9</v>
      </c>
      <c r="M7" s="10">
        <v>14</v>
      </c>
      <c r="N7" s="10">
        <v>6</v>
      </c>
      <c r="O7" s="10">
        <v>3</v>
      </c>
    </row>
    <row r="8" spans="2:15" ht="30" customHeight="1" x14ac:dyDescent="0.3">
      <c r="B8" s="11" t="s">
        <v>19</v>
      </c>
      <c r="C8" s="11">
        <v>30</v>
      </c>
      <c r="D8" s="11">
        <v>5</v>
      </c>
      <c r="E8" s="11">
        <v>26</v>
      </c>
      <c r="F8" s="11"/>
      <c r="G8" s="11">
        <v>14</v>
      </c>
      <c r="H8" s="11">
        <v>9</v>
      </c>
      <c r="I8" s="11">
        <v>5</v>
      </c>
      <c r="J8" s="11">
        <v>3</v>
      </c>
      <c r="K8" s="11"/>
      <c r="L8" s="11">
        <v>11</v>
      </c>
      <c r="M8" s="11">
        <v>11</v>
      </c>
      <c r="N8" s="11">
        <v>4</v>
      </c>
      <c r="O8" s="11">
        <v>4</v>
      </c>
    </row>
    <row r="9" spans="2:15" x14ac:dyDescent="0.3">
      <c r="B9" s="18" t="s">
        <v>231</v>
      </c>
      <c r="C9" s="17">
        <v>2.15435070485623E-2</v>
      </c>
      <c r="D9" s="17">
        <v>0.14343592702900501</v>
      </c>
      <c r="E9" s="17">
        <v>0</v>
      </c>
      <c r="F9" s="17"/>
      <c r="G9" s="17">
        <v>4.6325472620665997E-2</v>
      </c>
      <c r="H9" s="17">
        <v>0</v>
      </c>
      <c r="I9" s="17">
        <v>0</v>
      </c>
      <c r="J9" s="17">
        <v>0</v>
      </c>
      <c r="K9" s="17"/>
      <c r="L9" s="17">
        <v>6.1391464454795902E-2</v>
      </c>
      <c r="M9" s="17">
        <v>0</v>
      </c>
      <c r="N9" s="17">
        <v>0</v>
      </c>
      <c r="O9" s="17">
        <v>0</v>
      </c>
    </row>
    <row r="10" spans="2:15" x14ac:dyDescent="0.3">
      <c r="B10" s="18" t="s">
        <v>232</v>
      </c>
      <c r="C10" s="17">
        <v>0.140907091557325</v>
      </c>
      <c r="D10" s="17">
        <v>0.31320222783316498</v>
      </c>
      <c r="E10" s="17">
        <v>0.110455308883824</v>
      </c>
      <c r="F10" s="17"/>
      <c r="G10" s="17">
        <v>0.30299558921778003</v>
      </c>
      <c r="H10" s="17">
        <v>0</v>
      </c>
      <c r="I10" s="17">
        <v>0</v>
      </c>
      <c r="J10" s="17">
        <v>0</v>
      </c>
      <c r="K10" s="17"/>
      <c r="L10" s="17">
        <v>7.3270536507450801E-2</v>
      </c>
      <c r="M10" s="17">
        <v>0.23882157293589901</v>
      </c>
      <c r="N10" s="17">
        <v>0.16306869956191999</v>
      </c>
      <c r="O10" s="17">
        <v>0</v>
      </c>
    </row>
    <row r="11" spans="2:15" x14ac:dyDescent="0.3">
      <c r="B11" s="18" t="s">
        <v>233</v>
      </c>
      <c r="C11" s="17">
        <v>0.15333498595856701</v>
      </c>
      <c r="D11" s="17">
        <v>0.12829815538292699</v>
      </c>
      <c r="E11" s="17">
        <v>0.15776004484300399</v>
      </c>
      <c r="F11" s="17"/>
      <c r="G11" s="17">
        <v>0.24336792676953201</v>
      </c>
      <c r="H11" s="17">
        <v>0.14077886870617901</v>
      </c>
      <c r="I11" s="17">
        <v>0</v>
      </c>
      <c r="J11" s="17">
        <v>0</v>
      </c>
      <c r="K11" s="17"/>
      <c r="L11" s="17">
        <v>0.114434953483582</v>
      </c>
      <c r="M11" s="17">
        <v>0.12937655106686999</v>
      </c>
      <c r="N11" s="17">
        <v>0.42781175838345298</v>
      </c>
      <c r="O11" s="17">
        <v>0</v>
      </c>
    </row>
    <row r="12" spans="2:15" x14ac:dyDescent="0.3">
      <c r="B12" s="18" t="s">
        <v>234</v>
      </c>
      <c r="C12" s="17">
        <v>0.20096168114573701</v>
      </c>
      <c r="D12" s="17">
        <v>0.41506368975490299</v>
      </c>
      <c r="E12" s="17">
        <v>0.16312086928620601</v>
      </c>
      <c r="F12" s="17"/>
      <c r="G12" s="17">
        <v>0.154730201091068</v>
      </c>
      <c r="H12" s="17">
        <v>0.32448503928129901</v>
      </c>
      <c r="I12" s="17">
        <v>0.219499263042962</v>
      </c>
      <c r="J12" s="17">
        <v>0</v>
      </c>
      <c r="K12" s="17"/>
      <c r="L12" s="17">
        <v>0</v>
      </c>
      <c r="M12" s="17">
        <v>0.36760426129618601</v>
      </c>
      <c r="N12" s="17">
        <v>0.40911954205462697</v>
      </c>
      <c r="O12" s="17">
        <v>0</v>
      </c>
    </row>
    <row r="13" spans="2:15" x14ac:dyDescent="0.3">
      <c r="B13" s="18" t="s">
        <v>235</v>
      </c>
      <c r="C13" s="17">
        <v>0.24715397379604301</v>
      </c>
      <c r="D13" s="17">
        <v>0</v>
      </c>
      <c r="E13" s="17">
        <v>0.290836455261335</v>
      </c>
      <c r="F13" s="17"/>
      <c r="G13" s="17">
        <v>0.18142255089269901</v>
      </c>
      <c r="H13" s="17">
        <v>0</v>
      </c>
      <c r="I13" s="17">
        <v>0.78050073695703803</v>
      </c>
      <c r="J13" s="17">
        <v>0.39673744627079399</v>
      </c>
      <c r="K13" s="17"/>
      <c r="L13" s="17">
        <v>0.37901812252936901</v>
      </c>
      <c r="M13" s="17">
        <v>0.178942689458884</v>
      </c>
      <c r="N13" s="17">
        <v>0</v>
      </c>
      <c r="O13" s="17">
        <v>0.386536960149791</v>
      </c>
    </row>
    <row r="14" spans="2:15" x14ac:dyDescent="0.3">
      <c r="B14" s="18" t="s">
        <v>236</v>
      </c>
      <c r="C14" s="17">
        <v>6.5507891725644599E-2</v>
      </c>
      <c r="D14" s="17">
        <v>0</v>
      </c>
      <c r="E14" s="17">
        <v>7.7085885889303901E-2</v>
      </c>
      <c r="F14" s="17"/>
      <c r="G14" s="17">
        <v>7.1158259408254099E-2</v>
      </c>
      <c r="H14" s="17">
        <v>0.113639552746749</v>
      </c>
      <c r="I14" s="17">
        <v>0</v>
      </c>
      <c r="J14" s="17">
        <v>0</v>
      </c>
      <c r="K14" s="17"/>
      <c r="L14" s="17">
        <v>0</v>
      </c>
      <c r="M14" s="17">
        <v>8.5254925242161106E-2</v>
      </c>
      <c r="N14" s="17">
        <v>0</v>
      </c>
      <c r="O14" s="17">
        <v>0.27740411074167198</v>
      </c>
    </row>
    <row r="15" spans="2:15" x14ac:dyDescent="0.3">
      <c r="B15" s="18" t="s">
        <v>237</v>
      </c>
      <c r="C15" s="17">
        <v>0</v>
      </c>
      <c r="D15" s="17">
        <v>0</v>
      </c>
      <c r="E15" s="17">
        <v>0</v>
      </c>
      <c r="F15" s="17"/>
      <c r="G15" s="17">
        <v>0</v>
      </c>
      <c r="H15" s="17">
        <v>0</v>
      </c>
      <c r="I15" s="17">
        <v>0</v>
      </c>
      <c r="J15" s="17">
        <v>0</v>
      </c>
      <c r="K15" s="17"/>
      <c r="L15" s="17">
        <v>0</v>
      </c>
      <c r="M15" s="17">
        <v>0</v>
      </c>
      <c r="N15" s="17">
        <v>0</v>
      </c>
      <c r="O15" s="17">
        <v>0</v>
      </c>
    </row>
    <row r="16" spans="2:15" ht="28.8" x14ac:dyDescent="0.3">
      <c r="B16" s="18" t="s">
        <v>238</v>
      </c>
      <c r="C16" s="17">
        <v>0</v>
      </c>
      <c r="D16" s="17">
        <v>0</v>
      </c>
      <c r="E16" s="17">
        <v>0</v>
      </c>
      <c r="F16" s="17"/>
      <c r="G16" s="17">
        <v>0</v>
      </c>
      <c r="H16" s="17">
        <v>0</v>
      </c>
      <c r="I16" s="17">
        <v>0</v>
      </c>
      <c r="J16" s="17">
        <v>0</v>
      </c>
      <c r="K16" s="17"/>
      <c r="L16" s="17">
        <v>0</v>
      </c>
      <c r="M16" s="17">
        <v>0</v>
      </c>
      <c r="N16" s="17">
        <v>0</v>
      </c>
      <c r="O16" s="17">
        <v>0</v>
      </c>
    </row>
    <row r="17" spans="2:15" ht="28.8" x14ac:dyDescent="0.3">
      <c r="B17" s="18" t="s">
        <v>239</v>
      </c>
      <c r="C17" s="19">
        <v>0.17059086876812099</v>
      </c>
      <c r="D17" s="19">
        <v>0</v>
      </c>
      <c r="E17" s="19">
        <v>0.200741435836328</v>
      </c>
      <c r="F17" s="19"/>
      <c r="G17" s="19">
        <v>0</v>
      </c>
      <c r="H17" s="19">
        <v>0.42109653926577201</v>
      </c>
      <c r="I17" s="19">
        <v>0</v>
      </c>
      <c r="J17" s="19">
        <v>0.60326255372920601</v>
      </c>
      <c r="K17" s="19"/>
      <c r="L17" s="19">
        <v>0.37188492302480203</v>
      </c>
      <c r="M17" s="19">
        <v>0</v>
      </c>
      <c r="N17" s="19">
        <v>0</v>
      </c>
      <c r="O17" s="19">
        <v>0.33605892910853702</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245</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46</v>
      </c>
      <c r="D7" s="10">
        <v>14</v>
      </c>
      <c r="E7" s="10">
        <v>32</v>
      </c>
      <c r="F7" s="10"/>
      <c r="G7" s="10">
        <v>21</v>
      </c>
      <c r="H7" s="10">
        <v>12</v>
      </c>
      <c r="I7" s="10">
        <v>4</v>
      </c>
      <c r="J7" s="10">
        <v>9</v>
      </c>
      <c r="K7" s="10"/>
      <c r="L7" s="10">
        <v>12</v>
      </c>
      <c r="M7" s="10">
        <v>12</v>
      </c>
      <c r="N7" s="10">
        <v>10</v>
      </c>
      <c r="O7" s="10">
        <v>12</v>
      </c>
    </row>
    <row r="8" spans="2:15" ht="30" customHeight="1" x14ac:dyDescent="0.3">
      <c r="B8" s="11" t="s">
        <v>19</v>
      </c>
      <c r="C8" s="11">
        <v>46</v>
      </c>
      <c r="D8" s="11">
        <v>13</v>
      </c>
      <c r="E8" s="11">
        <v>33</v>
      </c>
      <c r="F8" s="11"/>
      <c r="G8" s="11">
        <v>17</v>
      </c>
      <c r="H8" s="11">
        <v>14</v>
      </c>
      <c r="I8" s="11">
        <v>5</v>
      </c>
      <c r="J8" s="11">
        <v>10</v>
      </c>
      <c r="K8" s="11"/>
      <c r="L8" s="11">
        <v>13</v>
      </c>
      <c r="M8" s="11">
        <v>10</v>
      </c>
      <c r="N8" s="11">
        <v>8</v>
      </c>
      <c r="O8" s="11">
        <v>14</v>
      </c>
    </row>
    <row r="9" spans="2:15" x14ac:dyDescent="0.3">
      <c r="B9" s="18" t="s">
        <v>231</v>
      </c>
      <c r="C9" s="17">
        <v>0</v>
      </c>
      <c r="D9" s="17">
        <v>0</v>
      </c>
      <c r="E9" s="17">
        <v>0</v>
      </c>
      <c r="F9" s="17"/>
      <c r="G9" s="17">
        <v>0</v>
      </c>
      <c r="H9" s="17">
        <v>0</v>
      </c>
      <c r="I9" s="17">
        <v>0</v>
      </c>
      <c r="J9" s="17">
        <v>0</v>
      </c>
      <c r="K9" s="17"/>
      <c r="L9" s="17">
        <v>0</v>
      </c>
      <c r="M9" s="17">
        <v>0</v>
      </c>
      <c r="N9" s="17">
        <v>0</v>
      </c>
      <c r="O9" s="17">
        <v>0</v>
      </c>
    </row>
    <row r="10" spans="2:15" x14ac:dyDescent="0.3">
      <c r="B10" s="18" t="s">
        <v>232</v>
      </c>
      <c r="C10" s="17">
        <v>0.113094374895613</v>
      </c>
      <c r="D10" s="17">
        <v>0.172416612721705</v>
      </c>
      <c r="E10" s="17">
        <v>9.0274210782348097E-2</v>
      </c>
      <c r="F10" s="17"/>
      <c r="G10" s="17">
        <v>0.24733299027126701</v>
      </c>
      <c r="H10" s="17">
        <v>6.9379695833734198E-2</v>
      </c>
      <c r="I10" s="17">
        <v>0</v>
      </c>
      <c r="J10" s="17">
        <v>0</v>
      </c>
      <c r="K10" s="17"/>
      <c r="L10" s="17">
        <v>0.17745688343357599</v>
      </c>
      <c r="M10" s="17">
        <v>5.5188804879680101E-2</v>
      </c>
      <c r="N10" s="17">
        <v>0.164602563685881</v>
      </c>
      <c r="O10" s="17">
        <v>6.6492773593437304E-2</v>
      </c>
    </row>
    <row r="11" spans="2:15" x14ac:dyDescent="0.3">
      <c r="B11" s="18" t="s">
        <v>233</v>
      </c>
      <c r="C11" s="17">
        <v>0.154501877523642</v>
      </c>
      <c r="D11" s="17">
        <v>6.2832952748614904E-2</v>
      </c>
      <c r="E11" s="17">
        <v>0.18976521188377199</v>
      </c>
      <c r="F11" s="17"/>
      <c r="G11" s="17">
        <v>8.6194590919940403E-2</v>
      </c>
      <c r="H11" s="17">
        <v>8.8560585585805096E-2</v>
      </c>
      <c r="I11" s="17">
        <v>0.26894408141623299</v>
      </c>
      <c r="J11" s="17">
        <v>0.302930610091527</v>
      </c>
      <c r="K11" s="17"/>
      <c r="L11" s="17">
        <v>0.174997714194392</v>
      </c>
      <c r="M11" s="17">
        <v>0.25631572647029</v>
      </c>
      <c r="N11" s="17">
        <v>0.26633367702016603</v>
      </c>
      <c r="O11" s="17">
        <v>0</v>
      </c>
    </row>
    <row r="12" spans="2:15" x14ac:dyDescent="0.3">
      <c r="B12" s="18" t="s">
        <v>234</v>
      </c>
      <c r="C12" s="17">
        <v>0.205585961635666</v>
      </c>
      <c r="D12" s="17">
        <v>0.28300274676326798</v>
      </c>
      <c r="E12" s="17">
        <v>0.175805160936402</v>
      </c>
      <c r="F12" s="17"/>
      <c r="G12" s="17">
        <v>0.20626316194676</v>
      </c>
      <c r="H12" s="17">
        <v>8.3572739676555402E-2</v>
      </c>
      <c r="I12" s="17">
        <v>0.50884407011784005</v>
      </c>
      <c r="J12" s="17">
        <v>0.221702031382596</v>
      </c>
      <c r="K12" s="17"/>
      <c r="L12" s="17">
        <v>0.22754432650496001</v>
      </c>
      <c r="M12" s="17">
        <v>0.20698799134985099</v>
      </c>
      <c r="N12" s="17">
        <v>0.22957237172327799</v>
      </c>
      <c r="O12" s="17">
        <v>0.170737720749709</v>
      </c>
    </row>
    <row r="13" spans="2:15" x14ac:dyDescent="0.3">
      <c r="B13" s="18" t="s">
        <v>235</v>
      </c>
      <c r="C13" s="17">
        <v>0.17544693617634799</v>
      </c>
      <c r="D13" s="17">
        <v>0.18967419605477701</v>
      </c>
      <c r="E13" s="17">
        <v>0.16997397330094799</v>
      </c>
      <c r="F13" s="17"/>
      <c r="G13" s="17">
        <v>0.179073595596725</v>
      </c>
      <c r="H13" s="17">
        <v>0.27147067705468197</v>
      </c>
      <c r="I13" s="17">
        <v>0</v>
      </c>
      <c r="J13" s="17">
        <v>0.12520596783149299</v>
      </c>
      <c r="K13" s="17"/>
      <c r="L13" s="17">
        <v>0.16463765967351601</v>
      </c>
      <c r="M13" s="17">
        <v>0.115130946696943</v>
      </c>
      <c r="N13" s="17">
        <v>0.198033075740468</v>
      </c>
      <c r="O13" s="17">
        <v>0.21757189552255199</v>
      </c>
    </row>
    <row r="14" spans="2:15" x14ac:dyDescent="0.3">
      <c r="B14" s="18" t="s">
        <v>236</v>
      </c>
      <c r="C14" s="17">
        <v>0.131428073774046</v>
      </c>
      <c r="D14" s="17">
        <v>0</v>
      </c>
      <c r="E14" s="17">
        <v>0.18198601498668901</v>
      </c>
      <c r="F14" s="17"/>
      <c r="G14" s="17">
        <v>0.107727371788991</v>
      </c>
      <c r="H14" s="17">
        <v>0.14404761878966901</v>
      </c>
      <c r="I14" s="17">
        <v>0.22221184846592601</v>
      </c>
      <c r="J14" s="17">
        <v>0.110602432324965</v>
      </c>
      <c r="K14" s="17"/>
      <c r="L14" s="17">
        <v>7.7007127050215202E-2</v>
      </c>
      <c r="M14" s="17">
        <v>0.19218648524117901</v>
      </c>
      <c r="N14" s="17">
        <v>0.14145831183020599</v>
      </c>
      <c r="O14" s="17">
        <v>0.13316755358021201</v>
      </c>
    </row>
    <row r="15" spans="2:15" x14ac:dyDescent="0.3">
      <c r="B15" s="18" t="s">
        <v>237</v>
      </c>
      <c r="C15" s="17">
        <v>8.4492998986583204E-2</v>
      </c>
      <c r="D15" s="17">
        <v>0.20946708969001901</v>
      </c>
      <c r="E15" s="17">
        <v>3.64177853016397E-2</v>
      </c>
      <c r="F15" s="17"/>
      <c r="G15" s="17">
        <v>0.112015537183563</v>
      </c>
      <c r="H15" s="17">
        <v>8.84092649379873E-2</v>
      </c>
      <c r="I15" s="17">
        <v>0</v>
      </c>
      <c r="J15" s="17">
        <v>7.3637787422942594E-2</v>
      </c>
      <c r="K15" s="17"/>
      <c r="L15" s="17">
        <v>0</v>
      </c>
      <c r="M15" s="17">
        <v>7.1890131298675497E-2</v>
      </c>
      <c r="N15" s="17">
        <v>0</v>
      </c>
      <c r="O15" s="17">
        <v>0.21962755085182101</v>
      </c>
    </row>
    <row r="16" spans="2:15" ht="28.8" x14ac:dyDescent="0.3">
      <c r="B16" s="18" t="s">
        <v>238</v>
      </c>
      <c r="C16" s="17">
        <v>8.2945839121967194E-2</v>
      </c>
      <c r="D16" s="17">
        <v>8.2606402021614997E-2</v>
      </c>
      <c r="E16" s="17">
        <v>8.3076414275906604E-2</v>
      </c>
      <c r="F16" s="17"/>
      <c r="G16" s="17">
        <v>6.1392752292753601E-2</v>
      </c>
      <c r="H16" s="17">
        <v>7.8067022403604802E-2</v>
      </c>
      <c r="I16" s="17">
        <v>0</v>
      </c>
      <c r="J16" s="17">
        <v>0.16592117094647599</v>
      </c>
      <c r="K16" s="17"/>
      <c r="L16" s="17">
        <v>0</v>
      </c>
      <c r="M16" s="17">
        <v>0.102299914063382</v>
      </c>
      <c r="N16" s="17">
        <v>0</v>
      </c>
      <c r="O16" s="17">
        <v>0.192402505702268</v>
      </c>
    </row>
    <row r="17" spans="2:15" ht="28.8" x14ac:dyDescent="0.3">
      <c r="B17" s="18" t="s">
        <v>239</v>
      </c>
      <c r="C17" s="19">
        <v>5.2503937886134298E-2</v>
      </c>
      <c r="D17" s="19">
        <v>0</v>
      </c>
      <c r="E17" s="19">
        <v>7.2701228532294604E-2</v>
      </c>
      <c r="F17" s="19"/>
      <c r="G17" s="19">
        <v>0</v>
      </c>
      <c r="H17" s="19">
        <v>0.17649239571796199</v>
      </c>
      <c r="I17" s="19">
        <v>0</v>
      </c>
      <c r="J17" s="19">
        <v>0</v>
      </c>
      <c r="K17" s="19"/>
      <c r="L17" s="19">
        <v>0.17835628914334001</v>
      </c>
      <c r="M17" s="19">
        <v>0</v>
      </c>
      <c r="N17" s="19">
        <v>0</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246</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80</v>
      </c>
      <c r="D7" s="10">
        <v>33</v>
      </c>
      <c r="E7" s="10">
        <v>46</v>
      </c>
      <c r="F7" s="10"/>
      <c r="G7" s="10">
        <v>39</v>
      </c>
      <c r="H7" s="10">
        <v>18</v>
      </c>
      <c r="I7" s="10">
        <v>8</v>
      </c>
      <c r="J7" s="10">
        <v>15</v>
      </c>
      <c r="K7" s="10"/>
      <c r="L7" s="10">
        <v>23</v>
      </c>
      <c r="M7" s="10">
        <v>22</v>
      </c>
      <c r="N7" s="10">
        <v>22</v>
      </c>
      <c r="O7" s="10">
        <v>13</v>
      </c>
    </row>
    <row r="8" spans="2:15" ht="30" customHeight="1" x14ac:dyDescent="0.3">
      <c r="B8" s="11" t="s">
        <v>19</v>
      </c>
      <c r="C8" s="11">
        <v>75</v>
      </c>
      <c r="D8" s="11">
        <v>27</v>
      </c>
      <c r="E8" s="11">
        <v>47</v>
      </c>
      <c r="F8" s="11"/>
      <c r="G8" s="11">
        <v>28</v>
      </c>
      <c r="H8" s="11">
        <v>19</v>
      </c>
      <c r="I8" s="11">
        <v>10</v>
      </c>
      <c r="J8" s="11">
        <v>18</v>
      </c>
      <c r="K8" s="11"/>
      <c r="L8" s="11">
        <v>25</v>
      </c>
      <c r="M8" s="11">
        <v>19</v>
      </c>
      <c r="N8" s="11">
        <v>16</v>
      </c>
      <c r="O8" s="11">
        <v>15</v>
      </c>
    </row>
    <row r="9" spans="2:15" x14ac:dyDescent="0.3">
      <c r="B9" s="18" t="s">
        <v>231</v>
      </c>
      <c r="C9" s="17">
        <v>2.1393703554300401E-2</v>
      </c>
      <c r="D9" s="17">
        <v>0</v>
      </c>
      <c r="E9" s="17">
        <v>3.3979928892520703E-2</v>
      </c>
      <c r="F9" s="17"/>
      <c r="G9" s="17">
        <v>2.1083489077217899E-2</v>
      </c>
      <c r="H9" s="17">
        <v>5.2153933974564602E-2</v>
      </c>
      <c r="I9" s="17">
        <v>0</v>
      </c>
      <c r="J9" s="17">
        <v>0</v>
      </c>
      <c r="K9" s="17"/>
      <c r="L9" s="17">
        <v>4.03786170003139E-2</v>
      </c>
      <c r="M9" s="17">
        <v>0</v>
      </c>
      <c r="N9" s="17">
        <v>0</v>
      </c>
      <c r="O9" s="17">
        <v>3.9719560455628203E-2</v>
      </c>
    </row>
    <row r="10" spans="2:15" x14ac:dyDescent="0.3">
      <c r="B10" s="18" t="s">
        <v>232</v>
      </c>
      <c r="C10" s="17">
        <v>9.6949524694379299E-2</v>
      </c>
      <c r="D10" s="17">
        <v>9.7163584178839205E-2</v>
      </c>
      <c r="E10" s="17">
        <v>9.8471396692628499E-2</v>
      </c>
      <c r="F10" s="17"/>
      <c r="G10" s="17">
        <v>0.153510289533931</v>
      </c>
      <c r="H10" s="17">
        <v>0.151421314943983</v>
      </c>
      <c r="I10" s="17">
        <v>0</v>
      </c>
      <c r="J10" s="17">
        <v>0</v>
      </c>
      <c r="K10" s="17"/>
      <c r="L10" s="17">
        <v>2.5808026233585399E-2</v>
      </c>
      <c r="M10" s="17">
        <v>0.269450427600466</v>
      </c>
      <c r="N10" s="17">
        <v>3.8810839877966199E-2</v>
      </c>
      <c r="O10" s="17">
        <v>6.2595435778941499E-2</v>
      </c>
    </row>
    <row r="11" spans="2:15" x14ac:dyDescent="0.3">
      <c r="B11" s="18" t="s">
        <v>233</v>
      </c>
      <c r="C11" s="17">
        <v>0.26766132874570803</v>
      </c>
      <c r="D11" s="17">
        <v>0.355288125456654</v>
      </c>
      <c r="E11" s="17">
        <v>0.20517548756610701</v>
      </c>
      <c r="F11" s="17"/>
      <c r="G11" s="17">
        <v>0.27445062650512603</v>
      </c>
      <c r="H11" s="17">
        <v>0.15085192530078401</v>
      </c>
      <c r="I11" s="17">
        <v>0.32059498295345501</v>
      </c>
      <c r="J11" s="17">
        <v>0.35508874055107698</v>
      </c>
      <c r="K11" s="17"/>
      <c r="L11" s="17">
        <v>0.22027059834449</v>
      </c>
      <c r="M11" s="17">
        <v>0.39237636341236598</v>
      </c>
      <c r="N11" s="17">
        <v>0.39462192303578703</v>
      </c>
      <c r="O11" s="17">
        <v>5.3295324677693101E-2</v>
      </c>
    </row>
    <row r="12" spans="2:15" x14ac:dyDescent="0.3">
      <c r="B12" s="18" t="s">
        <v>234</v>
      </c>
      <c r="C12" s="17">
        <v>0.21295625533384099</v>
      </c>
      <c r="D12" s="17">
        <v>0.229574805455698</v>
      </c>
      <c r="E12" s="17">
        <v>0.207072702396363</v>
      </c>
      <c r="F12" s="17"/>
      <c r="G12" s="17">
        <v>0.25888585292656102</v>
      </c>
      <c r="H12" s="17">
        <v>0.134831358904138</v>
      </c>
      <c r="I12" s="17">
        <v>0.27119609330024302</v>
      </c>
      <c r="J12" s="17">
        <v>0.19365116579291</v>
      </c>
      <c r="K12" s="17"/>
      <c r="L12" s="17">
        <v>0.26647095153593597</v>
      </c>
      <c r="M12" s="17">
        <v>0.13779640347406</v>
      </c>
      <c r="N12" s="17">
        <v>0.19302036397611699</v>
      </c>
      <c r="O12" s="17">
        <v>0.23949353703981099</v>
      </c>
    </row>
    <row r="13" spans="2:15" x14ac:dyDescent="0.3">
      <c r="B13" s="18" t="s">
        <v>235</v>
      </c>
      <c r="C13" s="17">
        <v>0.18680358443998299</v>
      </c>
      <c r="D13" s="17">
        <v>0.13171685253454701</v>
      </c>
      <c r="E13" s="17">
        <v>0.22144570424077301</v>
      </c>
      <c r="F13" s="17"/>
      <c r="G13" s="17">
        <v>0.174507432480562</v>
      </c>
      <c r="H13" s="17">
        <v>0.19382377778955101</v>
      </c>
      <c r="I13" s="17">
        <v>0.26232763547836002</v>
      </c>
      <c r="J13" s="17">
        <v>0.15846109070780701</v>
      </c>
      <c r="K13" s="17"/>
      <c r="L13" s="17">
        <v>0.24257768422665199</v>
      </c>
      <c r="M13" s="17">
        <v>0.16073945001050799</v>
      </c>
      <c r="N13" s="17">
        <v>0.129859028499964</v>
      </c>
      <c r="O13" s="17">
        <v>0.18831610580199401</v>
      </c>
    </row>
    <row r="14" spans="2:15" x14ac:dyDescent="0.3">
      <c r="B14" s="18" t="s">
        <v>236</v>
      </c>
      <c r="C14" s="17">
        <v>0.126600231687858</v>
      </c>
      <c r="D14" s="17">
        <v>0.15869029300710299</v>
      </c>
      <c r="E14" s="17">
        <v>0.110412427801028</v>
      </c>
      <c r="F14" s="17"/>
      <c r="G14" s="17">
        <v>9.1933846814702597E-2</v>
      </c>
      <c r="H14" s="17">
        <v>0.124619864852098</v>
      </c>
      <c r="I14" s="17">
        <v>0</v>
      </c>
      <c r="J14" s="17">
        <v>0.25114976354178598</v>
      </c>
      <c r="K14" s="17"/>
      <c r="L14" s="17">
        <v>0</v>
      </c>
      <c r="M14" s="17">
        <v>0</v>
      </c>
      <c r="N14" s="17">
        <v>0.19905567421071901</v>
      </c>
      <c r="O14" s="17">
        <v>0.41658003624593198</v>
      </c>
    </row>
    <row r="15" spans="2:15" x14ac:dyDescent="0.3">
      <c r="B15" s="18" t="s">
        <v>237</v>
      </c>
      <c r="C15" s="17">
        <v>5.5733710285063798E-2</v>
      </c>
      <c r="D15" s="17">
        <v>2.7566339367158299E-2</v>
      </c>
      <c r="E15" s="17">
        <v>7.2772482260318697E-2</v>
      </c>
      <c r="F15" s="17"/>
      <c r="G15" s="17">
        <v>2.5628462661900501E-2</v>
      </c>
      <c r="H15" s="17">
        <v>6.8467603450622402E-2</v>
      </c>
      <c r="I15" s="17">
        <v>0.145881288267943</v>
      </c>
      <c r="J15" s="17">
        <v>4.1649239406420499E-2</v>
      </c>
      <c r="K15" s="17"/>
      <c r="L15" s="17">
        <v>0.108622293305739</v>
      </c>
      <c r="M15" s="17">
        <v>3.9637355502599197E-2</v>
      </c>
      <c r="N15" s="17">
        <v>4.4632170399447398E-2</v>
      </c>
      <c r="O15" s="17">
        <v>0</v>
      </c>
    </row>
    <row r="16" spans="2:15" ht="28.8" x14ac:dyDescent="0.3">
      <c r="B16" s="18" t="s">
        <v>238</v>
      </c>
      <c r="C16" s="17">
        <v>0</v>
      </c>
      <c r="D16" s="17">
        <v>0</v>
      </c>
      <c r="E16" s="17">
        <v>0</v>
      </c>
      <c r="F16" s="17"/>
      <c r="G16" s="17">
        <v>0</v>
      </c>
      <c r="H16" s="17">
        <v>0</v>
      </c>
      <c r="I16" s="17">
        <v>0</v>
      </c>
      <c r="J16" s="17">
        <v>0</v>
      </c>
      <c r="K16" s="17"/>
      <c r="L16" s="17">
        <v>0</v>
      </c>
      <c r="M16" s="17">
        <v>0</v>
      </c>
      <c r="N16" s="17">
        <v>0</v>
      </c>
      <c r="O16" s="17">
        <v>0</v>
      </c>
    </row>
    <row r="17" spans="2:15" ht="28.8" x14ac:dyDescent="0.3">
      <c r="B17" s="18" t="s">
        <v>239</v>
      </c>
      <c r="C17" s="19">
        <v>3.1901661258867203E-2</v>
      </c>
      <c r="D17" s="19">
        <v>0</v>
      </c>
      <c r="E17" s="19">
        <v>5.0669870150261503E-2</v>
      </c>
      <c r="F17" s="19"/>
      <c r="G17" s="19">
        <v>0</v>
      </c>
      <c r="H17" s="19">
        <v>0.123830220784259</v>
      </c>
      <c r="I17" s="19">
        <v>0</v>
      </c>
      <c r="J17" s="19">
        <v>0</v>
      </c>
      <c r="K17" s="19"/>
      <c r="L17" s="19">
        <v>9.5871829353283894E-2</v>
      </c>
      <c r="M17" s="19">
        <v>0</v>
      </c>
      <c r="N17" s="19">
        <v>0</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247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67</v>
      </c>
      <c r="D7" s="10">
        <v>41</v>
      </c>
      <c r="E7" s="10">
        <v>26</v>
      </c>
      <c r="F7" s="10"/>
      <c r="G7" s="10">
        <v>36</v>
      </c>
      <c r="H7" s="10">
        <v>14</v>
      </c>
      <c r="I7" s="10">
        <v>8</v>
      </c>
      <c r="J7" s="10">
        <v>9</v>
      </c>
      <c r="K7" s="10"/>
      <c r="L7" s="10">
        <v>13</v>
      </c>
      <c r="M7" s="10">
        <v>23</v>
      </c>
      <c r="N7" s="10">
        <v>21</v>
      </c>
      <c r="O7" s="10">
        <v>10</v>
      </c>
    </row>
    <row r="8" spans="2:15" ht="30" customHeight="1" x14ac:dyDescent="0.3">
      <c r="B8" s="11" t="s">
        <v>19</v>
      </c>
      <c r="C8" s="11">
        <v>60</v>
      </c>
      <c r="D8" s="11">
        <v>35</v>
      </c>
      <c r="E8" s="11">
        <v>25</v>
      </c>
      <c r="F8" s="11"/>
      <c r="G8" s="11">
        <v>26</v>
      </c>
      <c r="H8" s="11">
        <v>13</v>
      </c>
      <c r="I8" s="11">
        <v>10</v>
      </c>
      <c r="J8" s="11">
        <v>11</v>
      </c>
      <c r="K8" s="11"/>
      <c r="L8" s="11">
        <v>14</v>
      </c>
      <c r="M8" s="11">
        <v>18</v>
      </c>
      <c r="N8" s="11">
        <v>16</v>
      </c>
      <c r="O8" s="11">
        <v>12</v>
      </c>
    </row>
    <row r="9" spans="2:15" x14ac:dyDescent="0.3">
      <c r="B9" s="18" t="s">
        <v>231</v>
      </c>
      <c r="C9" s="17">
        <v>3.9233392819755401E-2</v>
      </c>
      <c r="D9" s="17">
        <v>6.7099235891181594E-2</v>
      </c>
      <c r="E9" s="17">
        <v>0</v>
      </c>
      <c r="F9" s="17"/>
      <c r="G9" s="17">
        <v>9.2226451951001306E-2</v>
      </c>
      <c r="H9" s="17">
        <v>0</v>
      </c>
      <c r="I9" s="17">
        <v>0</v>
      </c>
      <c r="J9" s="17">
        <v>0</v>
      </c>
      <c r="K9" s="17"/>
      <c r="L9" s="17">
        <v>4.7928569309296502E-2</v>
      </c>
      <c r="M9" s="17">
        <v>0</v>
      </c>
      <c r="N9" s="17">
        <v>4.1827757435801499E-2</v>
      </c>
      <c r="O9" s="17">
        <v>8.5882745029469604E-2</v>
      </c>
    </row>
    <row r="10" spans="2:15" x14ac:dyDescent="0.3">
      <c r="B10" s="18" t="s">
        <v>232</v>
      </c>
      <c r="C10" s="17">
        <v>0.25994056649034503</v>
      </c>
      <c r="D10" s="17">
        <v>0.28078691283363499</v>
      </c>
      <c r="E10" s="17">
        <v>0.230590193244985</v>
      </c>
      <c r="F10" s="17"/>
      <c r="G10" s="17">
        <v>0.286878964555281</v>
      </c>
      <c r="H10" s="17">
        <v>0.149784817322589</v>
      </c>
      <c r="I10" s="17">
        <v>0.37331246860452999</v>
      </c>
      <c r="J10" s="17">
        <v>0.227671382068523</v>
      </c>
      <c r="K10" s="17"/>
      <c r="L10" s="17">
        <v>0.272753249020804</v>
      </c>
      <c r="M10" s="17">
        <v>0.34504225822121198</v>
      </c>
      <c r="N10" s="17">
        <v>0.34289937304875701</v>
      </c>
      <c r="O10" s="17">
        <v>0</v>
      </c>
    </row>
    <row r="11" spans="2:15" x14ac:dyDescent="0.3">
      <c r="B11" s="18" t="s">
        <v>233</v>
      </c>
      <c r="C11" s="17">
        <v>0.15248185566574901</v>
      </c>
      <c r="D11" s="17">
        <v>0.191906695423533</v>
      </c>
      <c r="E11" s="17">
        <v>9.6974106587123701E-2</v>
      </c>
      <c r="F11" s="17"/>
      <c r="G11" s="17">
        <v>0.22521079956012299</v>
      </c>
      <c r="H11" s="17">
        <v>9.2129530875872098E-2</v>
      </c>
      <c r="I11" s="17">
        <v>0.121739621456621</v>
      </c>
      <c r="J11" s="17">
        <v>8.6043183173306503E-2</v>
      </c>
      <c r="K11" s="17"/>
      <c r="L11" s="17">
        <v>0.27234464501966299</v>
      </c>
      <c r="M11" s="17">
        <v>9.2405694472916106E-2</v>
      </c>
      <c r="N11" s="17">
        <v>0.19091590564427699</v>
      </c>
      <c r="O11" s="17">
        <v>5.4793515302947703E-2</v>
      </c>
    </row>
    <row r="12" spans="2:15" x14ac:dyDescent="0.3">
      <c r="B12" s="18" t="s">
        <v>234</v>
      </c>
      <c r="C12" s="17">
        <v>0.249365730418106</v>
      </c>
      <c r="D12" s="17">
        <v>0.21064513173619701</v>
      </c>
      <c r="E12" s="17">
        <v>0.303881951384741</v>
      </c>
      <c r="F12" s="17"/>
      <c r="G12" s="17">
        <v>0.203393071002993</v>
      </c>
      <c r="H12" s="17">
        <v>0.411294258819559</v>
      </c>
      <c r="I12" s="17">
        <v>0.104861857018171</v>
      </c>
      <c r="J12" s="17">
        <v>0.29179580910745501</v>
      </c>
      <c r="K12" s="17"/>
      <c r="L12" s="17">
        <v>0.16908810064954899</v>
      </c>
      <c r="M12" s="17">
        <v>0.42987848421094199</v>
      </c>
      <c r="N12" s="17">
        <v>0.22159725176235001</v>
      </c>
      <c r="O12" s="17">
        <v>0.10253948517511099</v>
      </c>
    </row>
    <row r="13" spans="2:15" x14ac:dyDescent="0.3">
      <c r="B13" s="18" t="s">
        <v>235</v>
      </c>
      <c r="C13" s="17">
        <v>0.13795031277377301</v>
      </c>
      <c r="D13" s="17">
        <v>0.110495350116796</v>
      </c>
      <c r="E13" s="17">
        <v>0.17660521124614001</v>
      </c>
      <c r="F13" s="17"/>
      <c r="G13" s="17">
        <v>7.4604669819892402E-2</v>
      </c>
      <c r="H13" s="17">
        <v>6.6837207729745496E-2</v>
      </c>
      <c r="I13" s="17">
        <v>0.24031204548385901</v>
      </c>
      <c r="J13" s="17">
        <v>0.27195066313015198</v>
      </c>
      <c r="K13" s="17"/>
      <c r="L13" s="17">
        <v>0</v>
      </c>
      <c r="M13" s="17">
        <v>4.8169397155098798E-2</v>
      </c>
      <c r="N13" s="17">
        <v>6.6717938063440396E-2</v>
      </c>
      <c r="O13" s="17">
        <v>0.53141025396182895</v>
      </c>
    </row>
    <row r="14" spans="2:15" x14ac:dyDescent="0.3">
      <c r="B14" s="18" t="s">
        <v>236</v>
      </c>
      <c r="C14" s="17">
        <v>7.6501456994331293E-2</v>
      </c>
      <c r="D14" s="17">
        <v>6.1734096720560697E-2</v>
      </c>
      <c r="E14" s="17">
        <v>9.7292991815173896E-2</v>
      </c>
      <c r="F14" s="17"/>
      <c r="G14" s="17">
        <v>0.11768604311071</v>
      </c>
      <c r="H14" s="17">
        <v>0</v>
      </c>
      <c r="I14" s="17">
        <v>0.15977400743681899</v>
      </c>
      <c r="J14" s="17">
        <v>0</v>
      </c>
      <c r="K14" s="17"/>
      <c r="L14" s="17">
        <v>6.3945533964655493E-2</v>
      </c>
      <c r="M14" s="17">
        <v>3.1861303273233499E-2</v>
      </c>
      <c r="N14" s="17">
        <v>2.8744627347339499E-2</v>
      </c>
      <c r="O14" s="17">
        <v>0.22537400053064299</v>
      </c>
    </row>
    <row r="15" spans="2:15" x14ac:dyDescent="0.3">
      <c r="B15" s="18" t="s">
        <v>237</v>
      </c>
      <c r="C15" s="17">
        <v>2.9389165654348501E-2</v>
      </c>
      <c r="D15" s="17">
        <v>5.0263064628281999E-2</v>
      </c>
      <c r="E15" s="17">
        <v>0</v>
      </c>
      <c r="F15" s="17"/>
      <c r="G15" s="17">
        <v>0</v>
      </c>
      <c r="H15" s="17">
        <v>0.13451517594599399</v>
      </c>
      <c r="I15" s="17">
        <v>0</v>
      </c>
      <c r="J15" s="17">
        <v>0</v>
      </c>
      <c r="K15" s="17"/>
      <c r="L15" s="17">
        <v>0</v>
      </c>
      <c r="M15" s="17">
        <v>5.2642862666597297E-2</v>
      </c>
      <c r="N15" s="17">
        <v>4.9050730131404097E-2</v>
      </c>
      <c r="O15" s="17">
        <v>0</v>
      </c>
    </row>
    <row r="16" spans="2:15" ht="28.8" x14ac:dyDescent="0.3">
      <c r="B16" s="18" t="s">
        <v>238</v>
      </c>
      <c r="C16" s="17">
        <v>3.1775828318594303E-2</v>
      </c>
      <c r="D16" s="17">
        <v>2.7069512649815702E-2</v>
      </c>
      <c r="E16" s="17">
        <v>3.8402031261519101E-2</v>
      </c>
      <c r="F16" s="17"/>
      <c r="G16" s="17">
        <v>0</v>
      </c>
      <c r="H16" s="17">
        <v>0.14543900930624001</v>
      </c>
      <c r="I16" s="17">
        <v>0</v>
      </c>
      <c r="J16" s="17">
        <v>0</v>
      </c>
      <c r="K16" s="17"/>
      <c r="L16" s="17">
        <v>7.0250442772862604E-2</v>
      </c>
      <c r="M16" s="17">
        <v>0</v>
      </c>
      <c r="N16" s="17">
        <v>5.82464165666308E-2</v>
      </c>
      <c r="O16" s="17">
        <v>0</v>
      </c>
    </row>
    <row r="17" spans="2:15" ht="28.8" x14ac:dyDescent="0.3">
      <c r="B17" s="18" t="s">
        <v>239</v>
      </c>
      <c r="C17" s="19">
        <v>2.3361690864998601E-2</v>
      </c>
      <c r="D17" s="19">
        <v>0</v>
      </c>
      <c r="E17" s="19">
        <v>5.6253514460317303E-2</v>
      </c>
      <c r="F17" s="19"/>
      <c r="G17" s="19">
        <v>0</v>
      </c>
      <c r="H17" s="19">
        <v>0</v>
      </c>
      <c r="I17" s="19">
        <v>0</v>
      </c>
      <c r="J17" s="19">
        <v>0.122538962520563</v>
      </c>
      <c r="K17" s="19"/>
      <c r="L17" s="19">
        <v>0.103689459263169</v>
      </c>
      <c r="M17" s="19">
        <v>0</v>
      </c>
      <c r="N17" s="19">
        <v>0</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248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20</v>
      </c>
      <c r="D7" s="10">
        <v>6</v>
      </c>
      <c r="E7" s="10">
        <v>14</v>
      </c>
      <c r="F7" s="10"/>
      <c r="G7" s="10">
        <v>14</v>
      </c>
      <c r="H7" s="10">
        <v>2</v>
      </c>
      <c r="I7" s="10">
        <v>3</v>
      </c>
      <c r="J7" s="10">
        <v>1</v>
      </c>
      <c r="K7" s="10"/>
      <c r="L7" s="10">
        <v>3</v>
      </c>
      <c r="M7" s="10">
        <v>8</v>
      </c>
      <c r="N7" s="10">
        <v>8</v>
      </c>
      <c r="O7" s="10">
        <v>1</v>
      </c>
    </row>
    <row r="8" spans="2:15" ht="30" customHeight="1" x14ac:dyDescent="0.3">
      <c r="B8" s="11" t="s">
        <v>19</v>
      </c>
      <c r="C8" s="11">
        <v>17</v>
      </c>
      <c r="D8" s="11">
        <v>5</v>
      </c>
      <c r="E8" s="11">
        <v>12</v>
      </c>
      <c r="F8" s="11"/>
      <c r="G8" s="11">
        <v>11</v>
      </c>
      <c r="H8" s="11">
        <v>2</v>
      </c>
      <c r="I8" s="11">
        <v>3</v>
      </c>
      <c r="J8" s="11">
        <v>1</v>
      </c>
      <c r="K8" s="11"/>
      <c r="L8" s="11">
        <v>3</v>
      </c>
      <c r="M8" s="11">
        <v>7</v>
      </c>
      <c r="N8" s="11">
        <v>6</v>
      </c>
      <c r="O8" s="11">
        <v>1</v>
      </c>
    </row>
    <row r="9" spans="2:15" x14ac:dyDescent="0.3">
      <c r="B9" s="18" t="s">
        <v>231</v>
      </c>
      <c r="C9" s="17">
        <v>0</v>
      </c>
      <c r="D9" s="17">
        <v>0</v>
      </c>
      <c r="E9" s="17">
        <v>0</v>
      </c>
      <c r="F9" s="17"/>
      <c r="G9" s="17">
        <v>0</v>
      </c>
      <c r="H9" s="17">
        <v>0</v>
      </c>
      <c r="I9" s="17">
        <v>0</v>
      </c>
      <c r="J9" s="17">
        <v>0</v>
      </c>
      <c r="K9" s="17"/>
      <c r="L9" s="17">
        <v>0</v>
      </c>
      <c r="M9" s="17">
        <v>0</v>
      </c>
      <c r="N9" s="17">
        <v>0</v>
      </c>
      <c r="O9" s="17">
        <v>0</v>
      </c>
    </row>
    <row r="10" spans="2:15" x14ac:dyDescent="0.3">
      <c r="B10" s="18" t="s">
        <v>232</v>
      </c>
      <c r="C10" s="17">
        <v>0.11708851082089</v>
      </c>
      <c r="D10" s="17">
        <v>0</v>
      </c>
      <c r="E10" s="17">
        <v>0.168200767189849</v>
      </c>
      <c r="F10" s="17"/>
      <c r="G10" s="17">
        <v>0.188596293081187</v>
      </c>
      <c r="H10" s="17">
        <v>0</v>
      </c>
      <c r="I10" s="17">
        <v>0</v>
      </c>
      <c r="J10" s="17">
        <v>0</v>
      </c>
      <c r="K10" s="17"/>
      <c r="L10" s="17">
        <v>0</v>
      </c>
      <c r="M10" s="17">
        <v>9.2946242060383599E-2</v>
      </c>
      <c r="N10" s="17">
        <v>0.216684667203079</v>
      </c>
      <c r="O10" s="17">
        <v>0</v>
      </c>
    </row>
    <row r="11" spans="2:15" x14ac:dyDescent="0.3">
      <c r="B11" s="18" t="s">
        <v>233</v>
      </c>
      <c r="C11" s="17">
        <v>0.13142443036234999</v>
      </c>
      <c r="D11" s="17">
        <v>0.43249293975332098</v>
      </c>
      <c r="E11" s="17">
        <v>0</v>
      </c>
      <c r="F11" s="17"/>
      <c r="G11" s="17">
        <v>0.117113653043321</v>
      </c>
      <c r="H11" s="17">
        <v>0</v>
      </c>
      <c r="I11" s="17">
        <v>0.29740913060265201</v>
      </c>
      <c r="J11" s="17">
        <v>0</v>
      </c>
      <c r="K11" s="17"/>
      <c r="L11" s="17">
        <v>0</v>
      </c>
      <c r="M11" s="17">
        <v>9.6683496079087203E-2</v>
      </c>
      <c r="N11" s="17">
        <v>0.25193575029885801</v>
      </c>
      <c r="O11" s="17">
        <v>0</v>
      </c>
    </row>
    <row r="12" spans="2:15" x14ac:dyDescent="0.3">
      <c r="B12" s="18" t="s">
        <v>234</v>
      </c>
      <c r="C12" s="17">
        <v>0.20510065735031899</v>
      </c>
      <c r="D12" s="17">
        <v>0.232774276769665</v>
      </c>
      <c r="E12" s="17">
        <v>0.19302038473858199</v>
      </c>
      <c r="F12" s="17"/>
      <c r="G12" s="17">
        <v>0.21642546380132199</v>
      </c>
      <c r="H12" s="17">
        <v>0</v>
      </c>
      <c r="I12" s="17">
        <v>0</v>
      </c>
      <c r="J12" s="17">
        <v>1</v>
      </c>
      <c r="K12" s="17"/>
      <c r="L12" s="17">
        <v>0</v>
      </c>
      <c r="M12" s="17">
        <v>0.240299163888095</v>
      </c>
      <c r="N12" s="17">
        <v>0.29114124541904202</v>
      </c>
      <c r="O12" s="17">
        <v>0</v>
      </c>
    </row>
    <row r="13" spans="2:15" x14ac:dyDescent="0.3">
      <c r="B13" s="18" t="s">
        <v>235</v>
      </c>
      <c r="C13" s="17">
        <v>0.220143500878418</v>
      </c>
      <c r="D13" s="17">
        <v>0</v>
      </c>
      <c r="E13" s="17">
        <v>0.316242007691524</v>
      </c>
      <c r="F13" s="17"/>
      <c r="G13" s="17">
        <v>0.234021787345983</v>
      </c>
      <c r="H13" s="17">
        <v>0</v>
      </c>
      <c r="I13" s="17">
        <v>0.379150359155082</v>
      </c>
      <c r="J13" s="17">
        <v>0</v>
      </c>
      <c r="K13" s="17"/>
      <c r="L13" s="17">
        <v>0.69487524565125802</v>
      </c>
      <c r="M13" s="17">
        <v>0.18081662484618699</v>
      </c>
      <c r="N13" s="17">
        <v>8.8683574815633201E-2</v>
      </c>
      <c r="O13" s="17">
        <v>0</v>
      </c>
    </row>
    <row r="14" spans="2:15" x14ac:dyDescent="0.3">
      <c r="B14" s="18" t="s">
        <v>236</v>
      </c>
      <c r="C14" s="17">
        <v>0.15479303887654999</v>
      </c>
      <c r="D14" s="17">
        <v>0.13580535473660399</v>
      </c>
      <c r="E14" s="17">
        <v>0.163081669185448</v>
      </c>
      <c r="F14" s="17"/>
      <c r="G14" s="17">
        <v>0.14647606481386899</v>
      </c>
      <c r="H14" s="17">
        <v>0</v>
      </c>
      <c r="I14" s="17">
        <v>0.323440510242266</v>
      </c>
      <c r="J14" s="17">
        <v>0</v>
      </c>
      <c r="K14" s="17"/>
      <c r="L14" s="17">
        <v>0.30512475434874198</v>
      </c>
      <c r="M14" s="17">
        <v>0.25393676925438402</v>
      </c>
      <c r="N14" s="17">
        <v>0</v>
      </c>
      <c r="O14" s="17">
        <v>0</v>
      </c>
    </row>
    <row r="15" spans="2:15" x14ac:dyDescent="0.3">
      <c r="B15" s="18" t="s">
        <v>237</v>
      </c>
      <c r="C15" s="17">
        <v>5.6017675301206098E-2</v>
      </c>
      <c r="D15" s="17">
        <v>0</v>
      </c>
      <c r="E15" s="17">
        <v>8.0470883913348404E-2</v>
      </c>
      <c r="F15" s="17"/>
      <c r="G15" s="17">
        <v>0</v>
      </c>
      <c r="H15" s="17">
        <v>0.50466148768008801</v>
      </c>
      <c r="I15" s="17">
        <v>0</v>
      </c>
      <c r="J15" s="17">
        <v>0</v>
      </c>
      <c r="K15" s="17"/>
      <c r="L15" s="17">
        <v>0</v>
      </c>
      <c r="M15" s="17">
        <v>0.13531770387186301</v>
      </c>
      <c r="N15" s="17">
        <v>0</v>
      </c>
      <c r="O15" s="17">
        <v>0</v>
      </c>
    </row>
    <row r="16" spans="2:15" ht="28.8" x14ac:dyDescent="0.3">
      <c r="B16" s="18" t="s">
        <v>238</v>
      </c>
      <c r="C16" s="17">
        <v>0.11543218641026599</v>
      </c>
      <c r="D16" s="17">
        <v>0.19892742874041</v>
      </c>
      <c r="E16" s="17">
        <v>7.8984287281248705E-2</v>
      </c>
      <c r="F16" s="17"/>
      <c r="G16" s="17">
        <v>9.7366737914318602E-2</v>
      </c>
      <c r="H16" s="17">
        <v>0.49533851231991199</v>
      </c>
      <c r="I16" s="17">
        <v>0</v>
      </c>
      <c r="J16" s="17">
        <v>0</v>
      </c>
      <c r="K16" s="17"/>
      <c r="L16" s="17">
        <v>0</v>
      </c>
      <c r="M16" s="17">
        <v>0</v>
      </c>
      <c r="N16" s="17">
        <v>0.15155476226338799</v>
      </c>
      <c r="O16" s="17">
        <v>1</v>
      </c>
    </row>
    <row r="17" spans="2:15" ht="28.8" x14ac:dyDescent="0.3">
      <c r="B17" s="18" t="s">
        <v>239</v>
      </c>
      <c r="C17" s="19">
        <v>0</v>
      </c>
      <c r="D17" s="19">
        <v>0</v>
      </c>
      <c r="E17" s="19">
        <v>0</v>
      </c>
      <c r="F17" s="19"/>
      <c r="G17" s="19">
        <v>0</v>
      </c>
      <c r="H17" s="19">
        <v>0</v>
      </c>
      <c r="I17" s="19">
        <v>0</v>
      </c>
      <c r="J17" s="19">
        <v>0</v>
      </c>
      <c r="K17" s="19"/>
      <c r="L17" s="19">
        <v>0</v>
      </c>
      <c r="M17" s="19">
        <v>0</v>
      </c>
      <c r="N17" s="19">
        <v>0</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249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79</v>
      </c>
      <c r="D7" s="10">
        <v>46</v>
      </c>
      <c r="E7" s="10">
        <v>33</v>
      </c>
      <c r="F7" s="10"/>
      <c r="G7" s="10">
        <v>37</v>
      </c>
      <c r="H7" s="10">
        <v>17</v>
      </c>
      <c r="I7" s="10">
        <v>11</v>
      </c>
      <c r="J7" s="10">
        <v>14</v>
      </c>
      <c r="K7" s="10"/>
      <c r="L7" s="10">
        <v>17</v>
      </c>
      <c r="M7" s="10">
        <v>21</v>
      </c>
      <c r="N7" s="10">
        <v>22</v>
      </c>
      <c r="O7" s="10">
        <v>19</v>
      </c>
    </row>
    <row r="8" spans="2:15" ht="30" customHeight="1" x14ac:dyDescent="0.3">
      <c r="B8" s="11" t="s">
        <v>19</v>
      </c>
      <c r="C8" s="11">
        <v>78</v>
      </c>
      <c r="D8" s="11">
        <v>46</v>
      </c>
      <c r="E8" s="11">
        <v>32</v>
      </c>
      <c r="F8" s="11"/>
      <c r="G8" s="11">
        <v>31</v>
      </c>
      <c r="H8" s="11">
        <v>17</v>
      </c>
      <c r="I8" s="11">
        <v>12</v>
      </c>
      <c r="J8" s="11">
        <v>18</v>
      </c>
      <c r="K8" s="11"/>
      <c r="L8" s="11">
        <v>18</v>
      </c>
      <c r="M8" s="11">
        <v>19</v>
      </c>
      <c r="N8" s="11">
        <v>18</v>
      </c>
      <c r="O8" s="11">
        <v>22</v>
      </c>
    </row>
    <row r="9" spans="2:15" x14ac:dyDescent="0.3">
      <c r="B9" s="18" t="s">
        <v>231</v>
      </c>
      <c r="C9" s="17">
        <v>1.9587687069497501E-2</v>
      </c>
      <c r="D9" s="17">
        <v>3.31197453001979E-2</v>
      </c>
      <c r="E9" s="17">
        <v>0</v>
      </c>
      <c r="F9" s="17"/>
      <c r="G9" s="17">
        <v>0</v>
      </c>
      <c r="H9" s="17">
        <v>0</v>
      </c>
      <c r="I9" s="17">
        <v>0.12408358000174</v>
      </c>
      <c r="J9" s="17">
        <v>0</v>
      </c>
      <c r="K9" s="17"/>
      <c r="L9" s="17">
        <v>8.2495631712368303E-2</v>
      </c>
      <c r="M9" s="17">
        <v>0</v>
      </c>
      <c r="N9" s="17">
        <v>0</v>
      </c>
      <c r="O9" s="17">
        <v>0</v>
      </c>
    </row>
    <row r="10" spans="2:15" x14ac:dyDescent="0.3">
      <c r="B10" s="18" t="s">
        <v>232</v>
      </c>
      <c r="C10" s="17">
        <v>0.111614476038711</v>
      </c>
      <c r="D10" s="17">
        <v>0.14759284108083601</v>
      </c>
      <c r="E10" s="17">
        <v>5.9535705484911501E-2</v>
      </c>
      <c r="F10" s="17"/>
      <c r="G10" s="17">
        <v>0.21559309024798701</v>
      </c>
      <c r="H10" s="17">
        <v>6.5476663248573597E-2</v>
      </c>
      <c r="I10" s="17">
        <v>7.7303417339781896E-2</v>
      </c>
      <c r="J10" s="17">
        <v>0</v>
      </c>
      <c r="K10" s="17"/>
      <c r="L10" s="17">
        <v>3.5037220817071203E-2</v>
      </c>
      <c r="M10" s="17">
        <v>3.0645894607108499E-2</v>
      </c>
      <c r="N10" s="17">
        <v>8.4468431563603397E-2</v>
      </c>
      <c r="O10" s="17">
        <v>0.26502488724633799</v>
      </c>
    </row>
    <row r="11" spans="2:15" x14ac:dyDescent="0.3">
      <c r="B11" s="18" t="s">
        <v>233</v>
      </c>
      <c r="C11" s="17">
        <v>0.217560368793698</v>
      </c>
      <c r="D11" s="17">
        <v>0.26322592059918298</v>
      </c>
      <c r="E11" s="17">
        <v>0.151459371933335</v>
      </c>
      <c r="F11" s="17"/>
      <c r="G11" s="17">
        <v>0.12585996957694401</v>
      </c>
      <c r="H11" s="17">
        <v>0.23973656936667101</v>
      </c>
      <c r="I11" s="17">
        <v>0.33376281693538201</v>
      </c>
      <c r="J11" s="17">
        <v>0.27416470723022901</v>
      </c>
      <c r="K11" s="17"/>
      <c r="L11" s="17">
        <v>0.19119834478613401</v>
      </c>
      <c r="M11" s="17">
        <v>0.24674545413077001</v>
      </c>
      <c r="N11" s="17">
        <v>0.27784647014052399</v>
      </c>
      <c r="O11" s="17">
        <v>0.16558485863445299</v>
      </c>
    </row>
    <row r="12" spans="2:15" x14ac:dyDescent="0.3">
      <c r="B12" s="18" t="s">
        <v>234</v>
      </c>
      <c r="C12" s="17">
        <v>0.27639694534534198</v>
      </c>
      <c r="D12" s="17">
        <v>0.29056220490124002</v>
      </c>
      <c r="E12" s="17">
        <v>0.25589269782372998</v>
      </c>
      <c r="F12" s="17"/>
      <c r="G12" s="17">
        <v>0.27838172356651603</v>
      </c>
      <c r="H12" s="17">
        <v>0.279049607458912</v>
      </c>
      <c r="I12" s="17">
        <v>0.39121499284684902</v>
      </c>
      <c r="J12" s="17">
        <v>0.18989704366264301</v>
      </c>
      <c r="K12" s="17"/>
      <c r="L12" s="17">
        <v>0.35255707630366501</v>
      </c>
      <c r="M12" s="17">
        <v>0.32597713753443602</v>
      </c>
      <c r="N12" s="17">
        <v>0.31571166133680201</v>
      </c>
      <c r="O12" s="17">
        <v>0.13968750633728699</v>
      </c>
    </row>
    <row r="13" spans="2:15" x14ac:dyDescent="0.3">
      <c r="B13" s="18" t="s">
        <v>235</v>
      </c>
      <c r="C13" s="17">
        <v>0.176459091445648</v>
      </c>
      <c r="D13" s="17">
        <v>8.6549273427364307E-2</v>
      </c>
      <c r="E13" s="17">
        <v>0.30660377082798301</v>
      </c>
      <c r="F13" s="17"/>
      <c r="G13" s="17">
        <v>0.16788675418441601</v>
      </c>
      <c r="H13" s="17">
        <v>0.185360592353535</v>
      </c>
      <c r="I13" s="17">
        <v>0</v>
      </c>
      <c r="J13" s="17">
        <v>0.30616240073283901</v>
      </c>
      <c r="K13" s="17"/>
      <c r="L13" s="17">
        <v>0.16951323234253801</v>
      </c>
      <c r="M13" s="17">
        <v>0.16386146303445101</v>
      </c>
      <c r="N13" s="17">
        <v>0.19898023726708899</v>
      </c>
      <c r="O13" s="17">
        <v>0.17434053079483999</v>
      </c>
    </row>
    <row r="14" spans="2:15" x14ac:dyDescent="0.3">
      <c r="B14" s="18" t="s">
        <v>236</v>
      </c>
      <c r="C14" s="17">
        <v>0.16467017443277099</v>
      </c>
      <c r="D14" s="17">
        <v>0.15611006708382399</v>
      </c>
      <c r="E14" s="17">
        <v>0.17706095055669199</v>
      </c>
      <c r="F14" s="17"/>
      <c r="G14" s="17">
        <v>0.12654934756767799</v>
      </c>
      <c r="H14" s="17">
        <v>0.23037656757230801</v>
      </c>
      <c r="I14" s="17">
        <v>7.3635192876248201E-2</v>
      </c>
      <c r="J14" s="17">
        <v>0.22977584837428899</v>
      </c>
      <c r="K14" s="17"/>
      <c r="L14" s="17">
        <v>0.16919849403822401</v>
      </c>
      <c r="M14" s="17">
        <v>0.19186354019469701</v>
      </c>
      <c r="N14" s="17">
        <v>0.122993199691982</v>
      </c>
      <c r="O14" s="17">
        <v>0.17222377300890199</v>
      </c>
    </row>
    <row r="15" spans="2:15" x14ac:dyDescent="0.3">
      <c r="B15" s="18" t="s">
        <v>237</v>
      </c>
      <c r="C15" s="17">
        <v>9.8436359853099793E-3</v>
      </c>
      <c r="D15" s="17">
        <v>0</v>
      </c>
      <c r="E15" s="17">
        <v>2.4092322919634299E-2</v>
      </c>
      <c r="F15" s="17"/>
      <c r="G15" s="17">
        <v>2.5032771787050101E-2</v>
      </c>
      <c r="H15" s="17">
        <v>0</v>
      </c>
      <c r="I15" s="17">
        <v>0</v>
      </c>
      <c r="J15" s="17">
        <v>0</v>
      </c>
      <c r="K15" s="17"/>
      <c r="L15" s="17">
        <v>0</v>
      </c>
      <c r="M15" s="17">
        <v>4.0906510498537697E-2</v>
      </c>
      <c r="N15" s="17">
        <v>0</v>
      </c>
      <c r="O15" s="17">
        <v>0</v>
      </c>
    </row>
    <row r="16" spans="2:15" ht="28.8" x14ac:dyDescent="0.3">
      <c r="B16" s="18" t="s">
        <v>238</v>
      </c>
      <c r="C16" s="17">
        <v>2.3867620889023399E-2</v>
      </c>
      <c r="D16" s="17">
        <v>2.2839947607354E-2</v>
      </c>
      <c r="E16" s="17">
        <v>2.5355180453713599E-2</v>
      </c>
      <c r="F16" s="17"/>
      <c r="G16" s="17">
        <v>6.0696343069408798E-2</v>
      </c>
      <c r="H16" s="17">
        <v>0</v>
      </c>
      <c r="I16" s="17">
        <v>0</v>
      </c>
      <c r="J16" s="17">
        <v>0</v>
      </c>
      <c r="K16" s="17"/>
      <c r="L16" s="17">
        <v>0</v>
      </c>
      <c r="M16" s="17">
        <v>0</v>
      </c>
      <c r="N16" s="17">
        <v>0</v>
      </c>
      <c r="O16" s="17">
        <v>8.3138443978180807E-2</v>
      </c>
    </row>
    <row r="17" spans="2:15" ht="28.8" x14ac:dyDescent="0.3">
      <c r="B17" s="18" t="s">
        <v>239</v>
      </c>
      <c r="C17" s="19">
        <v>0</v>
      </c>
      <c r="D17" s="19">
        <v>0</v>
      </c>
      <c r="E17" s="19">
        <v>0</v>
      </c>
      <c r="F17" s="19"/>
      <c r="G17" s="19">
        <v>0</v>
      </c>
      <c r="H17" s="19">
        <v>0</v>
      </c>
      <c r="I17" s="19">
        <v>0</v>
      </c>
      <c r="J17" s="19">
        <v>0</v>
      </c>
      <c r="K17" s="19"/>
      <c r="L17" s="19">
        <v>0</v>
      </c>
      <c r="M17" s="19">
        <v>0</v>
      </c>
      <c r="N17" s="19">
        <v>0</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250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56</v>
      </c>
      <c r="D7" s="10">
        <v>34</v>
      </c>
      <c r="E7" s="10">
        <v>22</v>
      </c>
      <c r="F7" s="10"/>
      <c r="G7" s="10">
        <v>38</v>
      </c>
      <c r="H7" s="10">
        <v>12</v>
      </c>
      <c r="I7" s="10">
        <v>4</v>
      </c>
      <c r="J7" s="10">
        <v>2</v>
      </c>
      <c r="K7" s="10"/>
      <c r="L7" s="10">
        <v>4</v>
      </c>
      <c r="M7" s="10">
        <v>18</v>
      </c>
      <c r="N7" s="10">
        <v>26</v>
      </c>
      <c r="O7" s="10">
        <v>8</v>
      </c>
    </row>
    <row r="8" spans="2:15" ht="30" customHeight="1" x14ac:dyDescent="0.3">
      <c r="B8" s="11" t="s">
        <v>19</v>
      </c>
      <c r="C8" s="11">
        <v>45</v>
      </c>
      <c r="D8" s="11">
        <v>28</v>
      </c>
      <c r="E8" s="11">
        <v>17</v>
      </c>
      <c r="F8" s="11"/>
      <c r="G8" s="11">
        <v>28</v>
      </c>
      <c r="H8" s="11">
        <v>10</v>
      </c>
      <c r="I8" s="11">
        <v>4</v>
      </c>
      <c r="J8" s="11">
        <v>2</v>
      </c>
      <c r="K8" s="11"/>
      <c r="L8" s="11">
        <v>4</v>
      </c>
      <c r="M8" s="11">
        <v>15</v>
      </c>
      <c r="N8" s="11">
        <v>18</v>
      </c>
      <c r="O8" s="11">
        <v>8</v>
      </c>
    </row>
    <row r="9" spans="2:15" x14ac:dyDescent="0.3">
      <c r="B9" s="18" t="s">
        <v>231</v>
      </c>
      <c r="C9" s="17">
        <v>1.2662886536104E-2</v>
      </c>
      <c r="D9" s="17">
        <v>2.0492024060323199E-2</v>
      </c>
      <c r="E9" s="17">
        <v>0</v>
      </c>
      <c r="F9" s="17"/>
      <c r="G9" s="17">
        <v>2.0333665961558299E-2</v>
      </c>
      <c r="H9" s="17">
        <v>0</v>
      </c>
      <c r="I9" s="17">
        <v>0</v>
      </c>
      <c r="J9" s="17">
        <v>0</v>
      </c>
      <c r="K9" s="17"/>
      <c r="L9" s="17">
        <v>0</v>
      </c>
      <c r="M9" s="17">
        <v>0</v>
      </c>
      <c r="N9" s="17">
        <v>3.1660801165605698E-2</v>
      </c>
      <c r="O9" s="17">
        <v>0</v>
      </c>
    </row>
    <row r="10" spans="2:15" x14ac:dyDescent="0.3">
      <c r="B10" s="18" t="s">
        <v>232</v>
      </c>
      <c r="C10" s="17">
        <v>0.12526700160916299</v>
      </c>
      <c r="D10" s="17">
        <v>0.15573109066802401</v>
      </c>
      <c r="E10" s="17">
        <v>7.5994230248999498E-2</v>
      </c>
      <c r="F10" s="17"/>
      <c r="G10" s="17">
        <v>0.16068956195289599</v>
      </c>
      <c r="H10" s="17">
        <v>0</v>
      </c>
      <c r="I10" s="17">
        <v>0</v>
      </c>
      <c r="J10" s="17">
        <v>0.53488207401750998</v>
      </c>
      <c r="K10" s="17"/>
      <c r="L10" s="17">
        <v>0</v>
      </c>
      <c r="M10" s="17">
        <v>0.16084651275606099</v>
      </c>
      <c r="N10" s="17">
        <v>0.18067553568421901</v>
      </c>
      <c r="O10" s="17">
        <v>0</v>
      </c>
    </row>
    <row r="11" spans="2:15" x14ac:dyDescent="0.3">
      <c r="B11" s="18" t="s">
        <v>233</v>
      </c>
      <c r="C11" s="17">
        <v>0.22892982418282701</v>
      </c>
      <c r="D11" s="17">
        <v>0.24068493392353199</v>
      </c>
      <c r="E11" s="17">
        <v>0.209917050374024</v>
      </c>
      <c r="F11" s="17"/>
      <c r="G11" s="17">
        <v>0.28817207172069698</v>
      </c>
      <c r="H11" s="17">
        <v>0.11541203618784</v>
      </c>
      <c r="I11" s="17">
        <v>0.23237837147287599</v>
      </c>
      <c r="J11" s="17">
        <v>0</v>
      </c>
      <c r="K11" s="17"/>
      <c r="L11" s="17">
        <v>0.73490984824892402</v>
      </c>
      <c r="M11" s="17">
        <v>0.10221436480446899</v>
      </c>
      <c r="N11" s="17">
        <v>0.146545838940872</v>
      </c>
      <c r="O11" s="17">
        <v>0.40556915777554797</v>
      </c>
    </row>
    <row r="12" spans="2:15" x14ac:dyDescent="0.3">
      <c r="B12" s="18" t="s">
        <v>234</v>
      </c>
      <c r="C12" s="17">
        <v>0.34671733378830999</v>
      </c>
      <c r="D12" s="17">
        <v>0.29474951669740601</v>
      </c>
      <c r="E12" s="17">
        <v>0.43077034337147802</v>
      </c>
      <c r="F12" s="17"/>
      <c r="G12" s="17">
        <v>0.28723540019930199</v>
      </c>
      <c r="H12" s="17">
        <v>0.51148335651502397</v>
      </c>
      <c r="I12" s="17">
        <v>0.50098814463916896</v>
      </c>
      <c r="J12" s="17">
        <v>0</v>
      </c>
      <c r="K12" s="17"/>
      <c r="L12" s="17">
        <v>0</v>
      </c>
      <c r="M12" s="17">
        <v>0.33899285477504698</v>
      </c>
      <c r="N12" s="17">
        <v>0.41643453377380202</v>
      </c>
      <c r="O12" s="17">
        <v>0.36265066273033603</v>
      </c>
    </row>
    <row r="13" spans="2:15" x14ac:dyDescent="0.3">
      <c r="B13" s="18" t="s">
        <v>235</v>
      </c>
      <c r="C13" s="17">
        <v>0.10399528552935999</v>
      </c>
      <c r="D13" s="17">
        <v>0.11702323574011</v>
      </c>
      <c r="E13" s="17">
        <v>8.2923813121779003E-2</v>
      </c>
      <c r="F13" s="17"/>
      <c r="G13" s="17">
        <v>6.66874500438841E-2</v>
      </c>
      <c r="H13" s="17">
        <v>0.15690956133363801</v>
      </c>
      <c r="I13" s="17">
        <v>0.26663348388795499</v>
      </c>
      <c r="J13" s="17">
        <v>0</v>
      </c>
      <c r="K13" s="17"/>
      <c r="L13" s="17">
        <v>0</v>
      </c>
      <c r="M13" s="17">
        <v>0.18955459163065599</v>
      </c>
      <c r="N13" s="17">
        <v>0.103836568382324</v>
      </c>
      <c r="O13" s="17">
        <v>0</v>
      </c>
    </row>
    <row r="14" spans="2:15" x14ac:dyDescent="0.3">
      <c r="B14" s="18" t="s">
        <v>236</v>
      </c>
      <c r="C14" s="17">
        <v>0.15125018821545699</v>
      </c>
      <c r="D14" s="17">
        <v>0.12086548353358401</v>
      </c>
      <c r="E14" s="17">
        <v>0.20039456288372001</v>
      </c>
      <c r="F14" s="17"/>
      <c r="G14" s="17">
        <v>0.15616547564456101</v>
      </c>
      <c r="H14" s="17">
        <v>0.13774026529667999</v>
      </c>
      <c r="I14" s="17">
        <v>0</v>
      </c>
      <c r="J14" s="17">
        <v>0.46511792598249002</v>
      </c>
      <c r="K14" s="17"/>
      <c r="L14" s="17">
        <v>0.26509015175107598</v>
      </c>
      <c r="M14" s="17">
        <v>0.11378188872938801</v>
      </c>
      <c r="N14" s="17">
        <v>0.12084672205317799</v>
      </c>
      <c r="O14" s="17">
        <v>0.231780179494116</v>
      </c>
    </row>
    <row r="15" spans="2:15" x14ac:dyDescent="0.3">
      <c r="B15" s="18" t="s">
        <v>237</v>
      </c>
      <c r="C15" s="17">
        <v>3.11774801387786E-2</v>
      </c>
      <c r="D15" s="17">
        <v>5.0453715377020703E-2</v>
      </c>
      <c r="E15" s="17">
        <v>0</v>
      </c>
      <c r="F15" s="17"/>
      <c r="G15" s="17">
        <v>2.07163744771021E-2</v>
      </c>
      <c r="H15" s="17">
        <v>7.8454780666818796E-2</v>
      </c>
      <c r="I15" s="17">
        <v>0</v>
      </c>
      <c r="J15" s="17">
        <v>0</v>
      </c>
      <c r="K15" s="17"/>
      <c r="L15" s="17">
        <v>0</v>
      </c>
      <c r="M15" s="17">
        <v>9.4609787304378704E-2</v>
      </c>
      <c r="N15" s="17">
        <v>0</v>
      </c>
      <c r="O15" s="17">
        <v>0</v>
      </c>
    </row>
    <row r="16" spans="2:15" ht="28.8" x14ac:dyDescent="0.3">
      <c r="B16" s="18" t="s">
        <v>238</v>
      </c>
      <c r="C16" s="17">
        <v>0</v>
      </c>
      <c r="D16" s="17">
        <v>0</v>
      </c>
      <c r="E16" s="17">
        <v>0</v>
      </c>
      <c r="F16" s="17"/>
      <c r="G16" s="17">
        <v>0</v>
      </c>
      <c r="H16" s="17">
        <v>0</v>
      </c>
      <c r="I16" s="17">
        <v>0</v>
      </c>
      <c r="J16" s="17">
        <v>0</v>
      </c>
      <c r="K16" s="17"/>
      <c r="L16" s="17">
        <v>0</v>
      </c>
      <c r="M16" s="17">
        <v>0</v>
      </c>
      <c r="N16" s="17">
        <v>0</v>
      </c>
      <c r="O16" s="17">
        <v>0</v>
      </c>
    </row>
    <row r="17" spans="2:15" ht="28.8" x14ac:dyDescent="0.3">
      <c r="B17" s="18" t="s">
        <v>239</v>
      </c>
      <c r="C17" s="19">
        <v>0</v>
      </c>
      <c r="D17" s="19">
        <v>0</v>
      </c>
      <c r="E17" s="19">
        <v>0</v>
      </c>
      <c r="F17" s="19"/>
      <c r="G17" s="19">
        <v>0</v>
      </c>
      <c r="H17" s="19">
        <v>0</v>
      </c>
      <c r="I17" s="19">
        <v>0</v>
      </c>
      <c r="J17" s="19">
        <v>0</v>
      </c>
      <c r="K17" s="19"/>
      <c r="L17" s="19">
        <v>0</v>
      </c>
      <c r="M17" s="19">
        <v>0</v>
      </c>
      <c r="N17" s="19">
        <v>0</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251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104</v>
      </c>
      <c r="D7" s="10">
        <v>56</v>
      </c>
      <c r="E7" s="10">
        <v>48</v>
      </c>
      <c r="F7" s="10"/>
      <c r="G7" s="10">
        <v>58</v>
      </c>
      <c r="H7" s="10">
        <v>22</v>
      </c>
      <c r="I7" s="10">
        <v>15</v>
      </c>
      <c r="J7" s="10">
        <v>9</v>
      </c>
      <c r="K7" s="10"/>
      <c r="L7" s="10">
        <v>23</v>
      </c>
      <c r="M7" s="10">
        <v>33</v>
      </c>
      <c r="N7" s="10">
        <v>28</v>
      </c>
      <c r="O7" s="10">
        <v>20</v>
      </c>
    </row>
    <row r="8" spans="2:15" ht="30" customHeight="1" x14ac:dyDescent="0.3">
      <c r="B8" s="11" t="s">
        <v>19</v>
      </c>
      <c r="C8" s="11">
        <v>96</v>
      </c>
      <c r="D8" s="11">
        <v>50</v>
      </c>
      <c r="E8" s="11">
        <v>46</v>
      </c>
      <c r="F8" s="11"/>
      <c r="G8" s="11">
        <v>43</v>
      </c>
      <c r="H8" s="11">
        <v>21</v>
      </c>
      <c r="I8" s="11">
        <v>19</v>
      </c>
      <c r="J8" s="11">
        <v>12</v>
      </c>
      <c r="K8" s="11"/>
      <c r="L8" s="11">
        <v>24</v>
      </c>
      <c r="M8" s="11">
        <v>27</v>
      </c>
      <c r="N8" s="11">
        <v>21</v>
      </c>
      <c r="O8" s="11">
        <v>24</v>
      </c>
    </row>
    <row r="9" spans="2:15" x14ac:dyDescent="0.3">
      <c r="B9" s="18" t="s">
        <v>231</v>
      </c>
      <c r="C9" s="17">
        <v>2.1840925421719001E-2</v>
      </c>
      <c r="D9" s="17">
        <v>4.1989841144069701E-2</v>
      </c>
      <c r="E9" s="17">
        <v>0</v>
      </c>
      <c r="F9" s="17"/>
      <c r="G9" s="17">
        <v>4.83928590533199E-2</v>
      </c>
      <c r="H9" s="17">
        <v>0</v>
      </c>
      <c r="I9" s="17">
        <v>0</v>
      </c>
      <c r="J9" s="17">
        <v>0</v>
      </c>
      <c r="K9" s="17"/>
      <c r="L9" s="17">
        <v>0</v>
      </c>
      <c r="M9" s="17">
        <v>7.8375835507309005E-2</v>
      </c>
      <c r="N9" s="17">
        <v>0</v>
      </c>
      <c r="O9" s="17">
        <v>0</v>
      </c>
    </row>
    <row r="10" spans="2:15" x14ac:dyDescent="0.3">
      <c r="B10" s="18" t="s">
        <v>232</v>
      </c>
      <c r="C10" s="17">
        <v>8.5686612028382597E-2</v>
      </c>
      <c r="D10" s="17">
        <v>6.6991938415428803E-2</v>
      </c>
      <c r="E10" s="17">
        <v>0.105951175034667</v>
      </c>
      <c r="F10" s="17"/>
      <c r="G10" s="17">
        <v>0.16797543183783201</v>
      </c>
      <c r="H10" s="17">
        <v>4.4563523996551502E-2</v>
      </c>
      <c r="I10" s="17">
        <v>0</v>
      </c>
      <c r="J10" s="17">
        <v>0</v>
      </c>
      <c r="K10" s="17"/>
      <c r="L10" s="17">
        <v>0.100631335032784</v>
      </c>
      <c r="M10" s="17">
        <v>6.2894016435216193E-2</v>
      </c>
      <c r="N10" s="17">
        <v>0.151396021847264</v>
      </c>
      <c r="O10" s="17">
        <v>3.9021655083565802E-2</v>
      </c>
    </row>
    <row r="11" spans="2:15" x14ac:dyDescent="0.3">
      <c r="B11" s="18" t="s">
        <v>233</v>
      </c>
      <c r="C11" s="17">
        <v>0.18399412739076201</v>
      </c>
      <c r="D11" s="17">
        <v>0.21282196637178699</v>
      </c>
      <c r="E11" s="17">
        <v>0.152745464190713</v>
      </c>
      <c r="F11" s="17"/>
      <c r="G11" s="17">
        <v>0.20695983475989299</v>
      </c>
      <c r="H11" s="17">
        <v>0.22468340193515399</v>
      </c>
      <c r="I11" s="17">
        <v>5.3129661721230799E-2</v>
      </c>
      <c r="J11" s="17">
        <v>0.236412589618269</v>
      </c>
      <c r="K11" s="17"/>
      <c r="L11" s="17">
        <v>0.20984921593470601</v>
      </c>
      <c r="M11" s="17">
        <v>0.28934368599708599</v>
      </c>
      <c r="N11" s="17">
        <v>0.18465098355284301</v>
      </c>
      <c r="O11" s="17">
        <v>4.2039602729986497E-2</v>
      </c>
    </row>
    <row r="12" spans="2:15" x14ac:dyDescent="0.3">
      <c r="B12" s="18" t="s">
        <v>234</v>
      </c>
      <c r="C12" s="17">
        <v>0.21471211666065801</v>
      </c>
      <c r="D12" s="17">
        <v>0.22405499709279</v>
      </c>
      <c r="E12" s="17">
        <v>0.20458466575689299</v>
      </c>
      <c r="F12" s="17"/>
      <c r="G12" s="17">
        <v>0.23868744199192701</v>
      </c>
      <c r="H12" s="17">
        <v>0.25802870310675302</v>
      </c>
      <c r="I12" s="17">
        <v>0.18330962633940501</v>
      </c>
      <c r="J12" s="17">
        <v>0.10389563981189801</v>
      </c>
      <c r="K12" s="17"/>
      <c r="L12" s="17">
        <v>0.16867504055907201</v>
      </c>
      <c r="M12" s="17">
        <v>0.220055484255478</v>
      </c>
      <c r="N12" s="17">
        <v>0.128211594376966</v>
      </c>
      <c r="O12" s="17">
        <v>0.32917319534186501</v>
      </c>
    </row>
    <row r="13" spans="2:15" x14ac:dyDescent="0.3">
      <c r="B13" s="18" t="s">
        <v>235</v>
      </c>
      <c r="C13" s="17">
        <v>0.13801700982197099</v>
      </c>
      <c r="D13" s="17">
        <v>0.153897979696696</v>
      </c>
      <c r="E13" s="17">
        <v>0.120802431953958</v>
      </c>
      <c r="F13" s="17"/>
      <c r="G13" s="17">
        <v>0.15569014771578299</v>
      </c>
      <c r="H13" s="17">
        <v>8.0416548630551907E-2</v>
      </c>
      <c r="I13" s="17">
        <v>0.250539791233515</v>
      </c>
      <c r="J13" s="17">
        <v>0</v>
      </c>
      <c r="K13" s="17"/>
      <c r="L13" s="17">
        <v>0.11969788715447401</v>
      </c>
      <c r="M13" s="17">
        <v>0.14383186825303201</v>
      </c>
      <c r="N13" s="17">
        <v>0.11785983653205501</v>
      </c>
      <c r="O13" s="17">
        <v>0.16710813844437999</v>
      </c>
    </row>
    <row r="14" spans="2:15" x14ac:dyDescent="0.3">
      <c r="B14" s="18" t="s">
        <v>236</v>
      </c>
      <c r="C14" s="17">
        <v>0.27133713396188203</v>
      </c>
      <c r="D14" s="17">
        <v>0.23539861775193199</v>
      </c>
      <c r="E14" s="17">
        <v>0.31029359509979099</v>
      </c>
      <c r="F14" s="17"/>
      <c r="G14" s="17">
        <v>0.14815783952591399</v>
      </c>
      <c r="H14" s="17">
        <v>0.15972520489296599</v>
      </c>
      <c r="I14" s="17">
        <v>0.51302092070584804</v>
      </c>
      <c r="J14" s="17">
        <v>0.52301085209939902</v>
      </c>
      <c r="K14" s="17"/>
      <c r="L14" s="17">
        <v>0.19445037634135301</v>
      </c>
      <c r="M14" s="17">
        <v>0.17710189758736899</v>
      </c>
      <c r="N14" s="17">
        <v>0.35536391702445103</v>
      </c>
      <c r="O14" s="17">
        <v>0.377555149468144</v>
      </c>
    </row>
    <row r="15" spans="2:15" x14ac:dyDescent="0.3">
      <c r="B15" s="18" t="s">
        <v>237</v>
      </c>
      <c r="C15" s="17">
        <v>8.4412074714625099E-2</v>
      </c>
      <c r="D15" s="17">
        <v>6.4844659527296594E-2</v>
      </c>
      <c r="E15" s="17">
        <v>0.105622667963977</v>
      </c>
      <c r="F15" s="17"/>
      <c r="G15" s="17">
        <v>3.4136445115331301E-2</v>
      </c>
      <c r="H15" s="17">
        <v>0.232582617438024</v>
      </c>
      <c r="I15" s="17">
        <v>0</v>
      </c>
      <c r="J15" s="17">
        <v>0.13668091847043401</v>
      </c>
      <c r="K15" s="17"/>
      <c r="L15" s="17">
        <v>0.20669614497761099</v>
      </c>
      <c r="M15" s="17">
        <v>2.8397211964509301E-2</v>
      </c>
      <c r="N15" s="17">
        <v>6.2517646666420901E-2</v>
      </c>
      <c r="O15" s="17">
        <v>4.5102258932058201E-2</v>
      </c>
    </row>
    <row r="16" spans="2:15" ht="28.8" x14ac:dyDescent="0.3">
      <c r="B16" s="18" t="s">
        <v>238</v>
      </c>
      <c r="C16" s="17">
        <v>0</v>
      </c>
      <c r="D16" s="17">
        <v>0</v>
      </c>
      <c r="E16" s="17">
        <v>0</v>
      </c>
      <c r="F16" s="17"/>
      <c r="G16" s="17">
        <v>0</v>
      </c>
      <c r="H16" s="17">
        <v>0</v>
      </c>
      <c r="I16" s="17">
        <v>0</v>
      </c>
      <c r="J16" s="17">
        <v>0</v>
      </c>
      <c r="K16" s="17"/>
      <c r="L16" s="17">
        <v>0</v>
      </c>
      <c r="M16" s="17">
        <v>0</v>
      </c>
      <c r="N16" s="17">
        <v>0</v>
      </c>
      <c r="O16" s="17">
        <v>0</v>
      </c>
    </row>
    <row r="17" spans="2:15" ht="28.8" x14ac:dyDescent="0.3">
      <c r="B17" s="18" t="s">
        <v>239</v>
      </c>
      <c r="C17" s="19">
        <v>0</v>
      </c>
      <c r="D17" s="19">
        <v>0</v>
      </c>
      <c r="E17" s="19">
        <v>0</v>
      </c>
      <c r="F17" s="19"/>
      <c r="G17" s="19">
        <v>0</v>
      </c>
      <c r="H17" s="19">
        <v>0</v>
      </c>
      <c r="I17" s="19">
        <v>0</v>
      </c>
      <c r="J17" s="19">
        <v>0</v>
      </c>
      <c r="K17" s="19"/>
      <c r="L17" s="19">
        <v>0</v>
      </c>
      <c r="M17" s="19">
        <v>0</v>
      </c>
      <c r="N17" s="19">
        <v>0</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252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19</v>
      </c>
      <c r="D7" s="10">
        <v>9</v>
      </c>
      <c r="E7" s="10">
        <v>10</v>
      </c>
      <c r="F7" s="10"/>
      <c r="G7" s="10">
        <v>13</v>
      </c>
      <c r="H7" s="10">
        <v>3</v>
      </c>
      <c r="I7" s="10">
        <v>2</v>
      </c>
      <c r="J7" s="10">
        <v>1</v>
      </c>
      <c r="K7" s="10"/>
      <c r="L7" s="10">
        <v>5</v>
      </c>
      <c r="M7" s="10">
        <v>2</v>
      </c>
      <c r="N7" s="10">
        <v>7</v>
      </c>
      <c r="O7" s="10">
        <v>5</v>
      </c>
    </row>
    <row r="8" spans="2:15" ht="30" customHeight="1" x14ac:dyDescent="0.3">
      <c r="B8" s="11" t="s">
        <v>19</v>
      </c>
      <c r="C8" s="11">
        <v>16</v>
      </c>
      <c r="D8" s="11">
        <v>7</v>
      </c>
      <c r="E8" s="11">
        <v>9</v>
      </c>
      <c r="F8" s="11"/>
      <c r="G8" s="11">
        <v>9</v>
      </c>
      <c r="H8" s="11">
        <v>3</v>
      </c>
      <c r="I8" s="11">
        <v>3</v>
      </c>
      <c r="J8" s="11">
        <v>1</v>
      </c>
      <c r="K8" s="11"/>
      <c r="L8" s="11">
        <v>5</v>
      </c>
      <c r="M8" s="11">
        <v>1</v>
      </c>
      <c r="N8" s="11">
        <v>4</v>
      </c>
      <c r="O8" s="11">
        <v>6</v>
      </c>
    </row>
    <row r="9" spans="2:15" x14ac:dyDescent="0.3">
      <c r="B9" s="18" t="s">
        <v>231</v>
      </c>
      <c r="C9" s="17">
        <v>0</v>
      </c>
      <c r="D9" s="17">
        <v>0</v>
      </c>
      <c r="E9" s="17">
        <v>0</v>
      </c>
      <c r="F9" s="17"/>
      <c r="G9" s="17">
        <v>0</v>
      </c>
      <c r="H9" s="17">
        <v>0</v>
      </c>
      <c r="I9" s="17">
        <v>0</v>
      </c>
      <c r="J9" s="17">
        <v>0</v>
      </c>
      <c r="K9" s="17"/>
      <c r="L9" s="17">
        <v>0</v>
      </c>
      <c r="M9" s="17">
        <v>0</v>
      </c>
      <c r="N9" s="17">
        <v>0</v>
      </c>
      <c r="O9" s="17">
        <v>0</v>
      </c>
    </row>
    <row r="10" spans="2:15" x14ac:dyDescent="0.3">
      <c r="B10" s="18" t="s">
        <v>232</v>
      </c>
      <c r="C10" s="17">
        <v>0.10886943581091001</v>
      </c>
      <c r="D10" s="17">
        <v>0.17449010676844201</v>
      </c>
      <c r="E10" s="17">
        <v>5.9910248316074298E-2</v>
      </c>
      <c r="F10" s="17"/>
      <c r="G10" s="17">
        <v>0.200166029931617</v>
      </c>
      <c r="H10" s="17">
        <v>0</v>
      </c>
      <c r="I10" s="17">
        <v>0</v>
      </c>
      <c r="J10" s="17">
        <v>0</v>
      </c>
      <c r="K10" s="17"/>
      <c r="L10" s="17">
        <v>0.12763269693326801</v>
      </c>
      <c r="M10" s="17">
        <v>0</v>
      </c>
      <c r="N10" s="17">
        <v>0.25915743473501901</v>
      </c>
      <c r="O10" s="17">
        <v>0</v>
      </c>
    </row>
    <row r="11" spans="2:15" x14ac:dyDescent="0.3">
      <c r="B11" s="18" t="s">
        <v>233</v>
      </c>
      <c r="C11" s="17">
        <v>0.14325298764468999</v>
      </c>
      <c r="D11" s="17">
        <v>0.15643807693622899</v>
      </c>
      <c r="E11" s="17">
        <v>0.13341567191260301</v>
      </c>
      <c r="F11" s="17"/>
      <c r="G11" s="17">
        <v>0.26338321310384799</v>
      </c>
      <c r="H11" s="17">
        <v>0</v>
      </c>
      <c r="I11" s="17">
        <v>0</v>
      </c>
      <c r="J11" s="17">
        <v>0</v>
      </c>
      <c r="K11" s="17"/>
      <c r="L11" s="17">
        <v>0</v>
      </c>
      <c r="M11" s="17">
        <v>1</v>
      </c>
      <c r="N11" s="17">
        <v>0.117398232069217</v>
      </c>
      <c r="O11" s="17">
        <v>0.10604812527235</v>
      </c>
    </row>
    <row r="12" spans="2:15" x14ac:dyDescent="0.3">
      <c r="B12" s="18" t="s">
        <v>234</v>
      </c>
      <c r="C12" s="17">
        <v>0.19692586942065499</v>
      </c>
      <c r="D12" s="17">
        <v>0.15453260806081101</v>
      </c>
      <c r="E12" s="17">
        <v>0.228555226468488</v>
      </c>
      <c r="F12" s="17"/>
      <c r="G12" s="17">
        <v>0.249038569096377</v>
      </c>
      <c r="H12" s="17">
        <v>0.30551816545364802</v>
      </c>
      <c r="I12" s="17">
        <v>0</v>
      </c>
      <c r="J12" s="17">
        <v>0</v>
      </c>
      <c r="K12" s="17"/>
      <c r="L12" s="17">
        <v>0</v>
      </c>
      <c r="M12" s="17">
        <v>0</v>
      </c>
      <c r="N12" s="17">
        <v>0.47774138668565702</v>
      </c>
      <c r="O12" s="17">
        <v>0.20011042745518001</v>
      </c>
    </row>
    <row r="13" spans="2:15" x14ac:dyDescent="0.3">
      <c r="B13" s="18" t="s">
        <v>235</v>
      </c>
      <c r="C13" s="17">
        <v>0.11792124568139201</v>
      </c>
      <c r="D13" s="17">
        <v>0</v>
      </c>
      <c r="E13" s="17">
        <v>0.205901577072336</v>
      </c>
      <c r="F13" s="17"/>
      <c r="G13" s="17">
        <v>7.1497213044023206E-2</v>
      </c>
      <c r="H13" s="17">
        <v>0</v>
      </c>
      <c r="I13" s="17">
        <v>0.448458460138693</v>
      </c>
      <c r="J13" s="17">
        <v>0</v>
      </c>
      <c r="K13" s="17"/>
      <c r="L13" s="17">
        <v>0</v>
      </c>
      <c r="M13" s="17">
        <v>0</v>
      </c>
      <c r="N13" s="17">
        <v>0.14570294651010801</v>
      </c>
      <c r="O13" s="17">
        <v>0.22782352749828499</v>
      </c>
    </row>
    <row r="14" spans="2:15" x14ac:dyDescent="0.3">
      <c r="B14" s="18" t="s">
        <v>236</v>
      </c>
      <c r="C14" s="17">
        <v>0.189816900301399</v>
      </c>
      <c r="D14" s="17">
        <v>0.136189586321357</v>
      </c>
      <c r="E14" s="17">
        <v>0.229827916368157</v>
      </c>
      <c r="F14" s="17"/>
      <c r="G14" s="17">
        <v>9.7390226688935697E-2</v>
      </c>
      <c r="H14" s="17">
        <v>0.28920728563402598</v>
      </c>
      <c r="I14" s="17">
        <v>0</v>
      </c>
      <c r="J14" s="17">
        <v>1</v>
      </c>
      <c r="K14" s="17"/>
      <c r="L14" s="17">
        <v>0.61021320664121004</v>
      </c>
      <c r="M14" s="17">
        <v>0</v>
      </c>
      <c r="N14" s="17">
        <v>0</v>
      </c>
      <c r="O14" s="17">
        <v>0</v>
      </c>
    </row>
    <row r="15" spans="2:15" x14ac:dyDescent="0.3">
      <c r="B15" s="18" t="s">
        <v>237</v>
      </c>
      <c r="C15" s="17">
        <v>8.1547363189183E-2</v>
      </c>
      <c r="D15" s="17">
        <v>0</v>
      </c>
      <c r="E15" s="17">
        <v>0.142389359862342</v>
      </c>
      <c r="F15" s="17"/>
      <c r="G15" s="17">
        <v>0</v>
      </c>
      <c r="H15" s="17">
        <v>0.405274548912326</v>
      </c>
      <c r="I15" s="17">
        <v>0</v>
      </c>
      <c r="J15" s="17">
        <v>0</v>
      </c>
      <c r="K15" s="17"/>
      <c r="L15" s="17">
        <v>0.26215409642552201</v>
      </c>
      <c r="M15" s="17">
        <v>0</v>
      </c>
      <c r="N15" s="17">
        <v>0</v>
      </c>
      <c r="O15" s="17">
        <v>0</v>
      </c>
    </row>
    <row r="16" spans="2:15" ht="28.8" x14ac:dyDescent="0.3">
      <c r="B16" s="18" t="s">
        <v>238</v>
      </c>
      <c r="C16" s="17">
        <v>6.4465096617630696E-2</v>
      </c>
      <c r="D16" s="17">
        <v>0.15086855038894401</v>
      </c>
      <c r="E16" s="17">
        <v>0</v>
      </c>
      <c r="F16" s="17"/>
      <c r="G16" s="17">
        <v>0.118524748135199</v>
      </c>
      <c r="H16" s="17">
        <v>0</v>
      </c>
      <c r="I16" s="17">
        <v>0</v>
      </c>
      <c r="J16" s="17">
        <v>0</v>
      </c>
      <c r="K16" s="17"/>
      <c r="L16" s="17">
        <v>0</v>
      </c>
      <c r="M16" s="17">
        <v>0</v>
      </c>
      <c r="N16" s="17">
        <v>0</v>
      </c>
      <c r="O16" s="17">
        <v>0.185826663856796</v>
      </c>
    </row>
    <row r="17" spans="2:15" ht="28.8" x14ac:dyDescent="0.3">
      <c r="B17" s="18" t="s">
        <v>239</v>
      </c>
      <c r="C17" s="19">
        <v>9.7201101334141393E-2</v>
      </c>
      <c r="D17" s="19">
        <v>0.22748107152421701</v>
      </c>
      <c r="E17" s="19">
        <v>0</v>
      </c>
      <c r="F17" s="19"/>
      <c r="G17" s="19">
        <v>0</v>
      </c>
      <c r="H17" s="19">
        <v>0</v>
      </c>
      <c r="I17" s="19">
        <v>0.55154153986130705</v>
      </c>
      <c r="J17" s="19">
        <v>0</v>
      </c>
      <c r="K17" s="19"/>
      <c r="L17" s="19">
        <v>0</v>
      </c>
      <c r="M17" s="19">
        <v>0</v>
      </c>
      <c r="N17" s="19">
        <v>0</v>
      </c>
      <c r="O17" s="19">
        <v>0.28019125591739003</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253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49</v>
      </c>
      <c r="D7" s="10">
        <v>33</v>
      </c>
      <c r="E7" s="10">
        <v>16</v>
      </c>
      <c r="F7" s="10"/>
      <c r="G7" s="10">
        <v>28</v>
      </c>
      <c r="H7" s="10">
        <v>13</v>
      </c>
      <c r="I7" s="10">
        <v>6</v>
      </c>
      <c r="J7" s="10">
        <v>2</v>
      </c>
      <c r="K7" s="10"/>
      <c r="L7" s="10">
        <v>7</v>
      </c>
      <c r="M7" s="10">
        <v>15</v>
      </c>
      <c r="N7" s="10">
        <v>19</v>
      </c>
      <c r="O7" s="10">
        <v>8</v>
      </c>
    </row>
    <row r="8" spans="2:15" ht="30" customHeight="1" x14ac:dyDescent="0.3">
      <c r="B8" s="11" t="s">
        <v>19</v>
      </c>
      <c r="C8" s="11">
        <v>40</v>
      </c>
      <c r="D8" s="11">
        <v>27</v>
      </c>
      <c r="E8" s="11">
        <v>12</v>
      </c>
      <c r="F8" s="11"/>
      <c r="G8" s="11">
        <v>19</v>
      </c>
      <c r="H8" s="11">
        <v>11</v>
      </c>
      <c r="I8" s="11">
        <v>7</v>
      </c>
      <c r="J8" s="11">
        <v>2</v>
      </c>
      <c r="K8" s="11"/>
      <c r="L8" s="11">
        <v>6</v>
      </c>
      <c r="M8" s="11">
        <v>11</v>
      </c>
      <c r="N8" s="11">
        <v>15</v>
      </c>
      <c r="O8" s="11">
        <v>7</v>
      </c>
    </row>
    <row r="9" spans="2:15" x14ac:dyDescent="0.3">
      <c r="B9" s="18" t="s">
        <v>231</v>
      </c>
      <c r="C9" s="17">
        <v>4.0901467471983997E-2</v>
      </c>
      <c r="D9" s="17">
        <v>5.9572606953665397E-2</v>
      </c>
      <c r="E9" s="17">
        <v>0</v>
      </c>
      <c r="F9" s="17"/>
      <c r="G9" s="17">
        <v>8.3567536059668296E-2</v>
      </c>
      <c r="H9" s="17">
        <v>0</v>
      </c>
      <c r="I9" s="17">
        <v>0</v>
      </c>
      <c r="J9" s="17">
        <v>0</v>
      </c>
      <c r="K9" s="17"/>
      <c r="L9" s="17">
        <v>0.10143966920101399</v>
      </c>
      <c r="M9" s="17">
        <v>0</v>
      </c>
      <c r="N9" s="17">
        <v>0</v>
      </c>
      <c r="O9" s="17">
        <v>0.13049393422877001</v>
      </c>
    </row>
    <row r="10" spans="2:15" x14ac:dyDescent="0.3">
      <c r="B10" s="18" t="s">
        <v>232</v>
      </c>
      <c r="C10" s="17">
        <v>0.13739864394971299</v>
      </c>
      <c r="D10" s="17">
        <v>0.140694622220258</v>
      </c>
      <c r="E10" s="17">
        <v>0.13017839110155099</v>
      </c>
      <c r="F10" s="17"/>
      <c r="G10" s="17">
        <v>0.14534512576484501</v>
      </c>
      <c r="H10" s="17">
        <v>0.23110059751822601</v>
      </c>
      <c r="I10" s="17">
        <v>0</v>
      </c>
      <c r="J10" s="17">
        <v>0</v>
      </c>
      <c r="K10" s="17"/>
      <c r="L10" s="17">
        <v>0.15242088978037099</v>
      </c>
      <c r="M10" s="17">
        <v>0.189480136451462</v>
      </c>
      <c r="N10" s="17">
        <v>9.5958808876563301E-2</v>
      </c>
      <c r="O10" s="17">
        <v>0.12703955750469001</v>
      </c>
    </row>
    <row r="11" spans="2:15" x14ac:dyDescent="0.3">
      <c r="B11" s="18" t="s">
        <v>233</v>
      </c>
      <c r="C11" s="17">
        <v>0.21484269244875501</v>
      </c>
      <c r="D11" s="17">
        <v>0.18940908305086199</v>
      </c>
      <c r="E11" s="17">
        <v>0.27055819650268398</v>
      </c>
      <c r="F11" s="17"/>
      <c r="G11" s="17">
        <v>0.31463627229392999</v>
      </c>
      <c r="H11" s="17">
        <v>0.126941407577146</v>
      </c>
      <c r="I11" s="17">
        <v>0.14303804169621301</v>
      </c>
      <c r="J11" s="17">
        <v>0</v>
      </c>
      <c r="K11" s="17"/>
      <c r="L11" s="17">
        <v>0</v>
      </c>
      <c r="M11" s="17">
        <v>0.227329535157619</v>
      </c>
      <c r="N11" s="17">
        <v>0.36481252007043102</v>
      </c>
      <c r="O11" s="17">
        <v>8.7287348085056907E-2</v>
      </c>
    </row>
    <row r="12" spans="2:15" x14ac:dyDescent="0.3">
      <c r="B12" s="18" t="s">
        <v>234</v>
      </c>
      <c r="C12" s="17">
        <v>0.24506056546728</v>
      </c>
      <c r="D12" s="17">
        <v>0.24127944594390199</v>
      </c>
      <c r="E12" s="17">
        <v>0.25334358093855502</v>
      </c>
      <c r="F12" s="17"/>
      <c r="G12" s="17">
        <v>0.24854571179566801</v>
      </c>
      <c r="H12" s="17">
        <v>0.24324349930026401</v>
      </c>
      <c r="I12" s="17">
        <v>0.14986338414005901</v>
      </c>
      <c r="J12" s="17">
        <v>0.53024025488446003</v>
      </c>
      <c r="K12" s="17"/>
      <c r="L12" s="17">
        <v>0.303257866812493</v>
      </c>
      <c r="M12" s="17">
        <v>0.23871787779817299</v>
      </c>
      <c r="N12" s="17">
        <v>0.27760575457494602</v>
      </c>
      <c r="O12" s="17">
        <v>0.14111820937983999</v>
      </c>
    </row>
    <row r="13" spans="2:15" x14ac:dyDescent="0.3">
      <c r="B13" s="18" t="s">
        <v>235</v>
      </c>
      <c r="C13" s="17">
        <v>0.19685572026834</v>
      </c>
      <c r="D13" s="17">
        <v>0.15564976728421401</v>
      </c>
      <c r="E13" s="17">
        <v>0.28712251664067101</v>
      </c>
      <c r="F13" s="17"/>
      <c r="G13" s="17">
        <v>7.8924961527442605E-2</v>
      </c>
      <c r="H13" s="17">
        <v>0.23281461207773299</v>
      </c>
      <c r="I13" s="17">
        <v>0.53514368883066399</v>
      </c>
      <c r="J13" s="17">
        <v>0</v>
      </c>
      <c r="K13" s="17"/>
      <c r="L13" s="17">
        <v>0.44288157420612101</v>
      </c>
      <c r="M13" s="17">
        <v>0</v>
      </c>
      <c r="N13" s="17">
        <v>0.21146759784910901</v>
      </c>
      <c r="O13" s="17">
        <v>0.25379162739538202</v>
      </c>
    </row>
    <row r="14" spans="2:15" x14ac:dyDescent="0.3">
      <c r="B14" s="18" t="s">
        <v>236</v>
      </c>
      <c r="C14" s="17">
        <v>0.13837610290348401</v>
      </c>
      <c r="D14" s="17">
        <v>0.174703079513119</v>
      </c>
      <c r="E14" s="17">
        <v>5.8797314816539797E-2</v>
      </c>
      <c r="F14" s="17"/>
      <c r="G14" s="17">
        <v>7.4704699164404295E-2</v>
      </c>
      <c r="H14" s="17">
        <v>0.16589988352663099</v>
      </c>
      <c r="I14" s="17">
        <v>0.17195488533306499</v>
      </c>
      <c r="J14" s="17">
        <v>0.46975974511553997</v>
      </c>
      <c r="K14" s="17"/>
      <c r="L14" s="17">
        <v>0</v>
      </c>
      <c r="M14" s="17">
        <v>0.344472450592746</v>
      </c>
      <c r="N14" s="17">
        <v>5.0155318628950403E-2</v>
      </c>
      <c r="O14" s="17">
        <v>0.119013691062805</v>
      </c>
    </row>
    <row r="15" spans="2:15" x14ac:dyDescent="0.3">
      <c r="B15" s="18" t="s">
        <v>237</v>
      </c>
      <c r="C15" s="17">
        <v>0</v>
      </c>
      <c r="D15" s="17">
        <v>0</v>
      </c>
      <c r="E15" s="17">
        <v>0</v>
      </c>
      <c r="F15" s="17"/>
      <c r="G15" s="17">
        <v>0</v>
      </c>
      <c r="H15" s="17">
        <v>0</v>
      </c>
      <c r="I15" s="17">
        <v>0</v>
      </c>
      <c r="J15" s="17">
        <v>0</v>
      </c>
      <c r="K15" s="17"/>
      <c r="L15" s="17">
        <v>0</v>
      </c>
      <c r="M15" s="17">
        <v>0</v>
      </c>
      <c r="N15" s="17">
        <v>0</v>
      </c>
      <c r="O15" s="17">
        <v>0</v>
      </c>
    </row>
    <row r="16" spans="2:15" ht="28.8" x14ac:dyDescent="0.3">
      <c r="B16" s="18" t="s">
        <v>238</v>
      </c>
      <c r="C16" s="17">
        <v>2.6564807490443699E-2</v>
      </c>
      <c r="D16" s="17">
        <v>3.8691395033979399E-2</v>
      </c>
      <c r="E16" s="17">
        <v>0</v>
      </c>
      <c r="F16" s="17"/>
      <c r="G16" s="17">
        <v>5.42756933940425E-2</v>
      </c>
      <c r="H16" s="17">
        <v>0</v>
      </c>
      <c r="I16" s="17">
        <v>0</v>
      </c>
      <c r="J16" s="17">
        <v>0</v>
      </c>
      <c r="K16" s="17"/>
      <c r="L16" s="17">
        <v>0</v>
      </c>
      <c r="M16" s="17">
        <v>0</v>
      </c>
      <c r="N16" s="17">
        <v>0</v>
      </c>
      <c r="O16" s="17">
        <v>0.14125563234345601</v>
      </c>
    </row>
    <row r="17" spans="2:15" ht="28.8" x14ac:dyDescent="0.3">
      <c r="B17" s="18" t="s">
        <v>239</v>
      </c>
      <c r="C17" s="19">
        <v>0</v>
      </c>
      <c r="D17" s="19">
        <v>0</v>
      </c>
      <c r="E17" s="19">
        <v>0</v>
      </c>
      <c r="F17" s="19"/>
      <c r="G17" s="19">
        <v>0</v>
      </c>
      <c r="H17" s="19">
        <v>0</v>
      </c>
      <c r="I17" s="19">
        <v>0</v>
      </c>
      <c r="J17" s="19">
        <v>0</v>
      </c>
      <c r="K17" s="19"/>
      <c r="L17" s="19">
        <v>0</v>
      </c>
      <c r="M17" s="19">
        <v>0</v>
      </c>
      <c r="N17" s="19">
        <v>0</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254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40</v>
      </c>
      <c r="D7" s="10">
        <v>24</v>
      </c>
      <c r="E7" s="10">
        <v>16</v>
      </c>
      <c r="F7" s="10"/>
      <c r="G7" s="10">
        <v>21</v>
      </c>
      <c r="H7" s="10">
        <v>4</v>
      </c>
      <c r="I7" s="10">
        <v>7</v>
      </c>
      <c r="J7" s="10">
        <v>8</v>
      </c>
      <c r="K7" s="10"/>
      <c r="L7" s="10">
        <v>12</v>
      </c>
      <c r="M7" s="10">
        <v>12</v>
      </c>
      <c r="N7" s="10">
        <v>9</v>
      </c>
      <c r="O7" s="10">
        <v>7</v>
      </c>
    </row>
    <row r="8" spans="2:15" ht="30" customHeight="1" x14ac:dyDescent="0.3">
      <c r="B8" s="11" t="s">
        <v>19</v>
      </c>
      <c r="C8" s="11">
        <v>36</v>
      </c>
      <c r="D8" s="11">
        <v>22</v>
      </c>
      <c r="E8" s="11">
        <v>15</v>
      </c>
      <c r="F8" s="11"/>
      <c r="G8" s="11">
        <v>15</v>
      </c>
      <c r="H8" s="11">
        <v>4</v>
      </c>
      <c r="I8" s="11">
        <v>9</v>
      </c>
      <c r="J8" s="11">
        <v>9</v>
      </c>
      <c r="K8" s="11"/>
      <c r="L8" s="11">
        <v>12</v>
      </c>
      <c r="M8" s="11">
        <v>9</v>
      </c>
      <c r="N8" s="11">
        <v>7</v>
      </c>
      <c r="O8" s="11">
        <v>8</v>
      </c>
    </row>
    <row r="9" spans="2:15" x14ac:dyDescent="0.3">
      <c r="B9" s="18" t="s">
        <v>231</v>
      </c>
      <c r="C9" s="17">
        <v>0</v>
      </c>
      <c r="D9" s="17">
        <v>0</v>
      </c>
      <c r="E9" s="17">
        <v>0</v>
      </c>
      <c r="F9" s="17"/>
      <c r="G9" s="17">
        <v>0</v>
      </c>
      <c r="H9" s="17">
        <v>0</v>
      </c>
      <c r="I9" s="17">
        <v>0</v>
      </c>
      <c r="J9" s="17">
        <v>0</v>
      </c>
      <c r="K9" s="17"/>
      <c r="L9" s="17">
        <v>0</v>
      </c>
      <c r="M9" s="17">
        <v>0</v>
      </c>
      <c r="N9" s="17">
        <v>0</v>
      </c>
      <c r="O9" s="17">
        <v>0</v>
      </c>
    </row>
    <row r="10" spans="2:15" x14ac:dyDescent="0.3">
      <c r="B10" s="18" t="s">
        <v>232</v>
      </c>
      <c r="C10" s="17">
        <v>9.3354202730587005E-2</v>
      </c>
      <c r="D10" s="17">
        <v>0.12526803847735099</v>
      </c>
      <c r="E10" s="17">
        <v>4.58047689797383E-2</v>
      </c>
      <c r="F10" s="17"/>
      <c r="G10" s="17">
        <v>0.15054116940302301</v>
      </c>
      <c r="H10" s="17">
        <v>0</v>
      </c>
      <c r="I10" s="17">
        <v>0.132203749951979</v>
      </c>
      <c r="J10" s="17">
        <v>0</v>
      </c>
      <c r="K10" s="17"/>
      <c r="L10" s="17">
        <v>0</v>
      </c>
      <c r="M10" s="17">
        <v>0.19464123380794901</v>
      </c>
      <c r="N10" s="17">
        <v>0.21366264151109099</v>
      </c>
      <c r="O10" s="17">
        <v>0</v>
      </c>
    </row>
    <row r="11" spans="2:15" x14ac:dyDescent="0.3">
      <c r="B11" s="18" t="s">
        <v>233</v>
      </c>
      <c r="C11" s="17">
        <v>0.130050169783236</v>
      </c>
      <c r="D11" s="17">
        <v>0.12587090791413999</v>
      </c>
      <c r="E11" s="17">
        <v>0.13627698428929799</v>
      </c>
      <c r="F11" s="17"/>
      <c r="G11" s="17">
        <v>0.24644808113369299</v>
      </c>
      <c r="H11" s="17">
        <v>0.24301329387002801</v>
      </c>
      <c r="I11" s="17">
        <v>0</v>
      </c>
      <c r="J11" s="17">
        <v>0</v>
      </c>
      <c r="K11" s="17"/>
      <c r="L11" s="17">
        <v>6.5640083401517904E-2</v>
      </c>
      <c r="M11" s="17">
        <v>0.127890525658586</v>
      </c>
      <c r="N11" s="17">
        <v>0.154364646771741</v>
      </c>
      <c r="O11" s="17">
        <v>0.20615250310069699</v>
      </c>
    </row>
    <row r="12" spans="2:15" x14ac:dyDescent="0.3">
      <c r="B12" s="18" t="s">
        <v>234</v>
      </c>
      <c r="C12" s="17">
        <v>0.31463695918706502</v>
      </c>
      <c r="D12" s="17">
        <v>0.23159407416622799</v>
      </c>
      <c r="E12" s="17">
        <v>0.43836518136349201</v>
      </c>
      <c r="F12" s="17"/>
      <c r="G12" s="17">
        <v>0.22443951002791099</v>
      </c>
      <c r="H12" s="17">
        <v>0.30254605573316901</v>
      </c>
      <c r="I12" s="17">
        <v>0.25780081627581303</v>
      </c>
      <c r="J12" s="17">
        <v>0.53583275554981902</v>
      </c>
      <c r="K12" s="17"/>
      <c r="L12" s="17">
        <v>0.161925268995979</v>
      </c>
      <c r="M12" s="17">
        <v>0.43262306501999598</v>
      </c>
      <c r="N12" s="17">
        <v>0.39429837406485801</v>
      </c>
      <c r="O12" s="17">
        <v>0.32815945274104102</v>
      </c>
    </row>
    <row r="13" spans="2:15" x14ac:dyDescent="0.3">
      <c r="B13" s="18" t="s">
        <v>235</v>
      </c>
      <c r="C13" s="17">
        <v>0.24218517538471099</v>
      </c>
      <c r="D13" s="17">
        <v>0.31454586249869398</v>
      </c>
      <c r="E13" s="17">
        <v>0.13437269789393599</v>
      </c>
      <c r="F13" s="17"/>
      <c r="G13" s="17">
        <v>0.15881963565912799</v>
      </c>
      <c r="H13" s="17">
        <v>0.45444065039680298</v>
      </c>
      <c r="I13" s="17">
        <v>0.32260640706488602</v>
      </c>
      <c r="J13" s="17">
        <v>0.203811315755006</v>
      </c>
      <c r="K13" s="17"/>
      <c r="L13" s="17">
        <v>0.55361471740910895</v>
      </c>
      <c r="M13" s="17">
        <v>0.24484517551346799</v>
      </c>
      <c r="N13" s="17">
        <v>0</v>
      </c>
      <c r="O13" s="17">
        <v>0</v>
      </c>
    </row>
    <row r="14" spans="2:15" x14ac:dyDescent="0.3">
      <c r="B14" s="18" t="s">
        <v>236</v>
      </c>
      <c r="C14" s="17">
        <v>0.19424044302239499</v>
      </c>
      <c r="D14" s="17">
        <v>0.20272111694358699</v>
      </c>
      <c r="E14" s="17">
        <v>0.18160481858733701</v>
      </c>
      <c r="F14" s="17"/>
      <c r="G14" s="17">
        <v>0.158002508198722</v>
      </c>
      <c r="H14" s="17">
        <v>0</v>
      </c>
      <c r="I14" s="17">
        <v>0.28738902670732303</v>
      </c>
      <c r="J14" s="17">
        <v>0.26035592869517499</v>
      </c>
      <c r="K14" s="17"/>
      <c r="L14" s="17">
        <v>0.139925356881865</v>
      </c>
      <c r="M14" s="17">
        <v>0</v>
      </c>
      <c r="N14" s="17">
        <v>0.237674337652309</v>
      </c>
      <c r="O14" s="17">
        <v>0.46568804415826198</v>
      </c>
    </row>
    <row r="15" spans="2:15" x14ac:dyDescent="0.3">
      <c r="B15" s="18" t="s">
        <v>237</v>
      </c>
      <c r="C15" s="17">
        <v>2.5533049892006301E-2</v>
      </c>
      <c r="D15" s="17">
        <v>0</v>
      </c>
      <c r="E15" s="17">
        <v>6.3575548886198305E-2</v>
      </c>
      <c r="F15" s="17"/>
      <c r="G15" s="17">
        <v>6.1749095577523498E-2</v>
      </c>
      <c r="H15" s="17">
        <v>0</v>
      </c>
      <c r="I15" s="17">
        <v>0</v>
      </c>
      <c r="J15" s="17">
        <v>0</v>
      </c>
      <c r="K15" s="17"/>
      <c r="L15" s="17">
        <v>7.8894573311529798E-2</v>
      </c>
      <c r="M15" s="17">
        <v>0</v>
      </c>
      <c r="N15" s="17">
        <v>0</v>
      </c>
      <c r="O15" s="17">
        <v>0</v>
      </c>
    </row>
    <row r="16" spans="2:15" ht="28.8" x14ac:dyDescent="0.3">
      <c r="B16" s="18" t="s">
        <v>238</v>
      </c>
      <c r="C16" s="17">
        <v>0</v>
      </c>
      <c r="D16" s="17">
        <v>0</v>
      </c>
      <c r="E16" s="17">
        <v>0</v>
      </c>
      <c r="F16" s="17"/>
      <c r="G16" s="17">
        <v>0</v>
      </c>
      <c r="H16" s="17">
        <v>0</v>
      </c>
      <c r="I16" s="17">
        <v>0</v>
      </c>
      <c r="J16" s="17">
        <v>0</v>
      </c>
      <c r="K16" s="17"/>
      <c r="L16" s="17">
        <v>0</v>
      </c>
      <c r="M16" s="17">
        <v>0</v>
      </c>
      <c r="N16" s="17">
        <v>0</v>
      </c>
      <c r="O16" s="17">
        <v>0</v>
      </c>
    </row>
    <row r="17" spans="2:15" ht="28.8" x14ac:dyDescent="0.3">
      <c r="B17" s="18" t="s">
        <v>239</v>
      </c>
      <c r="C17" s="19">
        <v>0</v>
      </c>
      <c r="D17" s="19">
        <v>0</v>
      </c>
      <c r="E17" s="19">
        <v>0</v>
      </c>
      <c r="F17" s="19"/>
      <c r="G17" s="19">
        <v>0</v>
      </c>
      <c r="H17" s="19">
        <v>0</v>
      </c>
      <c r="I17" s="19">
        <v>0</v>
      </c>
      <c r="J17" s="19">
        <v>0</v>
      </c>
      <c r="K17" s="19"/>
      <c r="L17" s="19">
        <v>0</v>
      </c>
      <c r="M17" s="19">
        <v>0</v>
      </c>
      <c r="N17" s="19">
        <v>0</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257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2</v>
      </c>
      <c r="D7" s="10" t="s">
        <v>255</v>
      </c>
      <c r="E7" s="10">
        <v>2</v>
      </c>
      <c r="F7" s="10"/>
      <c r="G7" s="10">
        <v>2</v>
      </c>
      <c r="H7" s="10" t="s">
        <v>255</v>
      </c>
      <c r="I7" s="10" t="s">
        <v>255</v>
      </c>
      <c r="J7" s="10" t="s">
        <v>255</v>
      </c>
      <c r="K7" s="10"/>
      <c r="L7" s="10">
        <v>1</v>
      </c>
      <c r="M7" s="10" t="s">
        <v>255</v>
      </c>
      <c r="N7" s="10">
        <v>1</v>
      </c>
      <c r="O7" s="10" t="s">
        <v>255</v>
      </c>
    </row>
    <row r="8" spans="2:15" ht="30" customHeight="1" x14ac:dyDescent="0.3">
      <c r="B8" s="11" t="s">
        <v>19</v>
      </c>
      <c r="C8" s="11">
        <v>2</v>
      </c>
      <c r="D8" s="11" t="s">
        <v>255</v>
      </c>
      <c r="E8" s="11">
        <v>2</v>
      </c>
      <c r="F8" s="11"/>
      <c r="G8" s="11">
        <v>2</v>
      </c>
      <c r="H8" s="11" t="s">
        <v>255</v>
      </c>
      <c r="I8" s="11" t="s">
        <v>255</v>
      </c>
      <c r="J8" s="11" t="s">
        <v>255</v>
      </c>
      <c r="K8" s="11"/>
      <c r="L8" s="11">
        <v>1</v>
      </c>
      <c r="M8" s="11" t="s">
        <v>255</v>
      </c>
      <c r="N8" s="11">
        <v>1</v>
      </c>
      <c r="O8" s="11" t="s">
        <v>255</v>
      </c>
    </row>
    <row r="9" spans="2:15" x14ac:dyDescent="0.3">
      <c r="B9" s="18" t="s">
        <v>231</v>
      </c>
      <c r="C9" s="17">
        <v>0</v>
      </c>
      <c r="D9" s="17" t="s">
        <v>256</v>
      </c>
      <c r="E9" s="17">
        <v>0</v>
      </c>
      <c r="F9" s="17"/>
      <c r="G9" s="17">
        <v>0</v>
      </c>
      <c r="H9" s="17" t="s">
        <v>256</v>
      </c>
      <c r="I9" s="17" t="s">
        <v>256</v>
      </c>
      <c r="J9" s="17" t="s">
        <v>256</v>
      </c>
      <c r="K9" s="17"/>
      <c r="L9" s="17">
        <v>0</v>
      </c>
      <c r="M9" s="17" t="s">
        <v>256</v>
      </c>
      <c r="N9" s="17">
        <v>0</v>
      </c>
      <c r="O9" s="17" t="s">
        <v>256</v>
      </c>
    </row>
    <row r="10" spans="2:15" x14ac:dyDescent="0.3">
      <c r="B10" s="18" t="s">
        <v>232</v>
      </c>
      <c r="C10" s="17">
        <v>0</v>
      </c>
      <c r="D10" s="17" t="s">
        <v>256</v>
      </c>
      <c r="E10" s="17">
        <v>0</v>
      </c>
      <c r="F10" s="17"/>
      <c r="G10" s="17">
        <v>0</v>
      </c>
      <c r="H10" s="17" t="s">
        <v>256</v>
      </c>
      <c r="I10" s="17" t="s">
        <v>256</v>
      </c>
      <c r="J10" s="17" t="s">
        <v>256</v>
      </c>
      <c r="K10" s="17"/>
      <c r="L10" s="17">
        <v>0</v>
      </c>
      <c r="M10" s="17" t="s">
        <v>256</v>
      </c>
      <c r="N10" s="17">
        <v>0</v>
      </c>
      <c r="O10" s="17" t="s">
        <v>256</v>
      </c>
    </row>
    <row r="11" spans="2:15" x14ac:dyDescent="0.3">
      <c r="B11" s="18" t="s">
        <v>233</v>
      </c>
      <c r="C11" s="17">
        <v>1</v>
      </c>
      <c r="D11" s="17" t="s">
        <v>256</v>
      </c>
      <c r="E11" s="17">
        <v>1</v>
      </c>
      <c r="F11" s="17"/>
      <c r="G11" s="17">
        <v>1</v>
      </c>
      <c r="H11" s="17" t="s">
        <v>256</v>
      </c>
      <c r="I11" s="17" t="s">
        <v>256</v>
      </c>
      <c r="J11" s="17" t="s">
        <v>256</v>
      </c>
      <c r="K11" s="17"/>
      <c r="L11" s="17">
        <v>1</v>
      </c>
      <c r="M11" s="17" t="s">
        <v>256</v>
      </c>
      <c r="N11" s="17">
        <v>1</v>
      </c>
      <c r="O11" s="17" t="s">
        <v>256</v>
      </c>
    </row>
    <row r="12" spans="2:15" x14ac:dyDescent="0.3">
      <c r="B12" s="18" t="s">
        <v>234</v>
      </c>
      <c r="C12" s="17">
        <v>0</v>
      </c>
      <c r="D12" s="17" t="s">
        <v>256</v>
      </c>
      <c r="E12" s="17">
        <v>0</v>
      </c>
      <c r="F12" s="17"/>
      <c r="G12" s="17">
        <v>0</v>
      </c>
      <c r="H12" s="17" t="s">
        <v>256</v>
      </c>
      <c r="I12" s="17" t="s">
        <v>256</v>
      </c>
      <c r="J12" s="17" t="s">
        <v>256</v>
      </c>
      <c r="K12" s="17"/>
      <c r="L12" s="17">
        <v>0</v>
      </c>
      <c r="M12" s="17" t="s">
        <v>256</v>
      </c>
      <c r="N12" s="17">
        <v>0</v>
      </c>
      <c r="O12" s="17" t="s">
        <v>256</v>
      </c>
    </row>
    <row r="13" spans="2:15" x14ac:dyDescent="0.3">
      <c r="B13" s="18" t="s">
        <v>235</v>
      </c>
      <c r="C13" s="17">
        <v>0</v>
      </c>
      <c r="D13" s="17" t="s">
        <v>256</v>
      </c>
      <c r="E13" s="17">
        <v>0</v>
      </c>
      <c r="F13" s="17"/>
      <c r="G13" s="17">
        <v>0</v>
      </c>
      <c r="H13" s="17" t="s">
        <v>256</v>
      </c>
      <c r="I13" s="17" t="s">
        <v>256</v>
      </c>
      <c r="J13" s="17" t="s">
        <v>256</v>
      </c>
      <c r="K13" s="17"/>
      <c r="L13" s="17">
        <v>0</v>
      </c>
      <c r="M13" s="17" t="s">
        <v>256</v>
      </c>
      <c r="N13" s="17">
        <v>0</v>
      </c>
      <c r="O13" s="17" t="s">
        <v>256</v>
      </c>
    </row>
    <row r="14" spans="2:15" x14ac:dyDescent="0.3">
      <c r="B14" s="18" t="s">
        <v>236</v>
      </c>
      <c r="C14" s="17">
        <v>0</v>
      </c>
      <c r="D14" s="17" t="s">
        <v>256</v>
      </c>
      <c r="E14" s="17">
        <v>0</v>
      </c>
      <c r="F14" s="17"/>
      <c r="G14" s="17">
        <v>0</v>
      </c>
      <c r="H14" s="17" t="s">
        <v>256</v>
      </c>
      <c r="I14" s="17" t="s">
        <v>256</v>
      </c>
      <c r="J14" s="17" t="s">
        <v>256</v>
      </c>
      <c r="K14" s="17"/>
      <c r="L14" s="17">
        <v>0</v>
      </c>
      <c r="M14" s="17" t="s">
        <v>256</v>
      </c>
      <c r="N14" s="17">
        <v>0</v>
      </c>
      <c r="O14" s="17" t="s">
        <v>256</v>
      </c>
    </row>
    <row r="15" spans="2:15" x14ac:dyDescent="0.3">
      <c r="B15" s="18" t="s">
        <v>237</v>
      </c>
      <c r="C15" s="17">
        <v>0</v>
      </c>
      <c r="D15" s="17" t="s">
        <v>256</v>
      </c>
      <c r="E15" s="17">
        <v>0</v>
      </c>
      <c r="F15" s="17"/>
      <c r="G15" s="17">
        <v>0</v>
      </c>
      <c r="H15" s="17" t="s">
        <v>256</v>
      </c>
      <c r="I15" s="17" t="s">
        <v>256</v>
      </c>
      <c r="J15" s="17" t="s">
        <v>256</v>
      </c>
      <c r="K15" s="17"/>
      <c r="L15" s="17">
        <v>0</v>
      </c>
      <c r="M15" s="17" t="s">
        <v>256</v>
      </c>
      <c r="N15" s="17">
        <v>0</v>
      </c>
      <c r="O15" s="17" t="s">
        <v>256</v>
      </c>
    </row>
    <row r="16" spans="2:15" ht="28.8" x14ac:dyDescent="0.3">
      <c r="B16" s="18" t="s">
        <v>238</v>
      </c>
      <c r="C16" s="17">
        <v>0</v>
      </c>
      <c r="D16" s="17" t="s">
        <v>256</v>
      </c>
      <c r="E16" s="17">
        <v>0</v>
      </c>
      <c r="F16" s="17"/>
      <c r="G16" s="17">
        <v>0</v>
      </c>
      <c r="H16" s="17" t="s">
        <v>256</v>
      </c>
      <c r="I16" s="17" t="s">
        <v>256</v>
      </c>
      <c r="J16" s="17" t="s">
        <v>256</v>
      </c>
      <c r="K16" s="17"/>
      <c r="L16" s="17">
        <v>0</v>
      </c>
      <c r="M16" s="17" t="s">
        <v>256</v>
      </c>
      <c r="N16" s="17">
        <v>0</v>
      </c>
      <c r="O16" s="17" t="s">
        <v>256</v>
      </c>
    </row>
    <row r="17" spans="2:15" ht="28.8" x14ac:dyDescent="0.3">
      <c r="B17" s="18" t="s">
        <v>239</v>
      </c>
      <c r="C17" s="19">
        <v>0</v>
      </c>
      <c r="D17" s="19" t="s">
        <v>256</v>
      </c>
      <c r="E17" s="19">
        <v>0</v>
      </c>
      <c r="F17" s="19"/>
      <c r="G17" s="19">
        <v>0</v>
      </c>
      <c r="H17" s="19" t="s">
        <v>256</v>
      </c>
      <c r="I17" s="19" t="s">
        <v>256</v>
      </c>
      <c r="J17" s="19" t="s">
        <v>256</v>
      </c>
      <c r="K17" s="19"/>
      <c r="L17" s="19">
        <v>0</v>
      </c>
      <c r="M17" s="19" t="s">
        <v>256</v>
      </c>
      <c r="N17" s="19">
        <v>0</v>
      </c>
      <c r="O17" s="19" t="s">
        <v>256</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258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15</v>
      </c>
      <c r="D7" s="10">
        <v>7</v>
      </c>
      <c r="E7" s="10">
        <v>8</v>
      </c>
      <c r="F7" s="10"/>
      <c r="G7" s="10">
        <v>9</v>
      </c>
      <c r="H7" s="10">
        <v>5</v>
      </c>
      <c r="I7" s="10">
        <v>1</v>
      </c>
      <c r="J7" s="10" t="s">
        <v>255</v>
      </c>
      <c r="K7" s="10"/>
      <c r="L7" s="10">
        <v>3</v>
      </c>
      <c r="M7" s="10">
        <v>6</v>
      </c>
      <c r="N7" s="10">
        <v>4</v>
      </c>
      <c r="O7" s="10">
        <v>2</v>
      </c>
    </row>
    <row r="8" spans="2:15" ht="30" customHeight="1" x14ac:dyDescent="0.3">
      <c r="B8" s="11" t="s">
        <v>19</v>
      </c>
      <c r="C8" s="11">
        <v>12</v>
      </c>
      <c r="D8" s="11">
        <v>5</v>
      </c>
      <c r="E8" s="11">
        <v>7</v>
      </c>
      <c r="F8" s="11"/>
      <c r="G8" s="11">
        <v>6</v>
      </c>
      <c r="H8" s="11">
        <v>5</v>
      </c>
      <c r="I8" s="11">
        <v>1</v>
      </c>
      <c r="J8" s="11" t="s">
        <v>255</v>
      </c>
      <c r="K8" s="11"/>
      <c r="L8" s="11">
        <v>3</v>
      </c>
      <c r="M8" s="11">
        <v>4</v>
      </c>
      <c r="N8" s="11">
        <v>3</v>
      </c>
      <c r="O8" s="11">
        <v>2</v>
      </c>
    </row>
    <row r="9" spans="2:15" x14ac:dyDescent="0.3">
      <c r="B9" s="18" t="s">
        <v>231</v>
      </c>
      <c r="C9" s="17">
        <v>0</v>
      </c>
      <c r="D9" s="17">
        <v>0</v>
      </c>
      <c r="E9" s="17">
        <v>0</v>
      </c>
      <c r="F9" s="17"/>
      <c r="G9" s="17">
        <v>0</v>
      </c>
      <c r="H9" s="17">
        <v>0</v>
      </c>
      <c r="I9" s="17">
        <v>0</v>
      </c>
      <c r="J9" s="17" t="s">
        <v>256</v>
      </c>
      <c r="K9" s="17"/>
      <c r="L9" s="17">
        <v>0</v>
      </c>
      <c r="M9" s="17">
        <v>0</v>
      </c>
      <c r="N9" s="17">
        <v>0</v>
      </c>
      <c r="O9" s="17">
        <v>0</v>
      </c>
    </row>
    <row r="10" spans="2:15" x14ac:dyDescent="0.3">
      <c r="B10" s="18" t="s">
        <v>232</v>
      </c>
      <c r="C10" s="17">
        <v>0.19297624664391899</v>
      </c>
      <c r="D10" s="17">
        <v>0.12912416044993499</v>
      </c>
      <c r="E10" s="17">
        <v>0.239243784579077</v>
      </c>
      <c r="F10" s="17"/>
      <c r="G10" s="17">
        <v>0.21181876976019301</v>
      </c>
      <c r="H10" s="17">
        <v>0.22229561732421599</v>
      </c>
      <c r="I10" s="17">
        <v>0</v>
      </c>
      <c r="J10" s="17" t="s">
        <v>256</v>
      </c>
      <c r="K10" s="17"/>
      <c r="L10" s="17">
        <v>0.238082727424102</v>
      </c>
      <c r="M10" s="17">
        <v>0.239313265573673</v>
      </c>
      <c r="N10" s="17">
        <v>0.23262440508420301</v>
      </c>
      <c r="O10" s="17">
        <v>0</v>
      </c>
    </row>
    <row r="11" spans="2:15" x14ac:dyDescent="0.3">
      <c r="B11" s="18" t="s">
        <v>233</v>
      </c>
      <c r="C11" s="17">
        <v>0.17553263443561101</v>
      </c>
      <c r="D11" s="17">
        <v>0</v>
      </c>
      <c r="E11" s="17">
        <v>0.302724450814712</v>
      </c>
      <c r="F11" s="17"/>
      <c r="G11" s="17">
        <v>0.22331243104472101</v>
      </c>
      <c r="H11" s="17">
        <v>0.16185302051463901</v>
      </c>
      <c r="I11" s="17">
        <v>0</v>
      </c>
      <c r="J11" s="17" t="s">
        <v>256</v>
      </c>
      <c r="K11" s="17"/>
      <c r="L11" s="17">
        <v>0</v>
      </c>
      <c r="M11" s="17">
        <v>0.14484076559515699</v>
      </c>
      <c r="N11" s="17">
        <v>0.541668279972638</v>
      </c>
      <c r="O11" s="17">
        <v>0</v>
      </c>
    </row>
    <row r="12" spans="2:15" x14ac:dyDescent="0.3">
      <c r="B12" s="18" t="s">
        <v>234</v>
      </c>
      <c r="C12" s="17">
        <v>0.24265728034425901</v>
      </c>
      <c r="D12" s="17">
        <v>0.42643545095402002</v>
      </c>
      <c r="E12" s="17">
        <v>0.109490707610695</v>
      </c>
      <c r="F12" s="17"/>
      <c r="G12" s="17">
        <v>0.19655131034456</v>
      </c>
      <c r="H12" s="17">
        <v>0.37143972950506798</v>
      </c>
      <c r="I12" s="17">
        <v>0</v>
      </c>
      <c r="J12" s="17" t="s">
        <v>256</v>
      </c>
      <c r="K12" s="17"/>
      <c r="L12" s="17">
        <v>0.34896549717935699</v>
      </c>
      <c r="M12" s="17">
        <v>0.31199752404744902</v>
      </c>
      <c r="N12" s="17">
        <v>0.22570731494315899</v>
      </c>
      <c r="O12" s="17">
        <v>0</v>
      </c>
    </row>
    <row r="13" spans="2:15" x14ac:dyDescent="0.3">
      <c r="B13" s="18" t="s">
        <v>235</v>
      </c>
      <c r="C13" s="17">
        <v>0.25062586925305003</v>
      </c>
      <c r="D13" s="17">
        <v>0.11549680714055501</v>
      </c>
      <c r="E13" s="17">
        <v>0.34854105699551602</v>
      </c>
      <c r="F13" s="17"/>
      <c r="G13" s="17">
        <v>9.5714734906613905E-2</v>
      </c>
      <c r="H13" s="17">
        <v>0.24441163265607799</v>
      </c>
      <c r="I13" s="17">
        <v>1</v>
      </c>
      <c r="J13" s="17" t="s">
        <v>256</v>
      </c>
      <c r="K13" s="17"/>
      <c r="L13" s="17">
        <v>0.41295177539654199</v>
      </c>
      <c r="M13" s="17">
        <v>0.135690287879079</v>
      </c>
      <c r="N13" s="17">
        <v>0</v>
      </c>
      <c r="O13" s="17">
        <v>0.58042502394498197</v>
      </c>
    </row>
    <row r="14" spans="2:15" x14ac:dyDescent="0.3">
      <c r="B14" s="18" t="s">
        <v>236</v>
      </c>
      <c r="C14" s="17">
        <v>6.0138255054849002E-2</v>
      </c>
      <c r="D14" s="17">
        <v>0.14313279543215601</v>
      </c>
      <c r="E14" s="17">
        <v>0</v>
      </c>
      <c r="F14" s="17"/>
      <c r="G14" s="17">
        <v>0.11861728397876101</v>
      </c>
      <c r="H14" s="17">
        <v>0</v>
      </c>
      <c r="I14" s="17">
        <v>0</v>
      </c>
      <c r="J14" s="17" t="s">
        <v>256</v>
      </c>
      <c r="K14" s="17"/>
      <c r="L14" s="17">
        <v>0</v>
      </c>
      <c r="M14" s="17">
        <v>0.168158156904642</v>
      </c>
      <c r="N14" s="17">
        <v>0</v>
      </c>
      <c r="O14" s="17">
        <v>0</v>
      </c>
    </row>
    <row r="15" spans="2:15" x14ac:dyDescent="0.3">
      <c r="B15" s="18" t="s">
        <v>237</v>
      </c>
      <c r="C15" s="17">
        <v>7.8069714268311802E-2</v>
      </c>
      <c r="D15" s="17">
        <v>0.18581078602333301</v>
      </c>
      <c r="E15" s="17">
        <v>0</v>
      </c>
      <c r="F15" s="17"/>
      <c r="G15" s="17">
        <v>0.153985469965151</v>
      </c>
      <c r="H15" s="17">
        <v>0</v>
      </c>
      <c r="I15" s="17">
        <v>0</v>
      </c>
      <c r="J15" s="17" t="s">
        <v>256</v>
      </c>
      <c r="K15" s="17"/>
      <c r="L15" s="17">
        <v>0</v>
      </c>
      <c r="M15" s="17">
        <v>0</v>
      </c>
      <c r="N15" s="17">
        <v>0</v>
      </c>
      <c r="O15" s="17">
        <v>0.41957497605501798</v>
      </c>
    </row>
    <row r="16" spans="2:15" ht="28.8" x14ac:dyDescent="0.3">
      <c r="B16" s="18" t="s">
        <v>238</v>
      </c>
      <c r="C16" s="17">
        <v>0</v>
      </c>
      <c r="D16" s="17">
        <v>0</v>
      </c>
      <c r="E16" s="17">
        <v>0</v>
      </c>
      <c r="F16" s="17"/>
      <c r="G16" s="17">
        <v>0</v>
      </c>
      <c r="H16" s="17">
        <v>0</v>
      </c>
      <c r="I16" s="17">
        <v>0</v>
      </c>
      <c r="J16" s="17" t="s">
        <v>256</v>
      </c>
      <c r="K16" s="17"/>
      <c r="L16" s="17">
        <v>0</v>
      </c>
      <c r="M16" s="17">
        <v>0</v>
      </c>
      <c r="N16" s="17">
        <v>0</v>
      </c>
      <c r="O16" s="17">
        <v>0</v>
      </c>
    </row>
    <row r="17" spans="2:15" ht="28.8" x14ac:dyDescent="0.3">
      <c r="B17" s="18" t="s">
        <v>239</v>
      </c>
      <c r="C17" s="19">
        <v>0</v>
      </c>
      <c r="D17" s="19">
        <v>0</v>
      </c>
      <c r="E17" s="19">
        <v>0</v>
      </c>
      <c r="F17" s="19"/>
      <c r="G17" s="19">
        <v>0</v>
      </c>
      <c r="H17" s="19">
        <v>0</v>
      </c>
      <c r="I17" s="19">
        <v>0</v>
      </c>
      <c r="J17" s="19" t="s">
        <v>256</v>
      </c>
      <c r="K17" s="19"/>
      <c r="L17" s="19">
        <v>0</v>
      </c>
      <c r="M17" s="19">
        <v>0</v>
      </c>
      <c r="N17" s="19">
        <v>0</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259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91</v>
      </c>
      <c r="D7" s="10">
        <v>59</v>
      </c>
      <c r="E7" s="10">
        <v>32</v>
      </c>
      <c r="F7" s="10"/>
      <c r="G7" s="10">
        <v>42</v>
      </c>
      <c r="H7" s="10">
        <v>19</v>
      </c>
      <c r="I7" s="10">
        <v>18</v>
      </c>
      <c r="J7" s="10">
        <v>12</v>
      </c>
      <c r="K7" s="10"/>
      <c r="L7" s="10">
        <v>14</v>
      </c>
      <c r="M7" s="10">
        <v>26</v>
      </c>
      <c r="N7" s="10">
        <v>33</v>
      </c>
      <c r="O7" s="10">
        <v>18</v>
      </c>
    </row>
    <row r="8" spans="2:15" ht="30" customHeight="1" x14ac:dyDescent="0.3">
      <c r="B8" s="11" t="s">
        <v>19</v>
      </c>
      <c r="C8" s="11">
        <v>84</v>
      </c>
      <c r="D8" s="11">
        <v>54</v>
      </c>
      <c r="E8" s="11">
        <v>30</v>
      </c>
      <c r="F8" s="11"/>
      <c r="G8" s="11">
        <v>31</v>
      </c>
      <c r="H8" s="11">
        <v>19</v>
      </c>
      <c r="I8" s="11">
        <v>21</v>
      </c>
      <c r="J8" s="11">
        <v>14</v>
      </c>
      <c r="K8" s="11"/>
      <c r="L8" s="11">
        <v>15</v>
      </c>
      <c r="M8" s="11">
        <v>22</v>
      </c>
      <c r="N8" s="11">
        <v>27</v>
      </c>
      <c r="O8" s="11">
        <v>21</v>
      </c>
    </row>
    <row r="9" spans="2:15" x14ac:dyDescent="0.3">
      <c r="B9" s="18" t="s">
        <v>231</v>
      </c>
      <c r="C9" s="17">
        <v>1.45547842695949E-2</v>
      </c>
      <c r="D9" s="17">
        <v>2.2671571682174301E-2</v>
      </c>
      <c r="E9" s="17">
        <v>0</v>
      </c>
      <c r="F9" s="17"/>
      <c r="G9" s="17">
        <v>3.9786351858184299E-2</v>
      </c>
      <c r="H9" s="17">
        <v>0</v>
      </c>
      <c r="I9" s="17">
        <v>0</v>
      </c>
      <c r="J9" s="17">
        <v>0</v>
      </c>
      <c r="K9" s="17"/>
      <c r="L9" s="17">
        <v>4.4097478647921302E-2</v>
      </c>
      <c r="M9" s="17">
        <v>2.6719612725293201E-2</v>
      </c>
      <c r="N9" s="17">
        <v>0</v>
      </c>
      <c r="O9" s="17">
        <v>0</v>
      </c>
    </row>
    <row r="10" spans="2:15" x14ac:dyDescent="0.3">
      <c r="B10" s="18" t="s">
        <v>232</v>
      </c>
      <c r="C10" s="17">
        <v>0.14784458544080101</v>
      </c>
      <c r="D10" s="17">
        <v>0.13875905901797</v>
      </c>
      <c r="E10" s="17">
        <v>0.16413648398862599</v>
      </c>
      <c r="F10" s="17"/>
      <c r="G10" s="17">
        <v>0.16881179090357801</v>
      </c>
      <c r="H10" s="17">
        <v>0</v>
      </c>
      <c r="I10" s="17">
        <v>0.228610239450597</v>
      </c>
      <c r="J10" s="17">
        <v>0.17581620583000501</v>
      </c>
      <c r="K10" s="17"/>
      <c r="L10" s="17">
        <v>9.9032406591490693E-2</v>
      </c>
      <c r="M10" s="17">
        <v>0.10612849504574901</v>
      </c>
      <c r="N10" s="17">
        <v>0.249776769346684</v>
      </c>
      <c r="O10" s="17">
        <v>9.1692851834457606E-2</v>
      </c>
    </row>
    <row r="11" spans="2:15" x14ac:dyDescent="0.3">
      <c r="B11" s="18" t="s">
        <v>233</v>
      </c>
      <c r="C11" s="17">
        <v>0.25845935429163702</v>
      </c>
      <c r="D11" s="17">
        <v>0.262643761454665</v>
      </c>
      <c r="E11" s="17">
        <v>0.25095599853543799</v>
      </c>
      <c r="F11" s="17"/>
      <c r="G11" s="17">
        <v>0.18494443962325999</v>
      </c>
      <c r="H11" s="17">
        <v>0.27878844577891299</v>
      </c>
      <c r="I11" s="17">
        <v>0.32625234195573199</v>
      </c>
      <c r="J11" s="17">
        <v>0.291784031064872</v>
      </c>
      <c r="K11" s="17"/>
      <c r="L11" s="17">
        <v>0.370949567013446</v>
      </c>
      <c r="M11" s="17">
        <v>0.25311386929785101</v>
      </c>
      <c r="N11" s="17">
        <v>0.134573025480484</v>
      </c>
      <c r="O11" s="17">
        <v>0.34773678921874601</v>
      </c>
    </row>
    <row r="12" spans="2:15" x14ac:dyDescent="0.3">
      <c r="B12" s="18" t="s">
        <v>234</v>
      </c>
      <c r="C12" s="17">
        <v>0.35399300695186797</v>
      </c>
      <c r="D12" s="17">
        <v>0.38149286215377898</v>
      </c>
      <c r="E12" s="17">
        <v>0.30468107606544498</v>
      </c>
      <c r="F12" s="17"/>
      <c r="G12" s="17">
        <v>0.40642875720504201</v>
      </c>
      <c r="H12" s="17">
        <v>0.26509281229720899</v>
      </c>
      <c r="I12" s="17">
        <v>0.34000859543154399</v>
      </c>
      <c r="J12" s="17">
        <v>0.37724700178262799</v>
      </c>
      <c r="K12" s="17"/>
      <c r="L12" s="17">
        <v>0.2709157777192</v>
      </c>
      <c r="M12" s="17">
        <v>0.44139288523292403</v>
      </c>
      <c r="N12" s="17">
        <v>0.36606841971929499</v>
      </c>
      <c r="O12" s="17">
        <v>0.30536383894018099</v>
      </c>
    </row>
    <row r="13" spans="2:15" x14ac:dyDescent="0.3">
      <c r="B13" s="18" t="s">
        <v>235</v>
      </c>
      <c r="C13" s="17">
        <v>9.9921049801414794E-2</v>
      </c>
      <c r="D13" s="17">
        <v>0.11652619597625601</v>
      </c>
      <c r="E13" s="17">
        <v>7.0145190455223494E-2</v>
      </c>
      <c r="F13" s="17"/>
      <c r="G13" s="17">
        <v>0.10026399154834401</v>
      </c>
      <c r="H13" s="17">
        <v>0.217238852286985</v>
      </c>
      <c r="I13" s="17">
        <v>0</v>
      </c>
      <c r="J13" s="17">
        <v>9.4367986801069004E-2</v>
      </c>
      <c r="K13" s="17"/>
      <c r="L13" s="17">
        <v>0.21500477002794199</v>
      </c>
      <c r="M13" s="17">
        <v>2.6719612725293201E-2</v>
      </c>
      <c r="N13" s="17">
        <v>5.2414632137516397E-2</v>
      </c>
      <c r="O13" s="17">
        <v>0.15768843873748301</v>
      </c>
    </row>
    <row r="14" spans="2:15" x14ac:dyDescent="0.3">
      <c r="B14" s="18" t="s">
        <v>236</v>
      </c>
      <c r="C14" s="17">
        <v>7.8068474929253007E-2</v>
      </c>
      <c r="D14" s="17">
        <v>4.2895877101261699E-2</v>
      </c>
      <c r="E14" s="17">
        <v>0.14113894204463601</v>
      </c>
      <c r="F14" s="17"/>
      <c r="G14" s="17">
        <v>9.9764668861591896E-2</v>
      </c>
      <c r="H14" s="17">
        <v>8.4828896599866199E-2</v>
      </c>
      <c r="I14" s="17">
        <v>5.1760132582699903E-2</v>
      </c>
      <c r="J14" s="17">
        <v>6.0784774521425597E-2</v>
      </c>
      <c r="K14" s="17"/>
      <c r="L14" s="17">
        <v>0</v>
      </c>
      <c r="M14" s="17">
        <v>0.10552957424364499</v>
      </c>
      <c r="N14" s="17">
        <v>0.120899087867311</v>
      </c>
      <c r="O14" s="17">
        <v>4.8175811975959999E-2</v>
      </c>
    </row>
    <row r="15" spans="2:15" x14ac:dyDescent="0.3">
      <c r="B15" s="18" t="s">
        <v>237</v>
      </c>
      <c r="C15" s="17">
        <v>3.50718385151235E-2</v>
      </c>
      <c r="D15" s="17">
        <v>1.6183244725471699E-2</v>
      </c>
      <c r="E15" s="17">
        <v>6.8942308910630704E-2</v>
      </c>
      <c r="F15" s="17"/>
      <c r="G15" s="17">
        <v>0</v>
      </c>
      <c r="H15" s="17">
        <v>9.8999457776740393E-2</v>
      </c>
      <c r="I15" s="17">
        <v>5.33686905794266E-2</v>
      </c>
      <c r="J15" s="17">
        <v>0</v>
      </c>
      <c r="K15" s="17"/>
      <c r="L15" s="17">
        <v>0</v>
      </c>
      <c r="M15" s="17">
        <v>4.0395950729245303E-2</v>
      </c>
      <c r="N15" s="17">
        <v>7.6268065448709593E-2</v>
      </c>
      <c r="O15" s="17">
        <v>0</v>
      </c>
    </row>
    <row r="16" spans="2:15" ht="28.8" x14ac:dyDescent="0.3">
      <c r="B16" s="18" t="s">
        <v>238</v>
      </c>
      <c r="C16" s="17">
        <v>0</v>
      </c>
      <c r="D16" s="17">
        <v>0</v>
      </c>
      <c r="E16" s="17">
        <v>0</v>
      </c>
      <c r="F16" s="17"/>
      <c r="G16" s="17">
        <v>0</v>
      </c>
      <c r="H16" s="17">
        <v>0</v>
      </c>
      <c r="I16" s="17">
        <v>0</v>
      </c>
      <c r="J16" s="17">
        <v>0</v>
      </c>
      <c r="K16" s="17"/>
      <c r="L16" s="17">
        <v>0</v>
      </c>
      <c r="M16" s="17">
        <v>0</v>
      </c>
      <c r="N16" s="17">
        <v>0</v>
      </c>
      <c r="O16" s="17">
        <v>0</v>
      </c>
    </row>
    <row r="17" spans="2:15" ht="28.8" x14ac:dyDescent="0.3">
      <c r="B17" s="18" t="s">
        <v>239</v>
      </c>
      <c r="C17" s="19">
        <v>1.20869058003079E-2</v>
      </c>
      <c r="D17" s="19">
        <v>1.8827427888424099E-2</v>
      </c>
      <c r="E17" s="19">
        <v>0</v>
      </c>
      <c r="F17" s="19"/>
      <c r="G17" s="19">
        <v>0</v>
      </c>
      <c r="H17" s="19">
        <v>5.5051535260286902E-2</v>
      </c>
      <c r="I17" s="19">
        <v>0</v>
      </c>
      <c r="J17" s="19">
        <v>0</v>
      </c>
      <c r="K17" s="19"/>
      <c r="L17" s="19">
        <v>0</v>
      </c>
      <c r="M17" s="19">
        <v>0</v>
      </c>
      <c r="N17" s="19">
        <v>0</v>
      </c>
      <c r="O17" s="19">
        <v>4.9342269293173001E-2</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260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104</v>
      </c>
      <c r="D7" s="10">
        <v>67</v>
      </c>
      <c r="E7" s="10">
        <v>36</v>
      </c>
      <c r="F7" s="10"/>
      <c r="G7" s="10">
        <v>49</v>
      </c>
      <c r="H7" s="10">
        <v>18</v>
      </c>
      <c r="I7" s="10">
        <v>18</v>
      </c>
      <c r="J7" s="10">
        <v>19</v>
      </c>
      <c r="K7" s="10"/>
      <c r="L7" s="10">
        <v>22</v>
      </c>
      <c r="M7" s="10">
        <v>30</v>
      </c>
      <c r="N7" s="10">
        <v>26</v>
      </c>
      <c r="O7" s="10">
        <v>26</v>
      </c>
    </row>
    <row r="8" spans="2:15" ht="30" customHeight="1" x14ac:dyDescent="0.3">
      <c r="B8" s="11" t="s">
        <v>19</v>
      </c>
      <c r="C8" s="11">
        <v>98</v>
      </c>
      <c r="D8" s="11">
        <v>62</v>
      </c>
      <c r="E8" s="11">
        <v>35</v>
      </c>
      <c r="F8" s="11"/>
      <c r="G8" s="11">
        <v>36</v>
      </c>
      <c r="H8" s="11">
        <v>18</v>
      </c>
      <c r="I8" s="11">
        <v>22</v>
      </c>
      <c r="J8" s="11">
        <v>22</v>
      </c>
      <c r="K8" s="11"/>
      <c r="L8" s="11">
        <v>24</v>
      </c>
      <c r="M8" s="11">
        <v>25</v>
      </c>
      <c r="N8" s="11">
        <v>21</v>
      </c>
      <c r="O8" s="11">
        <v>28</v>
      </c>
    </row>
    <row r="9" spans="2:15" x14ac:dyDescent="0.3">
      <c r="B9" s="18" t="s">
        <v>231</v>
      </c>
      <c r="C9" s="17">
        <v>2.1465287480179299E-2</v>
      </c>
      <c r="D9" s="17">
        <v>3.36617026459822E-2</v>
      </c>
      <c r="E9" s="17">
        <v>0</v>
      </c>
      <c r="F9" s="17"/>
      <c r="G9" s="17">
        <v>1.6129219943854401E-2</v>
      </c>
      <c r="H9" s="17">
        <v>0</v>
      </c>
      <c r="I9" s="17">
        <v>6.8694915722724806E-2</v>
      </c>
      <c r="J9" s="17">
        <v>0</v>
      </c>
      <c r="K9" s="17"/>
      <c r="L9" s="17">
        <v>6.3845038995382297E-2</v>
      </c>
      <c r="M9" s="17">
        <v>2.3607837721531799E-2</v>
      </c>
      <c r="N9" s="17">
        <v>0</v>
      </c>
      <c r="O9" s="17">
        <v>0</v>
      </c>
    </row>
    <row r="10" spans="2:15" x14ac:dyDescent="0.3">
      <c r="B10" s="18" t="s">
        <v>232</v>
      </c>
      <c r="C10" s="17">
        <v>6.2702907377925998E-2</v>
      </c>
      <c r="D10" s="17">
        <v>7.5816790902719103E-2</v>
      </c>
      <c r="E10" s="17">
        <v>4.0542061001792001E-2</v>
      </c>
      <c r="F10" s="17"/>
      <c r="G10" s="17">
        <v>0.11791452979023501</v>
      </c>
      <c r="H10" s="17">
        <v>0.109061843257539</v>
      </c>
      <c r="I10" s="17">
        <v>0</v>
      </c>
      <c r="J10" s="17">
        <v>0</v>
      </c>
      <c r="K10" s="17"/>
      <c r="L10" s="17">
        <v>9.6638336228503194E-2</v>
      </c>
      <c r="M10" s="17">
        <v>2.8374892098400599E-2</v>
      </c>
      <c r="N10" s="17">
        <v>0.10026661562608701</v>
      </c>
      <c r="O10" s="17">
        <v>3.5957659435233498E-2</v>
      </c>
    </row>
    <row r="11" spans="2:15" x14ac:dyDescent="0.3">
      <c r="B11" s="18" t="s">
        <v>233</v>
      </c>
      <c r="C11" s="17">
        <v>8.1998431929491605E-2</v>
      </c>
      <c r="D11" s="17">
        <v>8.9317418751390001E-2</v>
      </c>
      <c r="E11" s="17">
        <v>7.0720609411362503E-2</v>
      </c>
      <c r="F11" s="17"/>
      <c r="G11" s="17">
        <v>0.188305127822229</v>
      </c>
      <c r="H11" s="17">
        <v>7.2739188872735505E-2</v>
      </c>
      <c r="I11" s="17">
        <v>0</v>
      </c>
      <c r="J11" s="17">
        <v>0</v>
      </c>
      <c r="K11" s="17"/>
      <c r="L11" s="17">
        <v>6.5963726864864694E-2</v>
      </c>
      <c r="M11" s="17">
        <v>2.3607837721531799E-2</v>
      </c>
      <c r="N11" s="17">
        <v>5.58549445769961E-2</v>
      </c>
      <c r="O11" s="17">
        <v>0.165146741253382</v>
      </c>
    </row>
    <row r="12" spans="2:15" x14ac:dyDescent="0.3">
      <c r="B12" s="18" t="s">
        <v>234</v>
      </c>
      <c r="C12" s="17">
        <v>0.31756291165788098</v>
      </c>
      <c r="D12" s="17">
        <v>0.25223610748012598</v>
      </c>
      <c r="E12" s="17">
        <v>0.41937214047136601</v>
      </c>
      <c r="F12" s="17"/>
      <c r="G12" s="17">
        <v>0.30830704064624798</v>
      </c>
      <c r="H12" s="17">
        <v>0.14692856158453399</v>
      </c>
      <c r="I12" s="17">
        <v>0.40947340222853701</v>
      </c>
      <c r="J12" s="17">
        <v>0.37487687075585202</v>
      </c>
      <c r="K12" s="17"/>
      <c r="L12" s="17">
        <v>0.28677535247095998</v>
      </c>
      <c r="M12" s="17">
        <v>0.44375301024744301</v>
      </c>
      <c r="N12" s="17">
        <v>0.48068176686664599</v>
      </c>
      <c r="O12" s="17">
        <v>0.11366431353005001</v>
      </c>
    </row>
    <row r="13" spans="2:15" x14ac:dyDescent="0.3">
      <c r="B13" s="18" t="s">
        <v>235</v>
      </c>
      <c r="C13" s="17">
        <v>0.19185379406429601</v>
      </c>
      <c r="D13" s="17">
        <v>0.193321459725875</v>
      </c>
      <c r="E13" s="17">
        <v>0.19366137228185601</v>
      </c>
      <c r="F13" s="17"/>
      <c r="G13" s="17">
        <v>0.11634328839168299</v>
      </c>
      <c r="H13" s="17">
        <v>0.23077469359167099</v>
      </c>
      <c r="I13" s="17">
        <v>0.28680231113264498</v>
      </c>
      <c r="J13" s="17">
        <v>0.188376864588962</v>
      </c>
      <c r="K13" s="17"/>
      <c r="L13" s="17">
        <v>0.100210733070154</v>
      </c>
      <c r="M13" s="17">
        <v>0.19650843703110801</v>
      </c>
      <c r="N13" s="17">
        <v>0.163307395201924</v>
      </c>
      <c r="O13" s="17">
        <v>0.28587255613781698</v>
      </c>
    </row>
    <row r="14" spans="2:15" x14ac:dyDescent="0.3">
      <c r="B14" s="18" t="s">
        <v>236</v>
      </c>
      <c r="C14" s="17">
        <v>0.27763006241356702</v>
      </c>
      <c r="D14" s="17">
        <v>0.304690642964491</v>
      </c>
      <c r="E14" s="17">
        <v>0.23533987664507</v>
      </c>
      <c r="F14" s="17"/>
      <c r="G14" s="17">
        <v>0.25300079340574999</v>
      </c>
      <c r="H14" s="17">
        <v>0.39454050222634901</v>
      </c>
      <c r="I14" s="17">
        <v>0.23502937091609299</v>
      </c>
      <c r="J14" s="17">
        <v>0.26785011949371301</v>
      </c>
      <c r="K14" s="17"/>
      <c r="L14" s="17">
        <v>0.273427691869296</v>
      </c>
      <c r="M14" s="17">
        <v>0.28414798517998502</v>
      </c>
      <c r="N14" s="17">
        <v>0.161759601941874</v>
      </c>
      <c r="O14" s="17">
        <v>0.36148510620015201</v>
      </c>
    </row>
    <row r="15" spans="2:15" x14ac:dyDescent="0.3">
      <c r="B15" s="18" t="s">
        <v>237</v>
      </c>
      <c r="C15" s="17">
        <v>4.6786605076659403E-2</v>
      </c>
      <c r="D15" s="17">
        <v>5.09558775294158E-2</v>
      </c>
      <c r="E15" s="17">
        <v>4.0363940188552702E-2</v>
      </c>
      <c r="F15" s="17"/>
      <c r="G15" s="17">
        <v>0</v>
      </c>
      <c r="H15" s="17">
        <v>4.5955210467170798E-2</v>
      </c>
      <c r="I15" s="17">
        <v>0</v>
      </c>
      <c r="J15" s="17">
        <v>0.168896145161473</v>
      </c>
      <c r="K15" s="17"/>
      <c r="L15" s="17">
        <v>0.113139120500841</v>
      </c>
      <c r="M15" s="17">
        <v>0</v>
      </c>
      <c r="N15" s="17">
        <v>3.81296757864725E-2</v>
      </c>
      <c r="O15" s="17">
        <v>3.78736234433657E-2</v>
      </c>
    </row>
    <row r="16" spans="2:15" ht="28.8" x14ac:dyDescent="0.3">
      <c r="B16" s="18" t="s">
        <v>238</v>
      </c>
      <c r="C16" s="17">
        <v>0</v>
      </c>
      <c r="D16" s="17">
        <v>0</v>
      </c>
      <c r="E16" s="17">
        <v>0</v>
      </c>
      <c r="F16" s="17"/>
      <c r="G16" s="17">
        <v>0</v>
      </c>
      <c r="H16" s="17">
        <v>0</v>
      </c>
      <c r="I16" s="17">
        <v>0</v>
      </c>
      <c r="J16" s="17">
        <v>0</v>
      </c>
      <c r="K16" s="17"/>
      <c r="L16" s="17">
        <v>0</v>
      </c>
      <c r="M16" s="17">
        <v>0</v>
      </c>
      <c r="N16" s="17">
        <v>0</v>
      </c>
      <c r="O16" s="17">
        <v>0</v>
      </c>
    </row>
    <row r="17" spans="2:15" ht="28.8" x14ac:dyDescent="0.3">
      <c r="B17" s="18" t="s">
        <v>239</v>
      </c>
      <c r="C17" s="19">
        <v>0</v>
      </c>
      <c r="D17" s="19">
        <v>0</v>
      </c>
      <c r="E17" s="19">
        <v>0</v>
      </c>
      <c r="F17" s="19"/>
      <c r="G17" s="19">
        <v>0</v>
      </c>
      <c r="H17" s="19">
        <v>0</v>
      </c>
      <c r="I17" s="19">
        <v>0</v>
      </c>
      <c r="J17" s="19">
        <v>0</v>
      </c>
      <c r="K17" s="19"/>
      <c r="L17" s="19">
        <v>0</v>
      </c>
      <c r="M17" s="19">
        <v>0</v>
      </c>
      <c r="N17" s="19">
        <v>0</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T22"/>
  <sheetViews>
    <sheetView showGridLines="0" workbookViewId="0">
      <pane xSplit="2" topLeftCell="C1" activePane="topRight" state="frozen"/>
      <selection pane="topRight" activeCell="E6" sqref="E6"/>
    </sheetView>
  </sheetViews>
  <sheetFormatPr defaultColWidth="11.5546875" defaultRowHeight="14.4" x14ac:dyDescent="0.3"/>
  <cols>
    <col min="2" max="2" width="25.6640625" customWidth="1"/>
    <col min="3" max="20" width="20.6640625" customWidth="1"/>
  </cols>
  <sheetData>
    <row r="2" spans="2:20" ht="40.049999999999997" customHeight="1" x14ac:dyDescent="0.3">
      <c r="D2" s="30" t="s">
        <v>262</v>
      </c>
      <c r="E2" s="26"/>
      <c r="F2" s="26"/>
      <c r="G2" s="26"/>
      <c r="H2" s="26"/>
      <c r="I2" s="26"/>
      <c r="J2" s="26"/>
      <c r="K2" s="26"/>
      <c r="L2" s="26"/>
      <c r="M2" s="26"/>
      <c r="N2" s="26"/>
      <c r="O2" s="26"/>
      <c r="P2" s="26"/>
      <c r="Q2" s="26"/>
      <c r="R2" s="26"/>
      <c r="S2" s="26"/>
      <c r="T2" s="26"/>
    </row>
    <row r="6" spans="2:20" ht="49.95" customHeight="1" x14ac:dyDescent="0.3">
      <c r="B6" s="20" t="s">
        <v>14</v>
      </c>
      <c r="C6" s="20" t="s">
        <v>214</v>
      </c>
      <c r="D6" s="20" t="s">
        <v>215</v>
      </c>
      <c r="E6" s="20" t="s">
        <v>216</v>
      </c>
      <c r="F6" s="20" t="s">
        <v>217</v>
      </c>
      <c r="G6" s="20" t="s">
        <v>218</v>
      </c>
      <c r="H6" s="20" t="s">
        <v>219</v>
      </c>
      <c r="I6" s="20" t="s">
        <v>220</v>
      </c>
      <c r="J6" s="20" t="s">
        <v>221</v>
      </c>
      <c r="K6" s="20" t="s">
        <v>222</v>
      </c>
      <c r="L6" s="20" t="s">
        <v>223</v>
      </c>
      <c r="M6" s="20" t="s">
        <v>224</v>
      </c>
      <c r="N6" s="20" t="s">
        <v>225</v>
      </c>
      <c r="O6" s="20" t="s">
        <v>226</v>
      </c>
      <c r="P6" s="20" t="s">
        <v>227</v>
      </c>
      <c r="Q6" s="20" t="s">
        <v>228</v>
      </c>
      <c r="R6" s="20" t="s">
        <v>229</v>
      </c>
      <c r="S6" s="20" t="s">
        <v>230</v>
      </c>
    </row>
    <row r="7" spans="2:20" x14ac:dyDescent="0.3">
      <c r="B7" s="18" t="s">
        <v>231</v>
      </c>
      <c r="C7" s="17">
        <v>5.4429245153905601E-3</v>
      </c>
      <c r="D7" s="17">
        <v>3.4136248124166199E-2</v>
      </c>
      <c r="E7" s="17">
        <v>2.15435070485623E-2</v>
      </c>
      <c r="F7" s="17">
        <v>0</v>
      </c>
      <c r="G7" s="17">
        <v>2.3685515674704598E-2</v>
      </c>
      <c r="H7" s="17">
        <v>2.15743709926828E-2</v>
      </c>
      <c r="I7" s="17">
        <v>0</v>
      </c>
      <c r="J7" s="17">
        <v>1.9587687069497501E-2</v>
      </c>
      <c r="K7" s="17">
        <v>0</v>
      </c>
      <c r="L7" s="17">
        <v>7.2700362692605701E-3</v>
      </c>
      <c r="M7" s="17">
        <v>0</v>
      </c>
      <c r="N7" s="17">
        <v>0</v>
      </c>
      <c r="O7" s="17">
        <v>2.1243432267368301E-2</v>
      </c>
      <c r="P7" s="17">
        <v>0</v>
      </c>
      <c r="Q7" s="17">
        <v>5.4252428113598303E-2</v>
      </c>
      <c r="R7" s="17">
        <v>7.6828013471336902E-3</v>
      </c>
      <c r="S7" s="17">
        <v>2.3440939828466401E-2</v>
      </c>
    </row>
    <row r="8" spans="2:20" x14ac:dyDescent="0.3">
      <c r="B8" s="18" t="s">
        <v>232</v>
      </c>
      <c r="C8" s="17">
        <v>9.5488803996292906E-2</v>
      </c>
      <c r="D8" s="17">
        <v>0.10194739624394</v>
      </c>
      <c r="E8" s="17">
        <v>0.13812747569444001</v>
      </c>
      <c r="F8" s="17">
        <v>7.4908693293379805E-2</v>
      </c>
      <c r="G8" s="17">
        <v>7.6483738113781397E-2</v>
      </c>
      <c r="H8" s="17">
        <v>6.0899036625462498E-2</v>
      </c>
      <c r="I8" s="17">
        <v>7.8611413891014698E-2</v>
      </c>
      <c r="J8" s="17">
        <v>2.1345160837675799E-2</v>
      </c>
      <c r="K8" s="17">
        <v>5.9354665947579502E-2</v>
      </c>
      <c r="L8" s="17">
        <v>5.6029925947829101E-2</v>
      </c>
      <c r="M8" s="17">
        <v>3.9702259219089001E-2</v>
      </c>
      <c r="N8" s="17">
        <v>3.2385109057029501E-2</v>
      </c>
      <c r="O8" s="17">
        <v>1.5778178618781499E-2</v>
      </c>
      <c r="P8" s="17">
        <v>0.51320184218776199</v>
      </c>
      <c r="Q8" s="17">
        <v>0.248234600720311</v>
      </c>
      <c r="R8" s="17">
        <v>4.2571893724788902E-2</v>
      </c>
      <c r="S8" s="17">
        <v>6.6018952143957005E-2</v>
      </c>
    </row>
    <row r="9" spans="2:20" x14ac:dyDescent="0.3">
      <c r="B9" s="18" t="s">
        <v>233</v>
      </c>
      <c r="C9" s="17">
        <v>9.9089557883782001E-2</v>
      </c>
      <c r="D9" s="17">
        <v>0.10421923461456201</v>
      </c>
      <c r="E9" s="17">
        <v>0.147010014277492</v>
      </c>
      <c r="F9" s="17">
        <v>0.152362518521891</v>
      </c>
      <c r="G9" s="17">
        <v>0.18688846191818301</v>
      </c>
      <c r="H9" s="17">
        <v>0.17460791560708</v>
      </c>
      <c r="I9" s="17">
        <v>7.2709081433185302E-2</v>
      </c>
      <c r="J9" s="17">
        <v>4.5286931824524201E-2</v>
      </c>
      <c r="K9" s="17">
        <v>9.6675116009928494E-2</v>
      </c>
      <c r="L9" s="17">
        <v>0.112732437204054</v>
      </c>
      <c r="M9" s="17">
        <v>0.19653886437159801</v>
      </c>
      <c r="N9" s="17">
        <v>0.216432377209549</v>
      </c>
      <c r="O9" s="17">
        <v>7.6322018957736298E-2</v>
      </c>
      <c r="P9" s="17">
        <v>0</v>
      </c>
      <c r="Q9" s="17">
        <v>0</v>
      </c>
      <c r="R9" s="17">
        <v>7.3066487560085394E-2</v>
      </c>
      <c r="S9" s="17">
        <v>5.0133949352536199E-2</v>
      </c>
    </row>
    <row r="10" spans="2:20" x14ac:dyDescent="0.3">
      <c r="B10" s="18" t="s">
        <v>234</v>
      </c>
      <c r="C10" s="17">
        <v>0.22229468110652001</v>
      </c>
      <c r="D10" s="17">
        <v>0.104973917276979</v>
      </c>
      <c r="E10" s="17">
        <v>6.4142268876762304E-2</v>
      </c>
      <c r="F10" s="17">
        <v>0.14745782208282801</v>
      </c>
      <c r="G10" s="17">
        <v>0.26176501469361901</v>
      </c>
      <c r="H10" s="17">
        <v>0.116402632500894</v>
      </c>
      <c r="I10" s="17">
        <v>0.206918463402364</v>
      </c>
      <c r="J10" s="17">
        <v>8.4204748715687103E-2</v>
      </c>
      <c r="K10" s="17">
        <v>0.12229880511171801</v>
      </c>
      <c r="L10" s="17">
        <v>0.240105064655873</v>
      </c>
      <c r="M10" s="17">
        <v>0.21012998180064499</v>
      </c>
      <c r="N10" s="17">
        <v>0.21959917007990201</v>
      </c>
      <c r="O10" s="17">
        <v>0.186725139320397</v>
      </c>
      <c r="P10" s="17">
        <v>0.48679815781223801</v>
      </c>
      <c r="Q10" s="17">
        <v>0.100326076089226</v>
      </c>
      <c r="R10" s="17">
        <v>0.11987816828407</v>
      </c>
      <c r="S10" s="17">
        <v>0.14838008321146201</v>
      </c>
    </row>
    <row r="11" spans="2:20" x14ac:dyDescent="0.3">
      <c r="B11" s="18" t="s">
        <v>235</v>
      </c>
      <c r="C11" s="17">
        <v>0.11997633598566</v>
      </c>
      <c r="D11" s="17">
        <v>9.9944354285780301E-2</v>
      </c>
      <c r="E11" s="17">
        <v>0.32495963726523103</v>
      </c>
      <c r="F11" s="17">
        <v>0.17368665297133301</v>
      </c>
      <c r="G11" s="17">
        <v>0.202891706632086</v>
      </c>
      <c r="H11" s="17">
        <v>0.13456767144425499</v>
      </c>
      <c r="I11" s="17">
        <v>0.28702718776442299</v>
      </c>
      <c r="J11" s="17">
        <v>0.100783896785615</v>
      </c>
      <c r="K11" s="17">
        <v>8.8474639350924797E-2</v>
      </c>
      <c r="L11" s="17">
        <v>0.124867040057585</v>
      </c>
      <c r="M11" s="17">
        <v>0.175252448183911</v>
      </c>
      <c r="N11" s="17">
        <v>0.15357250445783299</v>
      </c>
      <c r="O11" s="17">
        <v>8.9316672231674804E-2</v>
      </c>
      <c r="P11" s="17">
        <v>0</v>
      </c>
      <c r="Q11" s="17">
        <v>0.32790104793754699</v>
      </c>
      <c r="R11" s="17">
        <v>6.7725470335497598E-2</v>
      </c>
      <c r="S11" s="17">
        <v>0.14197414542796</v>
      </c>
    </row>
    <row r="12" spans="2:20" x14ac:dyDescent="0.3">
      <c r="B12" s="18" t="s">
        <v>236</v>
      </c>
      <c r="C12" s="17">
        <v>0.30310641568996699</v>
      </c>
      <c r="D12" s="17">
        <v>0.16112941911118001</v>
      </c>
      <c r="E12" s="17">
        <v>0.28033634224806703</v>
      </c>
      <c r="F12" s="17">
        <v>0.29510150063394203</v>
      </c>
      <c r="G12" s="17">
        <v>0.20078197487437199</v>
      </c>
      <c r="H12" s="17">
        <v>9.2470013508117899E-2</v>
      </c>
      <c r="I12" s="17">
        <v>0.22354986062007201</v>
      </c>
      <c r="J12" s="17">
        <v>0.14330714065326</v>
      </c>
      <c r="K12" s="17">
        <v>0.20814236710532599</v>
      </c>
      <c r="L12" s="17">
        <v>0.28027537663461599</v>
      </c>
      <c r="M12" s="17">
        <v>0</v>
      </c>
      <c r="N12" s="17">
        <v>7.9140106205498495E-2</v>
      </c>
      <c r="O12" s="17">
        <v>0.24683969085613799</v>
      </c>
      <c r="P12" s="17">
        <v>0</v>
      </c>
      <c r="Q12" s="17">
        <v>0.191216132871005</v>
      </c>
      <c r="R12" s="17">
        <v>0.109150607146151</v>
      </c>
      <c r="S12" s="17">
        <v>0.15451437777615501</v>
      </c>
    </row>
    <row r="13" spans="2:20" x14ac:dyDescent="0.3">
      <c r="B13" s="18" t="s">
        <v>237</v>
      </c>
      <c r="C13" s="17">
        <v>7.1139228733895193E-2</v>
      </c>
      <c r="D13" s="17">
        <v>5.1703775500097998E-2</v>
      </c>
      <c r="E13" s="17">
        <v>2.38807545894455E-2</v>
      </c>
      <c r="F13" s="17">
        <v>6.6525074709210597E-2</v>
      </c>
      <c r="G13" s="17">
        <v>9.9162832588841395E-3</v>
      </c>
      <c r="H13" s="17">
        <v>2.8592681631326E-2</v>
      </c>
      <c r="I13" s="17">
        <v>0</v>
      </c>
      <c r="J13" s="17">
        <v>9.1434161485821494E-2</v>
      </c>
      <c r="K13" s="17">
        <v>3.7495408002561001E-2</v>
      </c>
      <c r="L13" s="17">
        <v>7.3754993480811604E-2</v>
      </c>
      <c r="M13" s="17">
        <v>0.11582335875293701</v>
      </c>
      <c r="N13" s="17">
        <v>3.6927241405447397E-2</v>
      </c>
      <c r="O13" s="17">
        <v>6.0572553722867503E-2</v>
      </c>
      <c r="P13" s="17">
        <v>0</v>
      </c>
      <c r="Q13" s="17">
        <v>7.8069714268311802E-2</v>
      </c>
      <c r="R13" s="17">
        <v>2.8424001433818302E-2</v>
      </c>
      <c r="S13" s="17">
        <v>0</v>
      </c>
    </row>
    <row r="14" spans="2:20" ht="28.8" x14ac:dyDescent="0.3">
      <c r="B14" s="18" t="s">
        <v>238</v>
      </c>
      <c r="C14" s="17">
        <v>6.8664409459813905E-2</v>
      </c>
      <c r="D14" s="17">
        <v>0.129799208642285</v>
      </c>
      <c r="E14" s="17">
        <v>0</v>
      </c>
      <c r="F14" s="17">
        <v>4.8085493959457402E-2</v>
      </c>
      <c r="G14" s="17">
        <v>1.54440687983357E-2</v>
      </c>
      <c r="H14" s="17">
        <v>0.104998234464832</v>
      </c>
      <c r="I14" s="17">
        <v>6.0449365995586098E-2</v>
      </c>
      <c r="J14" s="17">
        <v>0.16035435604557999</v>
      </c>
      <c r="K14" s="17">
        <v>0.18936510899487799</v>
      </c>
      <c r="L14" s="17">
        <v>5.89564322398171E-2</v>
      </c>
      <c r="M14" s="17">
        <v>0.196522364346565</v>
      </c>
      <c r="N14" s="17">
        <v>0.12955283756083599</v>
      </c>
      <c r="O14" s="17">
        <v>9.4669337294683104E-2</v>
      </c>
      <c r="P14" s="17">
        <v>0</v>
      </c>
      <c r="Q14" s="17">
        <v>0</v>
      </c>
      <c r="R14" s="17">
        <v>3.10195060128764E-2</v>
      </c>
      <c r="S14" s="17">
        <v>0.119072747155322</v>
      </c>
    </row>
    <row r="15" spans="2:20" ht="28.8" x14ac:dyDescent="0.3">
      <c r="B15" s="18" t="s">
        <v>261</v>
      </c>
      <c r="C15" s="17">
        <v>1.47976426286786E-2</v>
      </c>
      <c r="D15" s="17">
        <v>0.212146446201009</v>
      </c>
      <c r="E15" s="17">
        <v>0</v>
      </c>
      <c r="F15" s="17">
        <v>4.1872243827957699E-2</v>
      </c>
      <c r="G15" s="17">
        <v>2.2143236036033999E-2</v>
      </c>
      <c r="H15" s="17">
        <v>0.26588744322534902</v>
      </c>
      <c r="I15" s="17">
        <v>7.0734626893354802E-2</v>
      </c>
      <c r="J15" s="17">
        <v>0.33369591658233899</v>
      </c>
      <c r="K15" s="17">
        <v>0.198193889477084</v>
      </c>
      <c r="L15" s="17">
        <v>4.6008693510153201E-2</v>
      </c>
      <c r="M15" s="17">
        <v>6.6030723325254906E-2</v>
      </c>
      <c r="N15" s="17">
        <v>0.13239065402390399</v>
      </c>
      <c r="O15" s="17">
        <v>0.20853297673035401</v>
      </c>
      <c r="P15" s="17">
        <v>0</v>
      </c>
      <c r="Q15" s="17">
        <v>0</v>
      </c>
      <c r="R15" s="17">
        <v>0.52048106415557804</v>
      </c>
      <c r="S15" s="17">
        <v>0.29646480510414203</v>
      </c>
    </row>
    <row r="16" spans="2:20" x14ac:dyDescent="0.3">
      <c r="B16" s="16" t="s">
        <v>241</v>
      </c>
      <c r="C16" s="16"/>
      <c r="D16" s="16"/>
      <c r="E16" s="16"/>
      <c r="F16" s="16"/>
      <c r="G16" s="16"/>
      <c r="H16" s="16"/>
      <c r="I16" s="16"/>
      <c r="J16" s="16"/>
      <c r="K16" s="16"/>
      <c r="L16" s="16"/>
      <c r="M16" s="16"/>
      <c r="N16" s="16"/>
      <c r="O16" s="16"/>
      <c r="P16" s="16"/>
      <c r="Q16" s="16"/>
      <c r="R16" s="16"/>
      <c r="S16" s="16"/>
    </row>
    <row r="17" spans="2:2" x14ac:dyDescent="0.3">
      <c r="B17" t="s">
        <v>47</v>
      </c>
    </row>
    <row r="18" spans="2:2" x14ac:dyDescent="0.3">
      <c r="B18" t="s">
        <v>48</v>
      </c>
    </row>
    <row r="22" spans="2:2" x14ac:dyDescent="0.3">
      <c r="B22" s="8" t="str">
        <f>HYPERLINK("#'Contents'!A1", "Return to Contents")</f>
        <v>Return to Contents</v>
      </c>
    </row>
  </sheetData>
  <mergeCells count="1">
    <mergeCell ref="D2:T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263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122</v>
      </c>
      <c r="D7" s="10">
        <v>52</v>
      </c>
      <c r="E7" s="10">
        <v>70</v>
      </c>
      <c r="F7" s="10"/>
      <c r="G7" s="10">
        <v>56</v>
      </c>
      <c r="H7" s="10">
        <v>25</v>
      </c>
      <c r="I7" s="10">
        <v>19</v>
      </c>
      <c r="J7" s="10">
        <v>21</v>
      </c>
      <c r="K7" s="10"/>
      <c r="L7" s="10">
        <v>23</v>
      </c>
      <c r="M7" s="10">
        <v>31</v>
      </c>
      <c r="N7" s="10">
        <v>41</v>
      </c>
      <c r="O7" s="10">
        <v>27</v>
      </c>
    </row>
    <row r="8" spans="2:15" ht="30" customHeight="1" x14ac:dyDescent="0.3">
      <c r="B8" s="11" t="s">
        <v>19</v>
      </c>
      <c r="C8" s="11">
        <v>117</v>
      </c>
      <c r="D8" s="11">
        <v>45</v>
      </c>
      <c r="E8" s="11">
        <v>72</v>
      </c>
      <c r="F8" s="11"/>
      <c r="G8" s="11">
        <v>41</v>
      </c>
      <c r="H8" s="11">
        <v>25</v>
      </c>
      <c r="I8" s="11">
        <v>23</v>
      </c>
      <c r="J8" s="11">
        <v>26</v>
      </c>
      <c r="K8" s="11"/>
      <c r="L8" s="11">
        <v>26</v>
      </c>
      <c r="M8" s="11">
        <v>27</v>
      </c>
      <c r="N8" s="11">
        <v>32</v>
      </c>
      <c r="O8" s="11">
        <v>31</v>
      </c>
    </row>
    <row r="9" spans="2:15" x14ac:dyDescent="0.3">
      <c r="B9" s="18" t="s">
        <v>231</v>
      </c>
      <c r="C9" s="17">
        <v>5.4429245153905601E-3</v>
      </c>
      <c r="D9" s="17">
        <v>0</v>
      </c>
      <c r="E9" s="17">
        <v>8.8595522119244204E-3</v>
      </c>
      <c r="F9" s="17"/>
      <c r="G9" s="17">
        <v>1.5383886321379501E-2</v>
      </c>
      <c r="H9" s="17">
        <v>0</v>
      </c>
      <c r="I9" s="17">
        <v>0</v>
      </c>
      <c r="J9" s="17">
        <v>0</v>
      </c>
      <c r="K9" s="17"/>
      <c r="L9" s="17">
        <v>0</v>
      </c>
      <c r="M9" s="17">
        <v>0</v>
      </c>
      <c r="N9" s="17">
        <v>1.9821856444490998E-2</v>
      </c>
      <c r="O9" s="17">
        <v>0</v>
      </c>
    </row>
    <row r="10" spans="2:15" x14ac:dyDescent="0.3">
      <c r="B10" s="18" t="s">
        <v>232</v>
      </c>
      <c r="C10" s="17">
        <v>9.5488803996292906E-2</v>
      </c>
      <c r="D10" s="17">
        <v>0.11835976131385</v>
      </c>
      <c r="E10" s="17">
        <v>8.1132267175608994E-2</v>
      </c>
      <c r="F10" s="17"/>
      <c r="G10" s="17">
        <v>0.15180350371832399</v>
      </c>
      <c r="H10" s="17">
        <v>7.6874522294205105E-2</v>
      </c>
      <c r="I10" s="17">
        <v>4.4275563642038301E-2</v>
      </c>
      <c r="J10" s="17">
        <v>3.5290019623323697E-2</v>
      </c>
      <c r="K10" s="17"/>
      <c r="L10" s="17">
        <v>7.8740213472570098E-2</v>
      </c>
      <c r="M10" s="17">
        <v>0.150322023553837</v>
      </c>
      <c r="N10" s="17">
        <v>0.12639333269597</v>
      </c>
      <c r="O10" s="17">
        <v>3.0047315271952899E-2</v>
      </c>
    </row>
    <row r="11" spans="2:15" x14ac:dyDescent="0.3">
      <c r="B11" s="18" t="s">
        <v>233</v>
      </c>
      <c r="C11" s="17">
        <v>9.9089557883782001E-2</v>
      </c>
      <c r="D11" s="17">
        <v>0.120758028838734</v>
      </c>
      <c r="E11" s="17">
        <v>8.5487844724451797E-2</v>
      </c>
      <c r="F11" s="17"/>
      <c r="G11" s="17">
        <v>0.102297629886582</v>
      </c>
      <c r="H11" s="17">
        <v>0.123004073150921</v>
      </c>
      <c r="I11" s="17">
        <v>6.8500825891267103E-2</v>
      </c>
      <c r="J11" s="17">
        <v>0.102098439363888</v>
      </c>
      <c r="K11" s="17"/>
      <c r="L11" s="17">
        <v>0.13674406042499901</v>
      </c>
      <c r="M11" s="17">
        <v>0.17782805047190001</v>
      </c>
      <c r="N11" s="17">
        <v>6.3922603247524801E-2</v>
      </c>
      <c r="O11" s="17">
        <v>3.5628029766859998E-2</v>
      </c>
    </row>
    <row r="12" spans="2:15" x14ac:dyDescent="0.3">
      <c r="B12" s="18" t="s">
        <v>234</v>
      </c>
      <c r="C12" s="17">
        <v>0.22229468110652001</v>
      </c>
      <c r="D12" s="17">
        <v>0.160325713424363</v>
      </c>
      <c r="E12" s="17">
        <v>0.261193785936982</v>
      </c>
      <c r="F12" s="17"/>
      <c r="G12" s="17">
        <v>0.26130051234676599</v>
      </c>
      <c r="H12" s="17">
        <v>4.0565586460825698E-2</v>
      </c>
      <c r="I12" s="17">
        <v>0.25862416458175602</v>
      </c>
      <c r="J12" s="17">
        <v>0.31068190235921</v>
      </c>
      <c r="K12" s="17"/>
      <c r="L12" s="17">
        <v>0.28732536871467002</v>
      </c>
      <c r="M12" s="17">
        <v>0.12044428130830701</v>
      </c>
      <c r="N12" s="17">
        <v>0.29145084379084102</v>
      </c>
      <c r="O12" s="17">
        <v>0.18748379379729199</v>
      </c>
    </row>
    <row r="13" spans="2:15" x14ac:dyDescent="0.3">
      <c r="B13" s="18" t="s">
        <v>235</v>
      </c>
      <c r="C13" s="17">
        <v>0.11997633598566</v>
      </c>
      <c r="D13" s="17">
        <v>0.13422759430464201</v>
      </c>
      <c r="E13" s="17">
        <v>0.111030548891716</v>
      </c>
      <c r="F13" s="17"/>
      <c r="G13" s="17">
        <v>0.13444843552596</v>
      </c>
      <c r="H13" s="17">
        <v>0.12842173981089899</v>
      </c>
      <c r="I13" s="17">
        <v>0.103835500808312</v>
      </c>
      <c r="J13" s="17">
        <v>0.10798505763666</v>
      </c>
      <c r="K13" s="17"/>
      <c r="L13" s="17">
        <v>0.115889473480195</v>
      </c>
      <c r="M13" s="17">
        <v>6.0034355650908901E-2</v>
      </c>
      <c r="N13" s="17">
        <v>7.0185663418800406E-2</v>
      </c>
      <c r="O13" s="17">
        <v>0.22607005411365</v>
      </c>
    </row>
    <row r="14" spans="2:15" x14ac:dyDescent="0.3">
      <c r="B14" s="18" t="s">
        <v>236</v>
      </c>
      <c r="C14" s="17">
        <v>0.30310641568996699</v>
      </c>
      <c r="D14" s="17">
        <v>0.27317656054909301</v>
      </c>
      <c r="E14" s="17">
        <v>0.32189395752311301</v>
      </c>
      <c r="F14" s="17"/>
      <c r="G14" s="17">
        <v>0.25374821781003398</v>
      </c>
      <c r="H14" s="17">
        <v>0.30225886525877799</v>
      </c>
      <c r="I14" s="17">
        <v>0.35998786750398198</v>
      </c>
      <c r="J14" s="17">
        <v>0.34290529046297202</v>
      </c>
      <c r="K14" s="17"/>
      <c r="L14" s="17">
        <v>0.169411989619486</v>
      </c>
      <c r="M14" s="17">
        <v>0.30001316534390099</v>
      </c>
      <c r="N14" s="17">
        <v>0.30675641853518099</v>
      </c>
      <c r="O14" s="17">
        <v>0.41121229954555799</v>
      </c>
    </row>
    <row r="15" spans="2:15" x14ac:dyDescent="0.3">
      <c r="B15" s="18" t="s">
        <v>237</v>
      </c>
      <c r="C15" s="17">
        <v>7.1139228733895193E-2</v>
      </c>
      <c r="D15" s="17">
        <v>5.9850113613874302E-2</v>
      </c>
      <c r="E15" s="17">
        <v>7.8225621954921706E-2</v>
      </c>
      <c r="F15" s="17"/>
      <c r="G15" s="17">
        <v>3.51017307429786E-2</v>
      </c>
      <c r="H15" s="17">
        <v>0.234584666436502</v>
      </c>
      <c r="I15" s="17">
        <v>0</v>
      </c>
      <c r="J15" s="17">
        <v>3.7629444790305E-2</v>
      </c>
      <c r="K15" s="17"/>
      <c r="L15" s="17">
        <v>4.2405853413250101E-2</v>
      </c>
      <c r="M15" s="17">
        <v>0.16154334710788701</v>
      </c>
      <c r="N15" s="17">
        <v>5.2683167295176601E-2</v>
      </c>
      <c r="O15" s="17">
        <v>3.4729480097822903E-2</v>
      </c>
    </row>
    <row r="16" spans="2:15" ht="28.8" x14ac:dyDescent="0.3">
      <c r="B16" s="18" t="s">
        <v>238</v>
      </c>
      <c r="C16" s="17">
        <v>6.8664409459813905E-2</v>
      </c>
      <c r="D16" s="17">
        <v>0.121987554990396</v>
      </c>
      <c r="E16" s="17">
        <v>3.5192452358270503E-2</v>
      </c>
      <c r="F16" s="17"/>
      <c r="G16" s="17">
        <v>3.3583284982128203E-2</v>
      </c>
      <c r="H16" s="17">
        <v>4.5607469306276897E-2</v>
      </c>
      <c r="I16" s="17">
        <v>0.16477607757264501</v>
      </c>
      <c r="J16" s="17">
        <v>6.3409845763641101E-2</v>
      </c>
      <c r="K16" s="17"/>
      <c r="L16" s="17">
        <v>0.16948304087482999</v>
      </c>
      <c r="M16" s="17">
        <v>2.98147765632585E-2</v>
      </c>
      <c r="N16" s="17">
        <v>5.2895528824932703E-2</v>
      </c>
      <c r="O16" s="17">
        <v>3.6194111649323901E-2</v>
      </c>
    </row>
    <row r="17" spans="2:15" ht="28.8" x14ac:dyDescent="0.3">
      <c r="B17" s="18" t="s">
        <v>261</v>
      </c>
      <c r="C17" s="19">
        <v>1.47976426286786E-2</v>
      </c>
      <c r="D17" s="19">
        <v>1.13146729650476E-2</v>
      </c>
      <c r="E17" s="19">
        <v>1.6983969223012301E-2</v>
      </c>
      <c r="F17" s="19"/>
      <c r="G17" s="19">
        <v>1.23327986658481E-2</v>
      </c>
      <c r="H17" s="19">
        <v>4.8683077281592602E-2</v>
      </c>
      <c r="I17" s="19">
        <v>0</v>
      </c>
      <c r="J17" s="19">
        <v>0</v>
      </c>
      <c r="K17" s="19"/>
      <c r="L17" s="19">
        <v>0</v>
      </c>
      <c r="M17" s="19">
        <v>0</v>
      </c>
      <c r="N17" s="19">
        <v>1.5890585747082499E-2</v>
      </c>
      <c r="O17" s="19">
        <v>3.8634915757540599E-2</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264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335</v>
      </c>
      <c r="D7" s="10">
        <v>196</v>
      </c>
      <c r="E7" s="10">
        <v>138</v>
      </c>
      <c r="F7" s="10"/>
      <c r="G7" s="10">
        <v>134</v>
      </c>
      <c r="H7" s="10">
        <v>85</v>
      </c>
      <c r="I7" s="10">
        <v>52</v>
      </c>
      <c r="J7" s="10">
        <v>64</v>
      </c>
      <c r="K7" s="10"/>
      <c r="L7" s="10">
        <v>64</v>
      </c>
      <c r="M7" s="10">
        <v>97</v>
      </c>
      <c r="N7" s="10">
        <v>107</v>
      </c>
      <c r="O7" s="10">
        <v>67</v>
      </c>
    </row>
    <row r="8" spans="2:15" ht="30" customHeight="1" x14ac:dyDescent="0.3">
      <c r="B8" s="11" t="s">
        <v>19</v>
      </c>
      <c r="C8" s="11">
        <v>325</v>
      </c>
      <c r="D8" s="11">
        <v>186</v>
      </c>
      <c r="E8" s="11">
        <v>138</v>
      </c>
      <c r="F8" s="11"/>
      <c r="G8" s="11">
        <v>103</v>
      </c>
      <c r="H8" s="11">
        <v>82</v>
      </c>
      <c r="I8" s="11">
        <v>63</v>
      </c>
      <c r="J8" s="11">
        <v>77</v>
      </c>
      <c r="K8" s="11"/>
      <c r="L8" s="11">
        <v>71</v>
      </c>
      <c r="M8" s="11">
        <v>90</v>
      </c>
      <c r="N8" s="11">
        <v>89</v>
      </c>
      <c r="O8" s="11">
        <v>76</v>
      </c>
    </row>
    <row r="9" spans="2:15" x14ac:dyDescent="0.3">
      <c r="B9" s="18" t="s">
        <v>231</v>
      </c>
      <c r="C9" s="17">
        <v>3.4136248124166199E-2</v>
      </c>
      <c r="D9" s="17">
        <v>4.2645599697676298E-2</v>
      </c>
      <c r="E9" s="17">
        <v>2.2872934280090899E-2</v>
      </c>
      <c r="F9" s="17"/>
      <c r="G9" s="17">
        <v>3.2064435098442097E-2</v>
      </c>
      <c r="H9" s="17">
        <v>3.2970138182914499E-2</v>
      </c>
      <c r="I9" s="17">
        <v>4.0096920085227299E-2</v>
      </c>
      <c r="J9" s="17">
        <v>3.3246509823217099E-2</v>
      </c>
      <c r="K9" s="17"/>
      <c r="L9" s="17">
        <v>4.3222015102474101E-2</v>
      </c>
      <c r="M9" s="17">
        <v>3.4143879276213901E-2</v>
      </c>
      <c r="N9" s="17">
        <v>4.46068717871521E-2</v>
      </c>
      <c r="O9" s="17">
        <v>1.3445150439723301E-2</v>
      </c>
    </row>
    <row r="10" spans="2:15" x14ac:dyDescent="0.3">
      <c r="B10" s="18" t="s">
        <v>232</v>
      </c>
      <c r="C10" s="17">
        <v>0.10194739624394</v>
      </c>
      <c r="D10" s="17">
        <v>7.7466050716376994E-2</v>
      </c>
      <c r="E10" s="17">
        <v>0.13551660878328201</v>
      </c>
      <c r="F10" s="17"/>
      <c r="G10" s="17">
        <v>0.109327288248731</v>
      </c>
      <c r="H10" s="17">
        <v>6.1331050275512097E-2</v>
      </c>
      <c r="I10" s="17">
        <v>5.93525382260848E-2</v>
      </c>
      <c r="J10" s="17">
        <v>0.170415187159902</v>
      </c>
      <c r="K10" s="17"/>
      <c r="L10" s="17">
        <v>5.8206509121601302E-2</v>
      </c>
      <c r="M10" s="17">
        <v>0.118753185174428</v>
      </c>
      <c r="N10" s="17">
        <v>9.7710806794031504E-2</v>
      </c>
      <c r="O10" s="17">
        <v>0.12778710437697</v>
      </c>
    </row>
    <row r="11" spans="2:15" x14ac:dyDescent="0.3">
      <c r="B11" s="18" t="s">
        <v>233</v>
      </c>
      <c r="C11" s="17">
        <v>0.10421923461456201</v>
      </c>
      <c r="D11" s="17">
        <v>7.5574065224182696E-2</v>
      </c>
      <c r="E11" s="17">
        <v>0.14341026941747301</v>
      </c>
      <c r="F11" s="17"/>
      <c r="G11" s="17">
        <v>0.146348860057779</v>
      </c>
      <c r="H11" s="17">
        <v>0.116845881486147</v>
      </c>
      <c r="I11" s="17">
        <v>8.5436640746890002E-2</v>
      </c>
      <c r="J11" s="17">
        <v>5.0151713487022798E-2</v>
      </c>
      <c r="K11" s="17"/>
      <c r="L11" s="17">
        <v>0.15546482768369299</v>
      </c>
      <c r="M11" s="17">
        <v>4.2049340124052897E-2</v>
      </c>
      <c r="N11" s="17">
        <v>0.145636692450578</v>
      </c>
      <c r="O11" s="17">
        <v>8.1316053400362895E-2</v>
      </c>
    </row>
    <row r="12" spans="2:15" x14ac:dyDescent="0.3">
      <c r="B12" s="18" t="s">
        <v>234</v>
      </c>
      <c r="C12" s="17">
        <v>0.104973917276979</v>
      </c>
      <c r="D12" s="17">
        <v>8.4350645344516903E-2</v>
      </c>
      <c r="E12" s="17">
        <v>0.127544868920481</v>
      </c>
      <c r="F12" s="17"/>
      <c r="G12" s="17">
        <v>0.19819383643031899</v>
      </c>
      <c r="H12" s="17">
        <v>6.2250300658584203E-2</v>
      </c>
      <c r="I12" s="17">
        <v>5.8217210139867102E-2</v>
      </c>
      <c r="J12" s="17">
        <v>6.5014619025259707E-2</v>
      </c>
      <c r="K12" s="17"/>
      <c r="L12" s="17">
        <v>0.12541986753824699</v>
      </c>
      <c r="M12" s="17">
        <v>0.12907439691403499</v>
      </c>
      <c r="N12" s="17">
        <v>5.2091141018961902E-2</v>
      </c>
      <c r="O12" s="17">
        <v>0.119420578251742</v>
      </c>
    </row>
    <row r="13" spans="2:15" x14ac:dyDescent="0.3">
      <c r="B13" s="18" t="s">
        <v>235</v>
      </c>
      <c r="C13" s="17">
        <v>9.9944354285780301E-2</v>
      </c>
      <c r="D13" s="17">
        <v>9.1605616927267403E-2</v>
      </c>
      <c r="E13" s="17">
        <v>0.11175808349313</v>
      </c>
      <c r="F13" s="17"/>
      <c r="G13" s="17">
        <v>6.6757622487917001E-2</v>
      </c>
      <c r="H13" s="17">
        <v>0.12603122041114101</v>
      </c>
      <c r="I13" s="17">
        <v>0.14385194509650201</v>
      </c>
      <c r="J13" s="17">
        <v>8.0206142389918703E-2</v>
      </c>
      <c r="K13" s="17"/>
      <c r="L13" s="17">
        <v>8.1257549165903206E-2</v>
      </c>
      <c r="M13" s="17">
        <v>9.9255552634325298E-2</v>
      </c>
      <c r="N13" s="17">
        <v>7.57329660245986E-2</v>
      </c>
      <c r="O13" s="17">
        <v>0.14641954099195101</v>
      </c>
    </row>
    <row r="14" spans="2:15" x14ac:dyDescent="0.3">
      <c r="B14" s="18" t="s">
        <v>236</v>
      </c>
      <c r="C14" s="17">
        <v>0.16112941911118001</v>
      </c>
      <c r="D14" s="17">
        <v>0.14283629011496601</v>
      </c>
      <c r="E14" s="17">
        <v>0.18670759263178699</v>
      </c>
      <c r="F14" s="17"/>
      <c r="G14" s="17">
        <v>0.138261963314078</v>
      </c>
      <c r="H14" s="17">
        <v>0.22343543593745199</v>
      </c>
      <c r="I14" s="17">
        <v>0.116294186058033</v>
      </c>
      <c r="J14" s="17">
        <v>0.16179237152374301</v>
      </c>
      <c r="K14" s="17"/>
      <c r="L14" s="17">
        <v>0.215880815168772</v>
      </c>
      <c r="M14" s="17">
        <v>0.13371823859905399</v>
      </c>
      <c r="N14" s="17">
        <v>0.115863729425349</v>
      </c>
      <c r="O14" s="17">
        <v>0.195382690991625</v>
      </c>
    </row>
    <row r="15" spans="2:15" x14ac:dyDescent="0.3">
      <c r="B15" s="18" t="s">
        <v>237</v>
      </c>
      <c r="C15" s="17">
        <v>5.1703775500097998E-2</v>
      </c>
      <c r="D15" s="17">
        <v>4.9786337758603798E-2</v>
      </c>
      <c r="E15" s="17">
        <v>5.4587402572597102E-2</v>
      </c>
      <c r="F15" s="17"/>
      <c r="G15" s="17">
        <v>6.8471933309196403E-2</v>
      </c>
      <c r="H15" s="17">
        <v>7.8632666922949707E-2</v>
      </c>
      <c r="I15" s="17">
        <v>3.89483391667391E-2</v>
      </c>
      <c r="J15" s="17">
        <v>1.1137454862459E-2</v>
      </c>
      <c r="K15" s="17"/>
      <c r="L15" s="17">
        <v>1.3745132865398101E-2</v>
      </c>
      <c r="M15" s="17">
        <v>5.5357941793048503E-2</v>
      </c>
      <c r="N15" s="17">
        <v>7.6679725164756601E-2</v>
      </c>
      <c r="O15" s="17">
        <v>5.3499994257846697E-2</v>
      </c>
    </row>
    <row r="16" spans="2:15" ht="28.8" x14ac:dyDescent="0.3">
      <c r="B16" s="18" t="s">
        <v>238</v>
      </c>
      <c r="C16" s="17">
        <v>0.129799208642285</v>
      </c>
      <c r="D16" s="17">
        <v>0.12657528394363601</v>
      </c>
      <c r="E16" s="17">
        <v>0.13489709812431899</v>
      </c>
      <c r="F16" s="17"/>
      <c r="G16" s="17">
        <v>0.114000863499651</v>
      </c>
      <c r="H16" s="17">
        <v>0.116112614063642</v>
      </c>
      <c r="I16" s="17">
        <v>0.125320461468481</v>
      </c>
      <c r="J16" s="17">
        <v>0.16907620361092701</v>
      </c>
      <c r="K16" s="17"/>
      <c r="L16" s="17">
        <v>0.120244000451175</v>
      </c>
      <c r="M16" s="17">
        <v>0.13404047914595599</v>
      </c>
      <c r="N16" s="17">
        <v>0.13978493326722799</v>
      </c>
      <c r="O16" s="17">
        <v>0.122021738747344</v>
      </c>
    </row>
    <row r="17" spans="2:15" ht="28.8" x14ac:dyDescent="0.3">
      <c r="B17" s="18" t="s">
        <v>261</v>
      </c>
      <c r="C17" s="19">
        <v>0.212146446201009</v>
      </c>
      <c r="D17" s="19">
        <v>0.30916011027277301</v>
      </c>
      <c r="E17" s="19">
        <v>8.2705141776838895E-2</v>
      </c>
      <c r="F17" s="19"/>
      <c r="G17" s="19">
        <v>0.12657319755388699</v>
      </c>
      <c r="H17" s="19">
        <v>0.18239069206165801</v>
      </c>
      <c r="I17" s="19">
        <v>0.33248175901217603</v>
      </c>
      <c r="J17" s="19">
        <v>0.25895979811755099</v>
      </c>
      <c r="K17" s="19"/>
      <c r="L17" s="19">
        <v>0.18655928290273699</v>
      </c>
      <c r="M17" s="19">
        <v>0.25360698633888701</v>
      </c>
      <c r="N17" s="19">
        <v>0.25189313406734398</v>
      </c>
      <c r="O17" s="19">
        <v>0.14070714854243499</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O22"/>
  <sheetViews>
    <sheetView showGridLines="0" workbookViewId="0">
      <pane xSplit="2" topLeftCell="C1" activePane="topRight" state="frozen"/>
      <selection pane="topRight" activeCell="D2" sqref="D2:N2"/>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265</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32</v>
      </c>
      <c r="D7" s="10">
        <v>6</v>
      </c>
      <c r="E7" s="10">
        <v>26</v>
      </c>
      <c r="F7" s="10"/>
      <c r="G7" s="10">
        <v>19</v>
      </c>
      <c r="H7" s="10">
        <v>7</v>
      </c>
      <c r="I7" s="10">
        <v>4</v>
      </c>
      <c r="J7" s="10">
        <v>2</v>
      </c>
      <c r="K7" s="10"/>
      <c r="L7" s="10">
        <v>9</v>
      </c>
      <c r="M7" s="10">
        <v>14</v>
      </c>
      <c r="N7" s="10">
        <v>6</v>
      </c>
      <c r="O7" s="10">
        <v>3</v>
      </c>
    </row>
    <row r="8" spans="2:15" ht="30" customHeight="1" x14ac:dyDescent="0.3">
      <c r="B8" s="11" t="s">
        <v>19</v>
      </c>
      <c r="C8" s="11">
        <v>30</v>
      </c>
      <c r="D8" s="11">
        <v>5</v>
      </c>
      <c r="E8" s="11">
        <v>26</v>
      </c>
      <c r="F8" s="11"/>
      <c r="G8" s="11">
        <v>14</v>
      </c>
      <c r="H8" s="11">
        <v>9</v>
      </c>
      <c r="I8" s="11">
        <v>5</v>
      </c>
      <c r="J8" s="11">
        <v>3</v>
      </c>
      <c r="K8" s="11"/>
      <c r="L8" s="11">
        <v>11</v>
      </c>
      <c r="M8" s="11">
        <v>11</v>
      </c>
      <c r="N8" s="11">
        <v>4</v>
      </c>
      <c r="O8" s="11">
        <v>4</v>
      </c>
    </row>
    <row r="9" spans="2:15" x14ac:dyDescent="0.3">
      <c r="B9" s="18" t="s">
        <v>231</v>
      </c>
      <c r="C9" s="17">
        <v>2.15435070485623E-2</v>
      </c>
      <c r="D9" s="17">
        <v>0.14343592702900501</v>
      </c>
      <c r="E9" s="17">
        <v>0</v>
      </c>
      <c r="F9" s="17"/>
      <c r="G9" s="17">
        <v>4.6325472620665997E-2</v>
      </c>
      <c r="H9" s="17">
        <v>0</v>
      </c>
      <c r="I9" s="17">
        <v>0</v>
      </c>
      <c r="J9" s="17">
        <v>0</v>
      </c>
      <c r="K9" s="17"/>
      <c r="L9" s="17">
        <v>6.1391464454795902E-2</v>
      </c>
      <c r="M9" s="17">
        <v>0</v>
      </c>
      <c r="N9" s="17">
        <v>0</v>
      </c>
      <c r="O9" s="17">
        <v>0</v>
      </c>
    </row>
    <row r="10" spans="2:15" x14ac:dyDescent="0.3">
      <c r="B10" s="18" t="s">
        <v>232</v>
      </c>
      <c r="C10" s="17">
        <v>0.13812747569444001</v>
      </c>
      <c r="D10" s="17">
        <v>0.15420498727395501</v>
      </c>
      <c r="E10" s="17">
        <v>0.135285904544305</v>
      </c>
      <c r="F10" s="17"/>
      <c r="G10" s="17">
        <v>0.29701852066242501</v>
      </c>
      <c r="H10" s="17">
        <v>0</v>
      </c>
      <c r="I10" s="17">
        <v>0</v>
      </c>
      <c r="J10" s="17">
        <v>0</v>
      </c>
      <c r="K10" s="17"/>
      <c r="L10" s="17">
        <v>7.3270536507450801E-2</v>
      </c>
      <c r="M10" s="17">
        <v>0.17601452640468701</v>
      </c>
      <c r="N10" s="17">
        <v>0.30415277605610103</v>
      </c>
      <c r="O10" s="17">
        <v>0</v>
      </c>
    </row>
    <row r="11" spans="2:15" x14ac:dyDescent="0.3">
      <c r="B11" s="18" t="s">
        <v>233</v>
      </c>
      <c r="C11" s="17">
        <v>0.147010014277492</v>
      </c>
      <c r="D11" s="17">
        <v>0.172416073380526</v>
      </c>
      <c r="E11" s="17">
        <v>0.14251969721388599</v>
      </c>
      <c r="F11" s="17"/>
      <c r="G11" s="17">
        <v>0.160062414819161</v>
      </c>
      <c r="H11" s="17">
        <v>0.25441842145292798</v>
      </c>
      <c r="I11" s="17">
        <v>0</v>
      </c>
      <c r="J11" s="17">
        <v>0</v>
      </c>
      <c r="K11" s="17"/>
      <c r="L11" s="17">
        <v>0.114434953483582</v>
      </c>
      <c r="M11" s="17">
        <v>0.23205892422441499</v>
      </c>
      <c r="N11" s="17">
        <v>0.124482067969646</v>
      </c>
      <c r="O11" s="17">
        <v>0</v>
      </c>
    </row>
    <row r="12" spans="2:15" x14ac:dyDescent="0.3">
      <c r="B12" s="18" t="s">
        <v>234</v>
      </c>
      <c r="C12" s="17">
        <v>6.4142268876762304E-2</v>
      </c>
      <c r="D12" s="17">
        <v>0</v>
      </c>
      <c r="E12" s="17">
        <v>7.5478900160963702E-2</v>
      </c>
      <c r="F12" s="17"/>
      <c r="G12" s="17">
        <v>6.18067078901713E-2</v>
      </c>
      <c r="H12" s="17">
        <v>0.124097949720434</v>
      </c>
      <c r="I12" s="17">
        <v>0</v>
      </c>
      <c r="J12" s="17">
        <v>0</v>
      </c>
      <c r="K12" s="17"/>
      <c r="L12" s="17">
        <v>8.1907514286528996E-2</v>
      </c>
      <c r="M12" s="17">
        <v>9.3101047746104698E-2</v>
      </c>
      <c r="N12" s="17">
        <v>0</v>
      </c>
      <c r="O12" s="17">
        <v>0</v>
      </c>
    </row>
    <row r="13" spans="2:15" x14ac:dyDescent="0.3">
      <c r="B13" s="18" t="s">
        <v>235</v>
      </c>
      <c r="C13" s="17">
        <v>0.32495963726523103</v>
      </c>
      <c r="D13" s="17">
        <v>0.37094577175730398</v>
      </c>
      <c r="E13" s="17">
        <v>0.31683195703109501</v>
      </c>
      <c r="F13" s="17"/>
      <c r="G13" s="17">
        <v>0.28702479115492402</v>
      </c>
      <c r="H13" s="17">
        <v>0.113639552746749</v>
      </c>
      <c r="I13" s="17">
        <v>0.75809418502502102</v>
      </c>
      <c r="J13" s="17">
        <v>0.39673744627079399</v>
      </c>
      <c r="K13" s="17"/>
      <c r="L13" s="17">
        <v>0.18265440909074501</v>
      </c>
      <c r="M13" s="17">
        <v>0.38192045073980002</v>
      </c>
      <c r="N13" s="17">
        <v>0.24367254259318299</v>
      </c>
      <c r="O13" s="17">
        <v>0.66394107089146304</v>
      </c>
    </row>
    <row r="14" spans="2:15" x14ac:dyDescent="0.3">
      <c r="B14" s="18" t="s">
        <v>236</v>
      </c>
      <c r="C14" s="17">
        <v>0.28033634224806703</v>
      </c>
      <c r="D14" s="17">
        <v>0</v>
      </c>
      <c r="E14" s="17">
        <v>0.32988354104975198</v>
      </c>
      <c r="F14" s="17"/>
      <c r="G14" s="17">
        <v>9.64107859182496E-2</v>
      </c>
      <c r="H14" s="17">
        <v>0.50784407607988902</v>
      </c>
      <c r="I14" s="17">
        <v>0.24190581497497901</v>
      </c>
      <c r="J14" s="17">
        <v>0.60326255372920601</v>
      </c>
      <c r="K14" s="17"/>
      <c r="L14" s="17">
        <v>0.48634112217689701</v>
      </c>
      <c r="M14" s="17">
        <v>5.4098004353782397E-2</v>
      </c>
      <c r="N14" s="17">
        <v>0.32769261338106997</v>
      </c>
      <c r="O14" s="17">
        <v>0.33605892910853702</v>
      </c>
    </row>
    <row r="15" spans="2:15" x14ac:dyDescent="0.3">
      <c r="B15" s="18" t="s">
        <v>237</v>
      </c>
      <c r="C15" s="17">
        <v>2.38807545894455E-2</v>
      </c>
      <c r="D15" s="17">
        <v>0.15899724055921</v>
      </c>
      <c r="E15" s="17">
        <v>0</v>
      </c>
      <c r="F15" s="17"/>
      <c r="G15" s="17">
        <v>5.13513069344032E-2</v>
      </c>
      <c r="H15" s="17">
        <v>0</v>
      </c>
      <c r="I15" s="17">
        <v>0</v>
      </c>
      <c r="J15" s="17">
        <v>0</v>
      </c>
      <c r="K15" s="17"/>
      <c r="L15" s="17">
        <v>0</v>
      </c>
      <c r="M15" s="17">
        <v>6.2807046531211594E-2</v>
      </c>
      <c r="N15" s="17">
        <v>0</v>
      </c>
      <c r="O15" s="17">
        <v>0</v>
      </c>
    </row>
    <row r="16" spans="2:15" ht="28.8" x14ac:dyDescent="0.3">
      <c r="B16" s="18" t="s">
        <v>238</v>
      </c>
      <c r="C16" s="17">
        <v>0</v>
      </c>
      <c r="D16" s="17">
        <v>0</v>
      </c>
      <c r="E16" s="17">
        <v>0</v>
      </c>
      <c r="F16" s="17"/>
      <c r="G16" s="17">
        <v>0</v>
      </c>
      <c r="H16" s="17">
        <v>0</v>
      </c>
      <c r="I16" s="17">
        <v>0</v>
      </c>
      <c r="J16" s="17">
        <v>0</v>
      </c>
      <c r="K16" s="17"/>
      <c r="L16" s="17">
        <v>0</v>
      </c>
      <c r="M16" s="17">
        <v>0</v>
      </c>
      <c r="N16" s="17">
        <v>0</v>
      </c>
      <c r="O16" s="17">
        <v>0</v>
      </c>
    </row>
    <row r="17" spans="2:15" ht="28.8" x14ac:dyDescent="0.3">
      <c r="B17" s="18" t="s">
        <v>261</v>
      </c>
      <c r="C17" s="19">
        <v>0</v>
      </c>
      <c r="D17" s="19">
        <v>0</v>
      </c>
      <c r="E17" s="19">
        <v>0</v>
      </c>
      <c r="F17" s="19"/>
      <c r="G17" s="19">
        <v>0</v>
      </c>
      <c r="H17" s="19">
        <v>0</v>
      </c>
      <c r="I17" s="19">
        <v>0</v>
      </c>
      <c r="J17" s="19">
        <v>0</v>
      </c>
      <c r="K17" s="19"/>
      <c r="L17" s="19">
        <v>0</v>
      </c>
      <c r="M17" s="19">
        <v>0</v>
      </c>
      <c r="N17" s="19">
        <v>0</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266</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46</v>
      </c>
      <c r="D7" s="10">
        <v>14</v>
      </c>
      <c r="E7" s="10">
        <v>32</v>
      </c>
      <c r="F7" s="10"/>
      <c r="G7" s="10">
        <v>21</v>
      </c>
      <c r="H7" s="10">
        <v>12</v>
      </c>
      <c r="I7" s="10">
        <v>4</v>
      </c>
      <c r="J7" s="10">
        <v>9</v>
      </c>
      <c r="K7" s="10"/>
      <c r="L7" s="10">
        <v>12</v>
      </c>
      <c r="M7" s="10">
        <v>12</v>
      </c>
      <c r="N7" s="10">
        <v>10</v>
      </c>
      <c r="O7" s="10">
        <v>12</v>
      </c>
    </row>
    <row r="8" spans="2:15" ht="30" customHeight="1" x14ac:dyDescent="0.3">
      <c r="B8" s="11" t="s">
        <v>19</v>
      </c>
      <c r="C8" s="11">
        <v>46</v>
      </c>
      <c r="D8" s="11">
        <v>13</v>
      </c>
      <c r="E8" s="11">
        <v>33</v>
      </c>
      <c r="F8" s="11"/>
      <c r="G8" s="11">
        <v>17</v>
      </c>
      <c r="H8" s="11">
        <v>14</v>
      </c>
      <c r="I8" s="11">
        <v>5</v>
      </c>
      <c r="J8" s="11">
        <v>10</v>
      </c>
      <c r="K8" s="11"/>
      <c r="L8" s="11">
        <v>13</v>
      </c>
      <c r="M8" s="11">
        <v>10</v>
      </c>
      <c r="N8" s="11">
        <v>8</v>
      </c>
      <c r="O8" s="11">
        <v>14</v>
      </c>
    </row>
    <row r="9" spans="2:15" x14ac:dyDescent="0.3">
      <c r="B9" s="18" t="s">
        <v>231</v>
      </c>
      <c r="C9" s="17">
        <v>0</v>
      </c>
      <c r="D9" s="17">
        <v>0</v>
      </c>
      <c r="E9" s="17">
        <v>0</v>
      </c>
      <c r="F9" s="17"/>
      <c r="G9" s="17">
        <v>0</v>
      </c>
      <c r="H9" s="17">
        <v>0</v>
      </c>
      <c r="I9" s="17">
        <v>0</v>
      </c>
      <c r="J9" s="17">
        <v>0</v>
      </c>
      <c r="K9" s="17"/>
      <c r="L9" s="17">
        <v>0</v>
      </c>
      <c r="M9" s="17">
        <v>0</v>
      </c>
      <c r="N9" s="17">
        <v>0</v>
      </c>
      <c r="O9" s="17">
        <v>0</v>
      </c>
    </row>
    <row r="10" spans="2:15" x14ac:dyDescent="0.3">
      <c r="B10" s="18" t="s">
        <v>232</v>
      </c>
      <c r="C10" s="17">
        <v>7.4908693293379805E-2</v>
      </c>
      <c r="D10" s="17">
        <v>5.08749844225235E-2</v>
      </c>
      <c r="E10" s="17">
        <v>8.4154015128526896E-2</v>
      </c>
      <c r="F10" s="17"/>
      <c r="G10" s="17">
        <v>0.20039378719356199</v>
      </c>
      <c r="H10" s="17">
        <v>0</v>
      </c>
      <c r="I10" s="17">
        <v>0</v>
      </c>
      <c r="J10" s="17">
        <v>0</v>
      </c>
      <c r="K10" s="17"/>
      <c r="L10" s="17">
        <v>0.105314767950765</v>
      </c>
      <c r="M10" s="17">
        <v>7.1446334477263507E-2</v>
      </c>
      <c r="N10" s="17">
        <v>0.164602563685881</v>
      </c>
      <c r="O10" s="17">
        <v>0</v>
      </c>
    </row>
    <row r="11" spans="2:15" x14ac:dyDescent="0.3">
      <c r="B11" s="18" t="s">
        <v>233</v>
      </c>
      <c r="C11" s="17">
        <v>0.152362518521891</v>
      </c>
      <c r="D11" s="17">
        <v>4.5505800337073299E-2</v>
      </c>
      <c r="E11" s="17">
        <v>0.193468315183356</v>
      </c>
      <c r="F11" s="17"/>
      <c r="G11" s="17">
        <v>7.66242664403185E-2</v>
      </c>
      <c r="H11" s="17">
        <v>0.24020592964826101</v>
      </c>
      <c r="I11" s="17">
        <v>0</v>
      </c>
      <c r="J11" s="17">
        <v>0.23580840015645799</v>
      </c>
      <c r="K11" s="17"/>
      <c r="L11" s="17">
        <v>0.18376039219561899</v>
      </c>
      <c r="M11" s="17">
        <v>0.16366526797832701</v>
      </c>
      <c r="N11" s="17">
        <v>9.5125993917257706E-2</v>
      </c>
      <c r="O11" s="17">
        <v>0.14533530895563501</v>
      </c>
    </row>
    <row r="12" spans="2:15" x14ac:dyDescent="0.3">
      <c r="B12" s="18" t="s">
        <v>234</v>
      </c>
      <c r="C12" s="17">
        <v>0.14745782208282801</v>
      </c>
      <c r="D12" s="17">
        <v>0.26670479176155598</v>
      </c>
      <c r="E12" s="17">
        <v>0.10158572558411599</v>
      </c>
      <c r="F12" s="17"/>
      <c r="G12" s="17">
        <v>0.24424513245214799</v>
      </c>
      <c r="H12" s="17">
        <v>0</v>
      </c>
      <c r="I12" s="17">
        <v>0.26894408141623299</v>
      </c>
      <c r="J12" s="17">
        <v>0.123445904371356</v>
      </c>
      <c r="K12" s="17"/>
      <c r="L12" s="17">
        <v>0.13619931646653999</v>
      </c>
      <c r="M12" s="17">
        <v>0.23514811769807401</v>
      </c>
      <c r="N12" s="17">
        <v>0.32092600282151301</v>
      </c>
      <c r="O12" s="17">
        <v>0</v>
      </c>
    </row>
    <row r="13" spans="2:15" x14ac:dyDescent="0.3">
      <c r="B13" s="18" t="s">
        <v>235</v>
      </c>
      <c r="C13" s="17">
        <v>0.17368665297133301</v>
      </c>
      <c r="D13" s="17">
        <v>0.137402050746947</v>
      </c>
      <c r="E13" s="17">
        <v>0.18764466615304101</v>
      </c>
      <c r="F13" s="17"/>
      <c r="G13" s="17">
        <v>0.161668644333197</v>
      </c>
      <c r="H13" s="17">
        <v>6.9637693145565394E-2</v>
      </c>
      <c r="I13" s="17">
        <v>0.26275791690462003</v>
      </c>
      <c r="J13" s="17">
        <v>0.290584304777803</v>
      </c>
      <c r="K13" s="17"/>
      <c r="L13" s="17">
        <v>0.22984963917658599</v>
      </c>
      <c r="M13" s="17">
        <v>0.16336374924309899</v>
      </c>
      <c r="N13" s="17">
        <v>0.10151970250159199</v>
      </c>
      <c r="O13" s="17">
        <v>0.16707982470767699</v>
      </c>
    </row>
    <row r="14" spans="2:15" x14ac:dyDescent="0.3">
      <c r="B14" s="18" t="s">
        <v>236</v>
      </c>
      <c r="C14" s="17">
        <v>0.29510150063394203</v>
      </c>
      <c r="D14" s="17">
        <v>0.15220569974098699</v>
      </c>
      <c r="E14" s="17">
        <v>0.35007086367505402</v>
      </c>
      <c r="F14" s="17"/>
      <c r="G14" s="17">
        <v>0.16912012408174501</v>
      </c>
      <c r="H14" s="17">
        <v>0.528516615126013</v>
      </c>
      <c r="I14" s="17">
        <v>0.46829800167914698</v>
      </c>
      <c r="J14" s="17">
        <v>0.110602432324965</v>
      </c>
      <c r="K14" s="17"/>
      <c r="L14" s="17">
        <v>0.34487588421048898</v>
      </c>
      <c r="M14" s="17">
        <v>0.19218648524117901</v>
      </c>
      <c r="N14" s="17">
        <v>0.23797168506908301</v>
      </c>
      <c r="O14" s="17">
        <v>0.35412358220846202</v>
      </c>
    </row>
    <row r="15" spans="2:15" x14ac:dyDescent="0.3">
      <c r="B15" s="18" t="s">
        <v>237</v>
      </c>
      <c r="C15" s="17">
        <v>6.6525074709210597E-2</v>
      </c>
      <c r="D15" s="17">
        <v>0.10709433337947</v>
      </c>
      <c r="E15" s="17">
        <v>5.0918833698498103E-2</v>
      </c>
      <c r="F15" s="17"/>
      <c r="G15" s="17">
        <v>3.59325083154678E-2</v>
      </c>
      <c r="H15" s="17">
        <v>0</v>
      </c>
      <c r="I15" s="17">
        <v>0</v>
      </c>
      <c r="J15" s="17">
        <v>0.23955895836941801</v>
      </c>
      <c r="K15" s="17"/>
      <c r="L15" s="17">
        <v>0</v>
      </c>
      <c r="M15" s="17">
        <v>7.1890131298675497E-2</v>
      </c>
      <c r="N15" s="17">
        <v>7.9854052004673701E-2</v>
      </c>
      <c r="O15" s="17">
        <v>0.118469008414508</v>
      </c>
    </row>
    <row r="16" spans="2:15" ht="28.8" x14ac:dyDescent="0.3">
      <c r="B16" s="18" t="s">
        <v>238</v>
      </c>
      <c r="C16" s="17">
        <v>4.8085493959457402E-2</v>
      </c>
      <c r="D16" s="17">
        <v>8.9490957173198493E-2</v>
      </c>
      <c r="E16" s="17">
        <v>3.2157580577408397E-2</v>
      </c>
      <c r="F16" s="17"/>
      <c r="G16" s="17">
        <v>0</v>
      </c>
      <c r="H16" s="17">
        <v>0.16163976208016001</v>
      </c>
      <c r="I16" s="17">
        <v>0</v>
      </c>
      <c r="J16" s="17">
        <v>0</v>
      </c>
      <c r="K16" s="17"/>
      <c r="L16" s="17">
        <v>0</v>
      </c>
      <c r="M16" s="17">
        <v>0.102299914063382</v>
      </c>
      <c r="N16" s="17">
        <v>0</v>
      </c>
      <c r="O16" s="17">
        <v>8.0095238111357103E-2</v>
      </c>
    </row>
    <row r="17" spans="2:15" ht="28.8" x14ac:dyDescent="0.3">
      <c r="B17" s="18" t="s">
        <v>261</v>
      </c>
      <c r="C17" s="19">
        <v>4.1872243827957699E-2</v>
      </c>
      <c r="D17" s="19">
        <v>0.15072138243824501</v>
      </c>
      <c r="E17" s="19">
        <v>0</v>
      </c>
      <c r="F17" s="19"/>
      <c r="G17" s="19">
        <v>0.112015537183563</v>
      </c>
      <c r="H17" s="19">
        <v>0</v>
      </c>
      <c r="I17" s="19">
        <v>0</v>
      </c>
      <c r="J17" s="19">
        <v>0</v>
      </c>
      <c r="K17" s="19"/>
      <c r="L17" s="19">
        <v>0</v>
      </c>
      <c r="M17" s="19">
        <v>0</v>
      </c>
      <c r="N17" s="19">
        <v>0</v>
      </c>
      <c r="O17" s="19">
        <v>0.13489703760235999</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267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80</v>
      </c>
      <c r="D7" s="10">
        <v>33</v>
      </c>
      <c r="E7" s="10">
        <v>46</v>
      </c>
      <c r="F7" s="10"/>
      <c r="G7" s="10">
        <v>39</v>
      </c>
      <c r="H7" s="10">
        <v>18</v>
      </c>
      <c r="I7" s="10">
        <v>8</v>
      </c>
      <c r="J7" s="10">
        <v>15</v>
      </c>
      <c r="K7" s="10"/>
      <c r="L7" s="10">
        <v>23</v>
      </c>
      <c r="M7" s="10">
        <v>22</v>
      </c>
      <c r="N7" s="10">
        <v>22</v>
      </c>
      <c r="O7" s="10">
        <v>13</v>
      </c>
    </row>
    <row r="8" spans="2:15" ht="30" customHeight="1" x14ac:dyDescent="0.3">
      <c r="B8" s="11" t="s">
        <v>19</v>
      </c>
      <c r="C8" s="11">
        <v>75</v>
      </c>
      <c r="D8" s="11">
        <v>27</v>
      </c>
      <c r="E8" s="11">
        <v>47</v>
      </c>
      <c r="F8" s="11"/>
      <c r="G8" s="11">
        <v>28</v>
      </c>
      <c r="H8" s="11">
        <v>19</v>
      </c>
      <c r="I8" s="11">
        <v>10</v>
      </c>
      <c r="J8" s="11">
        <v>18</v>
      </c>
      <c r="K8" s="11"/>
      <c r="L8" s="11">
        <v>25</v>
      </c>
      <c r="M8" s="11">
        <v>19</v>
      </c>
      <c r="N8" s="11">
        <v>16</v>
      </c>
      <c r="O8" s="11">
        <v>15</v>
      </c>
    </row>
    <row r="9" spans="2:15" x14ac:dyDescent="0.3">
      <c r="B9" s="18" t="s">
        <v>231</v>
      </c>
      <c r="C9" s="17">
        <v>2.3685515674704598E-2</v>
      </c>
      <c r="D9" s="17">
        <v>0</v>
      </c>
      <c r="E9" s="17">
        <v>3.7620047242702202E-2</v>
      </c>
      <c r="F9" s="17"/>
      <c r="G9" s="17">
        <v>2.7155604748140001E-2</v>
      </c>
      <c r="H9" s="17">
        <v>5.2153933974564602E-2</v>
      </c>
      <c r="I9" s="17">
        <v>0</v>
      </c>
      <c r="J9" s="17">
        <v>0</v>
      </c>
      <c r="K9" s="17"/>
      <c r="L9" s="17">
        <v>7.1180422188159301E-2</v>
      </c>
      <c r="M9" s="17">
        <v>0</v>
      </c>
      <c r="N9" s="17">
        <v>0</v>
      </c>
      <c r="O9" s="17">
        <v>0</v>
      </c>
    </row>
    <row r="10" spans="2:15" x14ac:dyDescent="0.3">
      <c r="B10" s="18" t="s">
        <v>232</v>
      </c>
      <c r="C10" s="17">
        <v>7.6483738113781397E-2</v>
      </c>
      <c r="D10" s="17">
        <v>4.5035213735007101E-2</v>
      </c>
      <c r="E10" s="17">
        <v>9.5749116414173302E-2</v>
      </c>
      <c r="F10" s="17"/>
      <c r="G10" s="17">
        <v>0.13599158817992901</v>
      </c>
      <c r="H10" s="17">
        <v>5.0157187200370101E-2</v>
      </c>
      <c r="I10" s="17">
        <v>0</v>
      </c>
      <c r="J10" s="17">
        <v>5.13856353592946E-2</v>
      </c>
      <c r="K10" s="17"/>
      <c r="L10" s="17">
        <v>6.3017353654210101E-2</v>
      </c>
      <c r="M10" s="17">
        <v>0.15647256547760299</v>
      </c>
      <c r="N10" s="17">
        <v>3.8810839877966199E-2</v>
      </c>
      <c r="O10" s="17">
        <v>3.9719560455628203E-2</v>
      </c>
    </row>
    <row r="11" spans="2:15" x14ac:dyDescent="0.3">
      <c r="B11" s="18" t="s">
        <v>233</v>
      </c>
      <c r="C11" s="17">
        <v>0.18688846191818301</v>
      </c>
      <c r="D11" s="17">
        <v>0.15621881050844699</v>
      </c>
      <c r="E11" s="17">
        <v>0.207581190973531</v>
      </c>
      <c r="F11" s="17"/>
      <c r="G11" s="17">
        <v>0.123211851236595</v>
      </c>
      <c r="H11" s="17">
        <v>0.19926877627874601</v>
      </c>
      <c r="I11" s="17">
        <v>9.9302763726038995E-2</v>
      </c>
      <c r="J11" s="17">
        <v>0.32110078112381402</v>
      </c>
      <c r="K11" s="17"/>
      <c r="L11" s="17">
        <v>0.154610206703134</v>
      </c>
      <c r="M11" s="17">
        <v>0.19412589133456301</v>
      </c>
      <c r="N11" s="17">
        <v>0.23490287350665101</v>
      </c>
      <c r="O11" s="17">
        <v>0.179521329913613</v>
      </c>
    </row>
    <row r="12" spans="2:15" x14ac:dyDescent="0.3">
      <c r="B12" s="18" t="s">
        <v>234</v>
      </c>
      <c r="C12" s="17">
        <v>0.26176501469361901</v>
      </c>
      <c r="D12" s="17">
        <v>0.35259919041196403</v>
      </c>
      <c r="E12" s="17">
        <v>0.19734662413731999</v>
      </c>
      <c r="F12" s="17"/>
      <c r="G12" s="17">
        <v>0.34413188979464499</v>
      </c>
      <c r="H12" s="17">
        <v>0.25026897935124298</v>
      </c>
      <c r="I12" s="17">
        <v>0.136431559112276</v>
      </c>
      <c r="J12" s="17">
        <v>0.210409280626213</v>
      </c>
      <c r="K12" s="17"/>
      <c r="L12" s="17">
        <v>0.149665285519091</v>
      </c>
      <c r="M12" s="17">
        <v>0.41097387855318801</v>
      </c>
      <c r="N12" s="17">
        <v>0.23744072739243</v>
      </c>
      <c r="O12" s="17">
        <v>0.28794457601514001</v>
      </c>
    </row>
    <row r="13" spans="2:15" x14ac:dyDescent="0.3">
      <c r="B13" s="18" t="s">
        <v>235</v>
      </c>
      <c r="C13" s="17">
        <v>0.202891706632086</v>
      </c>
      <c r="D13" s="17">
        <v>0.15012832753310501</v>
      </c>
      <c r="E13" s="17">
        <v>0.23647920628356001</v>
      </c>
      <c r="F13" s="17"/>
      <c r="G13" s="17">
        <v>0.150580090473901</v>
      </c>
      <c r="H13" s="17">
        <v>0.26229138124017298</v>
      </c>
      <c r="I13" s="17">
        <v>0.38540159922077</v>
      </c>
      <c r="J13" s="17">
        <v>0.124305299942472</v>
      </c>
      <c r="K13" s="17"/>
      <c r="L13" s="17">
        <v>0.290045870779719</v>
      </c>
      <c r="M13" s="17">
        <v>0.16073945001050799</v>
      </c>
      <c r="N13" s="17">
        <v>0.16041843272369199</v>
      </c>
      <c r="O13" s="17">
        <v>0.15671987072959401</v>
      </c>
    </row>
    <row r="14" spans="2:15" x14ac:dyDescent="0.3">
      <c r="B14" s="18" t="s">
        <v>236</v>
      </c>
      <c r="C14" s="17">
        <v>0.20078197487437199</v>
      </c>
      <c r="D14" s="17">
        <v>0.22551905263831301</v>
      </c>
      <c r="E14" s="17">
        <v>0.19005339277076</v>
      </c>
      <c r="F14" s="17"/>
      <c r="G14" s="17">
        <v>0.178010188490722</v>
      </c>
      <c r="H14" s="17">
        <v>0.18585974195490301</v>
      </c>
      <c r="I14" s="17">
        <v>0.37886407794091498</v>
      </c>
      <c r="J14" s="17">
        <v>0.15814627475263701</v>
      </c>
      <c r="K14" s="17"/>
      <c r="L14" s="17">
        <v>0.27148086115568698</v>
      </c>
      <c r="M14" s="17">
        <v>3.8050859121537703E-2</v>
      </c>
      <c r="N14" s="17">
        <v>0.25716673521435002</v>
      </c>
      <c r="O14" s="17">
        <v>0.225568761817562</v>
      </c>
    </row>
    <row r="15" spans="2:15" x14ac:dyDescent="0.3">
      <c r="B15" s="18" t="s">
        <v>237</v>
      </c>
      <c r="C15" s="17">
        <v>9.9162832588841395E-3</v>
      </c>
      <c r="D15" s="17">
        <v>2.7566339367158299E-2</v>
      </c>
      <c r="E15" s="17">
        <v>0</v>
      </c>
      <c r="F15" s="17"/>
      <c r="G15" s="17">
        <v>0</v>
      </c>
      <c r="H15" s="17">
        <v>0</v>
      </c>
      <c r="I15" s="17">
        <v>0</v>
      </c>
      <c r="J15" s="17">
        <v>4.1649239406420499E-2</v>
      </c>
      <c r="K15" s="17"/>
      <c r="L15" s="17">
        <v>0</v>
      </c>
      <c r="M15" s="17">
        <v>3.9637355502599197E-2</v>
      </c>
      <c r="N15" s="17">
        <v>0</v>
      </c>
      <c r="O15" s="17">
        <v>0</v>
      </c>
    </row>
    <row r="16" spans="2:15" ht="28.8" x14ac:dyDescent="0.3">
      <c r="B16" s="18" t="s">
        <v>238</v>
      </c>
      <c r="C16" s="17">
        <v>1.54440687983357E-2</v>
      </c>
      <c r="D16" s="17">
        <v>4.29330658060052E-2</v>
      </c>
      <c r="E16" s="17">
        <v>0</v>
      </c>
      <c r="F16" s="17"/>
      <c r="G16" s="17">
        <v>4.0918787076067803E-2</v>
      </c>
      <c r="H16" s="17">
        <v>0</v>
      </c>
      <c r="I16" s="17">
        <v>0</v>
      </c>
      <c r="J16" s="17">
        <v>0</v>
      </c>
      <c r="K16" s="17"/>
      <c r="L16" s="17">
        <v>0</v>
      </c>
      <c r="M16" s="17">
        <v>0</v>
      </c>
      <c r="N16" s="17">
        <v>7.1260391284910907E-2</v>
      </c>
      <c r="O16" s="17">
        <v>0</v>
      </c>
    </row>
    <row r="17" spans="2:15" ht="28.8" x14ac:dyDescent="0.3">
      <c r="B17" s="18" t="s">
        <v>261</v>
      </c>
      <c r="C17" s="19">
        <v>2.2143236036033999E-2</v>
      </c>
      <c r="D17" s="19">
        <v>0</v>
      </c>
      <c r="E17" s="19">
        <v>3.5170422177953797E-2</v>
      </c>
      <c r="F17" s="19"/>
      <c r="G17" s="19">
        <v>0</v>
      </c>
      <c r="H17" s="19">
        <v>0</v>
      </c>
      <c r="I17" s="19">
        <v>0</v>
      </c>
      <c r="J17" s="19">
        <v>9.3003488789149005E-2</v>
      </c>
      <c r="K17" s="19"/>
      <c r="L17" s="19">
        <v>0</v>
      </c>
      <c r="M17" s="19">
        <v>0</v>
      </c>
      <c r="N17" s="19">
        <v>0</v>
      </c>
      <c r="O17" s="19">
        <v>0.11052590106846399</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268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67</v>
      </c>
      <c r="D7" s="10">
        <v>41</v>
      </c>
      <c r="E7" s="10">
        <v>26</v>
      </c>
      <c r="F7" s="10"/>
      <c r="G7" s="10">
        <v>36</v>
      </c>
      <c r="H7" s="10">
        <v>14</v>
      </c>
      <c r="I7" s="10">
        <v>8</v>
      </c>
      <c r="J7" s="10">
        <v>9</v>
      </c>
      <c r="K7" s="10"/>
      <c r="L7" s="10">
        <v>13</v>
      </c>
      <c r="M7" s="10">
        <v>23</v>
      </c>
      <c r="N7" s="10">
        <v>21</v>
      </c>
      <c r="O7" s="10">
        <v>10</v>
      </c>
    </row>
    <row r="8" spans="2:15" ht="30" customHeight="1" x14ac:dyDescent="0.3">
      <c r="B8" s="11" t="s">
        <v>19</v>
      </c>
      <c r="C8" s="11">
        <v>60</v>
      </c>
      <c r="D8" s="11">
        <v>35</v>
      </c>
      <c r="E8" s="11">
        <v>25</v>
      </c>
      <c r="F8" s="11"/>
      <c r="G8" s="11">
        <v>26</v>
      </c>
      <c r="H8" s="11">
        <v>13</v>
      </c>
      <c r="I8" s="11">
        <v>10</v>
      </c>
      <c r="J8" s="11">
        <v>11</v>
      </c>
      <c r="K8" s="11"/>
      <c r="L8" s="11">
        <v>14</v>
      </c>
      <c r="M8" s="11">
        <v>18</v>
      </c>
      <c r="N8" s="11">
        <v>16</v>
      </c>
      <c r="O8" s="11">
        <v>12</v>
      </c>
    </row>
    <row r="9" spans="2:15" x14ac:dyDescent="0.3">
      <c r="B9" s="18" t="s">
        <v>231</v>
      </c>
      <c r="C9" s="17">
        <v>2.15743709926828E-2</v>
      </c>
      <c r="D9" s="17">
        <v>1.8468253892724901E-2</v>
      </c>
      <c r="E9" s="17">
        <v>2.5947592790223298E-2</v>
      </c>
      <c r="F9" s="17"/>
      <c r="G9" s="17">
        <v>5.0715157337293398E-2</v>
      </c>
      <c r="H9" s="17">
        <v>0</v>
      </c>
      <c r="I9" s="17">
        <v>0</v>
      </c>
      <c r="J9" s="17">
        <v>0</v>
      </c>
      <c r="K9" s="17"/>
      <c r="L9" s="17">
        <v>4.7928569309296502E-2</v>
      </c>
      <c r="M9" s="17">
        <v>3.5545827294646198E-2</v>
      </c>
      <c r="N9" s="17">
        <v>0</v>
      </c>
      <c r="O9" s="17">
        <v>0</v>
      </c>
    </row>
    <row r="10" spans="2:15" x14ac:dyDescent="0.3">
      <c r="B10" s="18" t="s">
        <v>232</v>
      </c>
      <c r="C10" s="17">
        <v>6.0899036625462498E-2</v>
      </c>
      <c r="D10" s="17">
        <v>5.3262949412457399E-2</v>
      </c>
      <c r="E10" s="17">
        <v>7.1650177671718607E-2</v>
      </c>
      <c r="F10" s="17"/>
      <c r="G10" s="17">
        <v>0.143156165489016</v>
      </c>
      <c r="H10" s="17">
        <v>0</v>
      </c>
      <c r="I10" s="17">
        <v>0</v>
      </c>
      <c r="J10" s="17">
        <v>0</v>
      </c>
      <c r="K10" s="17"/>
      <c r="L10" s="17">
        <v>0</v>
      </c>
      <c r="M10" s="17">
        <v>0.13472306214212401</v>
      </c>
      <c r="N10" s="17">
        <v>7.3253981482202399E-2</v>
      </c>
      <c r="O10" s="17">
        <v>0</v>
      </c>
    </row>
    <row r="11" spans="2:15" x14ac:dyDescent="0.3">
      <c r="B11" s="18" t="s">
        <v>233</v>
      </c>
      <c r="C11" s="17">
        <v>0.17460791560708</v>
      </c>
      <c r="D11" s="17">
        <v>0.20079773811070101</v>
      </c>
      <c r="E11" s="17">
        <v>0.13773425664293301</v>
      </c>
      <c r="F11" s="17"/>
      <c r="G11" s="17">
        <v>0.28327123415283201</v>
      </c>
      <c r="H11" s="17">
        <v>0.153290091577337</v>
      </c>
      <c r="I11" s="17">
        <v>0.12457022691974</v>
      </c>
      <c r="J11" s="17">
        <v>0</v>
      </c>
      <c r="K11" s="17"/>
      <c r="L11" s="17">
        <v>0.32954725483706698</v>
      </c>
      <c r="M11" s="17">
        <v>7.0156256549189805E-2</v>
      </c>
      <c r="N11" s="17">
        <v>0.28886125735833001</v>
      </c>
      <c r="O11" s="17">
        <v>0</v>
      </c>
    </row>
    <row r="12" spans="2:15" x14ac:dyDescent="0.3">
      <c r="B12" s="18" t="s">
        <v>234</v>
      </c>
      <c r="C12" s="17">
        <v>0.116402632500894</v>
      </c>
      <c r="D12" s="17">
        <v>7.0997749018258394E-2</v>
      </c>
      <c r="E12" s="17">
        <v>0.18032991526938499</v>
      </c>
      <c r="F12" s="17"/>
      <c r="G12" s="17">
        <v>8.2022438778345405E-2</v>
      </c>
      <c r="H12" s="17">
        <v>0.15103189138829701</v>
      </c>
      <c r="I12" s="17">
        <v>0.212582611894087</v>
      </c>
      <c r="J12" s="17">
        <v>6.9954754158943103E-2</v>
      </c>
      <c r="K12" s="17"/>
      <c r="L12" s="17">
        <v>0.13893342052355001</v>
      </c>
      <c r="M12" s="17">
        <v>9.7110235643369597E-2</v>
      </c>
      <c r="N12" s="17">
        <v>0.203287778387123</v>
      </c>
      <c r="O12" s="17">
        <v>0</v>
      </c>
    </row>
    <row r="13" spans="2:15" x14ac:dyDescent="0.3">
      <c r="B13" s="18" t="s">
        <v>235</v>
      </c>
      <c r="C13" s="17">
        <v>0.13456767144425499</v>
      </c>
      <c r="D13" s="17">
        <v>5.9880576204732798E-2</v>
      </c>
      <c r="E13" s="17">
        <v>0.23972250701079001</v>
      </c>
      <c r="F13" s="17"/>
      <c r="G13" s="17">
        <v>0.117561211674519</v>
      </c>
      <c r="H13" s="17">
        <v>5.6769953791873301E-2</v>
      </c>
      <c r="I13" s="17">
        <v>0.129912255318651</v>
      </c>
      <c r="J13" s="17">
        <v>0.265712277432751</v>
      </c>
      <c r="K13" s="17"/>
      <c r="L13" s="17">
        <v>9.4100214090654194E-2</v>
      </c>
      <c r="M13" s="17">
        <v>7.7970173320606906E-2</v>
      </c>
      <c r="N13" s="17">
        <v>4.5299657258796297E-2</v>
      </c>
      <c r="O13" s="17">
        <v>0.39105453657373102</v>
      </c>
    </row>
    <row r="14" spans="2:15" x14ac:dyDescent="0.3">
      <c r="B14" s="18" t="s">
        <v>236</v>
      </c>
      <c r="C14" s="17">
        <v>9.2470013508117899E-2</v>
      </c>
      <c r="D14" s="17">
        <v>6.5418083316615999E-2</v>
      </c>
      <c r="E14" s="17">
        <v>0.13055746706246901</v>
      </c>
      <c r="F14" s="17"/>
      <c r="G14" s="17">
        <v>0.13252829238286901</v>
      </c>
      <c r="H14" s="17">
        <v>7.2994953541017094E-2</v>
      </c>
      <c r="I14" s="17">
        <v>0.121739621456621</v>
      </c>
      <c r="J14" s="17">
        <v>0</v>
      </c>
      <c r="K14" s="17"/>
      <c r="L14" s="17">
        <v>0</v>
      </c>
      <c r="M14" s="17">
        <v>7.0156256549189805E-2</v>
      </c>
      <c r="N14" s="17">
        <v>0.13181735825098501</v>
      </c>
      <c r="O14" s="17">
        <v>0.17755712155203501</v>
      </c>
    </row>
    <row r="15" spans="2:15" x14ac:dyDescent="0.3">
      <c r="B15" s="18" t="s">
        <v>237</v>
      </c>
      <c r="C15" s="17">
        <v>2.8592681631326E-2</v>
      </c>
      <c r="D15" s="17">
        <v>4.8900871213354402E-2</v>
      </c>
      <c r="E15" s="17">
        <v>0</v>
      </c>
      <c r="F15" s="17"/>
      <c r="G15" s="17">
        <v>2.8138141255525599E-2</v>
      </c>
      <c r="H15" s="17">
        <v>7.6082355061922902E-2</v>
      </c>
      <c r="I15" s="17">
        <v>0</v>
      </c>
      <c r="J15" s="17">
        <v>0</v>
      </c>
      <c r="K15" s="17"/>
      <c r="L15" s="17">
        <v>0</v>
      </c>
      <c r="M15" s="17">
        <v>9.4317401874273801E-2</v>
      </c>
      <c r="N15" s="17">
        <v>0</v>
      </c>
      <c r="O15" s="17">
        <v>0</v>
      </c>
    </row>
    <row r="16" spans="2:15" ht="28.8" x14ac:dyDescent="0.3">
      <c r="B16" s="18" t="s">
        <v>238</v>
      </c>
      <c r="C16" s="17">
        <v>0.104998234464832</v>
      </c>
      <c r="D16" s="17">
        <v>0.16611370178475701</v>
      </c>
      <c r="E16" s="17">
        <v>1.89514161224064E-2</v>
      </c>
      <c r="F16" s="17"/>
      <c r="G16" s="17">
        <v>5.9324926016289997E-2</v>
      </c>
      <c r="H16" s="17">
        <v>7.2444055765223003E-2</v>
      </c>
      <c r="I16" s="17">
        <v>0.15977400743681899</v>
      </c>
      <c r="J16" s="17">
        <v>0.19667773083002499</v>
      </c>
      <c r="K16" s="17"/>
      <c r="L16" s="17">
        <v>7.0250442772862604E-2</v>
      </c>
      <c r="M16" s="17">
        <v>0.123686472299765</v>
      </c>
      <c r="N16" s="17">
        <v>9.2171779730665093E-2</v>
      </c>
      <c r="O16" s="17">
        <v>0.133699624008078</v>
      </c>
    </row>
    <row r="17" spans="2:15" ht="28.8" x14ac:dyDescent="0.3">
      <c r="B17" s="18" t="s">
        <v>261</v>
      </c>
      <c r="C17" s="19">
        <v>0.26588744322534902</v>
      </c>
      <c r="D17" s="19">
        <v>0.31616007704639798</v>
      </c>
      <c r="E17" s="19">
        <v>0.19510666743007499</v>
      </c>
      <c r="F17" s="19"/>
      <c r="G17" s="19">
        <v>0.10328243291330901</v>
      </c>
      <c r="H17" s="19">
        <v>0.417386698874329</v>
      </c>
      <c r="I17" s="19">
        <v>0.25142127697408301</v>
      </c>
      <c r="J17" s="19">
        <v>0.46765523757827998</v>
      </c>
      <c r="K17" s="19"/>
      <c r="L17" s="19">
        <v>0.31924009846656998</v>
      </c>
      <c r="M17" s="19">
        <v>0.29633431432683399</v>
      </c>
      <c r="N17" s="19">
        <v>0.16530818753189899</v>
      </c>
      <c r="O17" s="19">
        <v>0.29768871786615603</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269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20</v>
      </c>
      <c r="D7" s="10">
        <v>6</v>
      </c>
      <c r="E7" s="10">
        <v>14</v>
      </c>
      <c r="F7" s="10"/>
      <c r="G7" s="10">
        <v>14</v>
      </c>
      <c r="H7" s="10">
        <v>2</v>
      </c>
      <c r="I7" s="10">
        <v>3</v>
      </c>
      <c r="J7" s="10">
        <v>1</v>
      </c>
      <c r="K7" s="10"/>
      <c r="L7" s="10">
        <v>3</v>
      </c>
      <c r="M7" s="10">
        <v>8</v>
      </c>
      <c r="N7" s="10">
        <v>8</v>
      </c>
      <c r="O7" s="10">
        <v>1</v>
      </c>
    </row>
    <row r="8" spans="2:15" ht="30" customHeight="1" x14ac:dyDescent="0.3">
      <c r="B8" s="11" t="s">
        <v>19</v>
      </c>
      <c r="C8" s="11">
        <v>17</v>
      </c>
      <c r="D8" s="11">
        <v>5</v>
      </c>
      <c r="E8" s="11">
        <v>12</v>
      </c>
      <c r="F8" s="11"/>
      <c r="G8" s="11">
        <v>11</v>
      </c>
      <c r="H8" s="11">
        <v>2</v>
      </c>
      <c r="I8" s="11">
        <v>3</v>
      </c>
      <c r="J8" s="11">
        <v>1</v>
      </c>
      <c r="K8" s="11"/>
      <c r="L8" s="11">
        <v>3</v>
      </c>
      <c r="M8" s="11">
        <v>7</v>
      </c>
      <c r="N8" s="11">
        <v>6</v>
      </c>
      <c r="O8" s="11">
        <v>1</v>
      </c>
    </row>
    <row r="9" spans="2:15" x14ac:dyDescent="0.3">
      <c r="B9" s="18" t="s">
        <v>231</v>
      </c>
      <c r="C9" s="17">
        <v>0</v>
      </c>
      <c r="D9" s="17">
        <v>0</v>
      </c>
      <c r="E9" s="17">
        <v>0</v>
      </c>
      <c r="F9" s="17"/>
      <c r="G9" s="17">
        <v>0</v>
      </c>
      <c r="H9" s="17">
        <v>0</v>
      </c>
      <c r="I9" s="17">
        <v>0</v>
      </c>
      <c r="J9" s="17">
        <v>0</v>
      </c>
      <c r="K9" s="17"/>
      <c r="L9" s="17">
        <v>0</v>
      </c>
      <c r="M9" s="17">
        <v>0</v>
      </c>
      <c r="N9" s="17">
        <v>0</v>
      </c>
      <c r="O9" s="17">
        <v>0</v>
      </c>
    </row>
    <row r="10" spans="2:15" x14ac:dyDescent="0.3">
      <c r="B10" s="18" t="s">
        <v>232</v>
      </c>
      <c r="C10" s="17">
        <v>7.8611413891014698E-2</v>
      </c>
      <c r="D10" s="17">
        <v>0</v>
      </c>
      <c r="E10" s="17">
        <v>0.11292739171116301</v>
      </c>
      <c r="F10" s="17"/>
      <c r="G10" s="17">
        <v>0.12662063211646199</v>
      </c>
      <c r="H10" s="17">
        <v>0</v>
      </c>
      <c r="I10" s="17">
        <v>0</v>
      </c>
      <c r="J10" s="17">
        <v>0</v>
      </c>
      <c r="K10" s="17"/>
      <c r="L10" s="17">
        <v>0</v>
      </c>
      <c r="M10" s="17">
        <v>0</v>
      </c>
      <c r="N10" s="17">
        <v>0.216684667203079</v>
      </c>
      <c r="O10" s="17">
        <v>0</v>
      </c>
    </row>
    <row r="11" spans="2:15" x14ac:dyDescent="0.3">
      <c r="B11" s="18" t="s">
        <v>233</v>
      </c>
      <c r="C11" s="17">
        <v>7.2709081433185302E-2</v>
      </c>
      <c r="D11" s="17">
        <v>0.23927183316756001</v>
      </c>
      <c r="E11" s="17">
        <v>0</v>
      </c>
      <c r="F11" s="17"/>
      <c r="G11" s="17">
        <v>0.117113653043321</v>
      </c>
      <c r="H11" s="17">
        <v>0</v>
      </c>
      <c r="I11" s="17">
        <v>0</v>
      </c>
      <c r="J11" s="17">
        <v>0</v>
      </c>
      <c r="K11" s="17"/>
      <c r="L11" s="17">
        <v>0</v>
      </c>
      <c r="M11" s="17">
        <v>9.6683496079087203E-2</v>
      </c>
      <c r="N11" s="17">
        <v>9.0092638558528101E-2</v>
      </c>
      <c r="O11" s="17">
        <v>0</v>
      </c>
    </row>
    <row r="12" spans="2:15" x14ac:dyDescent="0.3">
      <c r="B12" s="18" t="s">
        <v>234</v>
      </c>
      <c r="C12" s="17">
        <v>0.206918463402364</v>
      </c>
      <c r="D12" s="17">
        <v>0</v>
      </c>
      <c r="E12" s="17">
        <v>0.29724388879846197</v>
      </c>
      <c r="F12" s="17"/>
      <c r="G12" s="17">
        <v>0.333286800678812</v>
      </c>
      <c r="H12" s="17">
        <v>0</v>
      </c>
      <c r="I12" s="17">
        <v>0</v>
      </c>
      <c r="J12" s="17">
        <v>0</v>
      </c>
      <c r="K12" s="17"/>
      <c r="L12" s="17">
        <v>0.30512475434874198</v>
      </c>
      <c r="M12" s="17">
        <v>0.21785393105791201</v>
      </c>
      <c r="N12" s="17">
        <v>0.184851745340363</v>
      </c>
      <c r="O12" s="17">
        <v>0</v>
      </c>
    </row>
    <row r="13" spans="2:15" x14ac:dyDescent="0.3">
      <c r="B13" s="18" t="s">
        <v>235</v>
      </c>
      <c r="C13" s="17">
        <v>0.28702718776442299</v>
      </c>
      <c r="D13" s="17">
        <v>0</v>
      </c>
      <c r="E13" s="17">
        <v>0.41232220691722299</v>
      </c>
      <c r="F13" s="17"/>
      <c r="G13" s="17">
        <v>0.16296215434224301</v>
      </c>
      <c r="H13" s="17">
        <v>1</v>
      </c>
      <c r="I13" s="17">
        <v>0.379150359155082</v>
      </c>
      <c r="J13" s="17">
        <v>0</v>
      </c>
      <c r="K13" s="17"/>
      <c r="L13" s="17">
        <v>0.32806588833532602</v>
      </c>
      <c r="M13" s="17">
        <v>0.43152580360861698</v>
      </c>
      <c r="N13" s="17">
        <v>0.15155476226338799</v>
      </c>
      <c r="O13" s="17">
        <v>0</v>
      </c>
    </row>
    <row r="14" spans="2:15" x14ac:dyDescent="0.3">
      <c r="B14" s="18" t="s">
        <v>236</v>
      </c>
      <c r="C14" s="17">
        <v>0.22354986062007201</v>
      </c>
      <c r="D14" s="17">
        <v>0.32902646132236402</v>
      </c>
      <c r="E14" s="17">
        <v>0.177506512573152</v>
      </c>
      <c r="F14" s="17"/>
      <c r="G14" s="17">
        <v>0.16265002190484401</v>
      </c>
      <c r="H14" s="17">
        <v>0</v>
      </c>
      <c r="I14" s="17">
        <v>0.620849640844918</v>
      </c>
      <c r="J14" s="17">
        <v>0</v>
      </c>
      <c r="K14" s="17"/>
      <c r="L14" s="17">
        <v>0.36680935731593201</v>
      </c>
      <c r="M14" s="17">
        <v>0.25393676925438402</v>
      </c>
      <c r="N14" s="17">
        <v>0.16184311174033</v>
      </c>
      <c r="O14" s="17">
        <v>0</v>
      </c>
    </row>
    <row r="15" spans="2:15" x14ac:dyDescent="0.3">
      <c r="B15" s="18" t="s">
        <v>237</v>
      </c>
      <c r="C15" s="17">
        <v>0</v>
      </c>
      <c r="D15" s="17">
        <v>0</v>
      </c>
      <c r="E15" s="17">
        <v>0</v>
      </c>
      <c r="F15" s="17"/>
      <c r="G15" s="17">
        <v>0</v>
      </c>
      <c r="H15" s="17">
        <v>0</v>
      </c>
      <c r="I15" s="17">
        <v>0</v>
      </c>
      <c r="J15" s="17">
        <v>0</v>
      </c>
      <c r="K15" s="17"/>
      <c r="L15" s="17">
        <v>0</v>
      </c>
      <c r="M15" s="17">
        <v>0</v>
      </c>
      <c r="N15" s="17">
        <v>0</v>
      </c>
      <c r="O15" s="17">
        <v>0</v>
      </c>
    </row>
    <row r="16" spans="2:15" ht="28.8" x14ac:dyDescent="0.3">
      <c r="B16" s="18" t="s">
        <v>238</v>
      </c>
      <c r="C16" s="17">
        <v>6.0449365995586098E-2</v>
      </c>
      <c r="D16" s="17">
        <v>0.19892742874041</v>
      </c>
      <c r="E16" s="17">
        <v>0</v>
      </c>
      <c r="F16" s="17"/>
      <c r="G16" s="17">
        <v>9.7366737914318602E-2</v>
      </c>
      <c r="H16" s="17">
        <v>0</v>
      </c>
      <c r="I16" s="17">
        <v>0</v>
      </c>
      <c r="J16" s="17">
        <v>0</v>
      </c>
      <c r="K16" s="17"/>
      <c r="L16" s="17">
        <v>0</v>
      </c>
      <c r="M16" s="17">
        <v>0</v>
      </c>
      <c r="N16" s="17">
        <v>0</v>
      </c>
      <c r="O16" s="17">
        <v>1</v>
      </c>
    </row>
    <row r="17" spans="2:15" ht="28.8" x14ac:dyDescent="0.3">
      <c r="B17" s="18" t="s">
        <v>261</v>
      </c>
      <c r="C17" s="19">
        <v>7.0734626893354802E-2</v>
      </c>
      <c r="D17" s="19">
        <v>0.232774276769665</v>
      </c>
      <c r="E17" s="19">
        <v>0</v>
      </c>
      <c r="F17" s="19"/>
      <c r="G17" s="19">
        <v>0</v>
      </c>
      <c r="H17" s="19">
        <v>0</v>
      </c>
      <c r="I17" s="19">
        <v>0</v>
      </c>
      <c r="J17" s="19">
        <v>1</v>
      </c>
      <c r="K17" s="19"/>
      <c r="L17" s="19">
        <v>0</v>
      </c>
      <c r="M17" s="19">
        <v>0</v>
      </c>
      <c r="N17" s="19">
        <v>0.19497307489431201</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270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79</v>
      </c>
      <c r="D7" s="10">
        <v>46</v>
      </c>
      <c r="E7" s="10">
        <v>33</v>
      </c>
      <c r="F7" s="10"/>
      <c r="G7" s="10">
        <v>37</v>
      </c>
      <c r="H7" s="10">
        <v>17</v>
      </c>
      <c r="I7" s="10">
        <v>11</v>
      </c>
      <c r="J7" s="10">
        <v>14</v>
      </c>
      <c r="K7" s="10"/>
      <c r="L7" s="10">
        <v>17</v>
      </c>
      <c r="M7" s="10">
        <v>21</v>
      </c>
      <c r="N7" s="10">
        <v>22</v>
      </c>
      <c r="O7" s="10">
        <v>19</v>
      </c>
    </row>
    <row r="8" spans="2:15" ht="30" customHeight="1" x14ac:dyDescent="0.3">
      <c r="B8" s="11" t="s">
        <v>19</v>
      </c>
      <c r="C8" s="11">
        <v>78</v>
      </c>
      <c r="D8" s="11">
        <v>46</v>
      </c>
      <c r="E8" s="11">
        <v>32</v>
      </c>
      <c r="F8" s="11"/>
      <c r="G8" s="11">
        <v>31</v>
      </c>
      <c r="H8" s="11">
        <v>17</v>
      </c>
      <c r="I8" s="11">
        <v>12</v>
      </c>
      <c r="J8" s="11">
        <v>18</v>
      </c>
      <c r="K8" s="11"/>
      <c r="L8" s="11">
        <v>18</v>
      </c>
      <c r="M8" s="11">
        <v>19</v>
      </c>
      <c r="N8" s="11">
        <v>18</v>
      </c>
      <c r="O8" s="11">
        <v>22</v>
      </c>
    </row>
    <row r="9" spans="2:15" x14ac:dyDescent="0.3">
      <c r="B9" s="18" t="s">
        <v>231</v>
      </c>
      <c r="C9" s="17">
        <v>1.9587687069497501E-2</v>
      </c>
      <c r="D9" s="17">
        <v>3.31197453001979E-2</v>
      </c>
      <c r="E9" s="17">
        <v>0</v>
      </c>
      <c r="F9" s="17"/>
      <c r="G9" s="17">
        <v>0</v>
      </c>
      <c r="H9" s="17">
        <v>0</v>
      </c>
      <c r="I9" s="17">
        <v>0.12408358000174</v>
      </c>
      <c r="J9" s="17">
        <v>0</v>
      </c>
      <c r="K9" s="17"/>
      <c r="L9" s="17">
        <v>8.2495631712368303E-2</v>
      </c>
      <c r="M9" s="17">
        <v>0</v>
      </c>
      <c r="N9" s="17">
        <v>0</v>
      </c>
      <c r="O9" s="17">
        <v>0</v>
      </c>
    </row>
    <row r="10" spans="2:15" x14ac:dyDescent="0.3">
      <c r="B10" s="18" t="s">
        <v>232</v>
      </c>
      <c r="C10" s="17">
        <v>2.1345160837675799E-2</v>
      </c>
      <c r="D10" s="17">
        <v>1.4066488193389E-2</v>
      </c>
      <c r="E10" s="17">
        <v>3.1881057122406999E-2</v>
      </c>
      <c r="F10" s="17"/>
      <c r="G10" s="17">
        <v>2.1156082394814601E-2</v>
      </c>
      <c r="H10" s="17">
        <v>0</v>
      </c>
      <c r="I10" s="17">
        <v>8.2516489025315401E-2</v>
      </c>
      <c r="J10" s="17">
        <v>0</v>
      </c>
      <c r="K10" s="17"/>
      <c r="L10" s="17">
        <v>3.5037220817071203E-2</v>
      </c>
      <c r="M10" s="17">
        <v>0</v>
      </c>
      <c r="N10" s="17">
        <v>5.5467200669290499E-2</v>
      </c>
      <c r="O10" s="17">
        <v>0</v>
      </c>
    </row>
    <row r="11" spans="2:15" x14ac:dyDescent="0.3">
      <c r="B11" s="18" t="s">
        <v>233</v>
      </c>
      <c r="C11" s="17">
        <v>4.5286931824524201E-2</v>
      </c>
      <c r="D11" s="17">
        <v>1.7372761840156199E-2</v>
      </c>
      <c r="E11" s="17">
        <v>8.5692760497215206E-2</v>
      </c>
      <c r="F11" s="17"/>
      <c r="G11" s="17">
        <v>8.9037795337739506E-2</v>
      </c>
      <c r="H11" s="17">
        <v>0</v>
      </c>
      <c r="I11" s="17">
        <v>0</v>
      </c>
      <c r="J11" s="17">
        <v>4.55808294001449E-2</v>
      </c>
      <c r="K11" s="17"/>
      <c r="L11" s="17">
        <v>0</v>
      </c>
      <c r="M11" s="17">
        <v>4.2697448517977798E-2</v>
      </c>
      <c r="N11" s="17">
        <v>3.2900769837724698E-2</v>
      </c>
      <c r="O11" s="17">
        <v>9.5045352094054694E-2</v>
      </c>
    </row>
    <row r="12" spans="2:15" x14ac:dyDescent="0.3">
      <c r="B12" s="18" t="s">
        <v>234</v>
      </c>
      <c r="C12" s="17">
        <v>8.4204748715687103E-2</v>
      </c>
      <c r="D12" s="17">
        <v>6.9790144121116102E-2</v>
      </c>
      <c r="E12" s="17">
        <v>0.1050699237848</v>
      </c>
      <c r="F12" s="17"/>
      <c r="G12" s="17">
        <v>6.0031622959968001E-2</v>
      </c>
      <c r="H12" s="17">
        <v>5.4558984199231601E-2</v>
      </c>
      <c r="I12" s="17">
        <v>8.9152001475704207E-2</v>
      </c>
      <c r="J12" s="17">
        <v>0.15230290650963099</v>
      </c>
      <c r="K12" s="17"/>
      <c r="L12" s="17">
        <v>0.195945359352559</v>
      </c>
      <c r="M12" s="17">
        <v>6.6376362881828202E-2</v>
      </c>
      <c r="N12" s="17">
        <v>9.2432994788203895E-2</v>
      </c>
      <c r="O12" s="17">
        <v>0</v>
      </c>
    </row>
    <row r="13" spans="2:15" x14ac:dyDescent="0.3">
      <c r="B13" s="18" t="s">
        <v>235</v>
      </c>
      <c r="C13" s="17">
        <v>0.100783896785615</v>
      </c>
      <c r="D13" s="17">
        <v>7.8248870833641404E-2</v>
      </c>
      <c r="E13" s="17">
        <v>0.133403401440778</v>
      </c>
      <c r="F13" s="17"/>
      <c r="G13" s="17">
        <v>0.134189459034811</v>
      </c>
      <c r="H13" s="17">
        <v>0</v>
      </c>
      <c r="I13" s="17">
        <v>0.16041897554829801</v>
      </c>
      <c r="J13" s="17">
        <v>0.10067223071261</v>
      </c>
      <c r="K13" s="17"/>
      <c r="L13" s="17">
        <v>5.74912046909467E-2</v>
      </c>
      <c r="M13" s="17">
        <v>0</v>
      </c>
      <c r="N13" s="17">
        <v>0.21493182124679899</v>
      </c>
      <c r="O13" s="17">
        <v>0.12769311391906299</v>
      </c>
    </row>
    <row r="14" spans="2:15" x14ac:dyDescent="0.3">
      <c r="B14" s="18" t="s">
        <v>236</v>
      </c>
      <c r="C14" s="17">
        <v>0.14330714065326</v>
      </c>
      <c r="D14" s="17">
        <v>0.111085033474238</v>
      </c>
      <c r="E14" s="17">
        <v>0.18994871885091899</v>
      </c>
      <c r="F14" s="17"/>
      <c r="G14" s="17">
        <v>0.101987587895146</v>
      </c>
      <c r="H14" s="17">
        <v>0.235101029354821</v>
      </c>
      <c r="I14" s="17">
        <v>8.4679911235693406E-2</v>
      </c>
      <c r="J14" s="17">
        <v>0.16543221813105699</v>
      </c>
      <c r="K14" s="17"/>
      <c r="L14" s="17">
        <v>5.4818392825672503E-2</v>
      </c>
      <c r="M14" s="17">
        <v>9.88214228494535E-2</v>
      </c>
      <c r="N14" s="17">
        <v>0.14238847996718601</v>
      </c>
      <c r="O14" s="17">
        <v>0.25453410456423098</v>
      </c>
    </row>
    <row r="15" spans="2:15" x14ac:dyDescent="0.3">
      <c r="B15" s="18" t="s">
        <v>237</v>
      </c>
      <c r="C15" s="17">
        <v>9.1434161485821494E-2</v>
      </c>
      <c r="D15" s="17">
        <v>8.3287928969900699E-2</v>
      </c>
      <c r="E15" s="17">
        <v>0.103225852786352</v>
      </c>
      <c r="F15" s="17"/>
      <c r="G15" s="17">
        <v>0.13066220024509601</v>
      </c>
      <c r="H15" s="17">
        <v>0.17921497394281</v>
      </c>
      <c r="I15" s="17">
        <v>0</v>
      </c>
      <c r="J15" s="17">
        <v>0</v>
      </c>
      <c r="K15" s="17"/>
      <c r="L15" s="17">
        <v>0.15074739533748599</v>
      </c>
      <c r="M15" s="17">
        <v>0.131247645658883</v>
      </c>
      <c r="N15" s="17">
        <v>3.7111571260661003E-2</v>
      </c>
      <c r="O15" s="17">
        <v>5.3442554375590597E-2</v>
      </c>
    </row>
    <row r="16" spans="2:15" ht="28.8" x14ac:dyDescent="0.3">
      <c r="B16" s="18" t="s">
        <v>238</v>
      </c>
      <c r="C16" s="17">
        <v>0.16035435604557999</v>
      </c>
      <c r="D16" s="17">
        <v>0.21294788957788299</v>
      </c>
      <c r="E16" s="17">
        <v>8.4225088853048705E-2</v>
      </c>
      <c r="F16" s="17"/>
      <c r="G16" s="17">
        <v>0.20116304304031599</v>
      </c>
      <c r="H16" s="17">
        <v>0.18393882286288199</v>
      </c>
      <c r="I16" s="17">
        <v>0.17423035739203399</v>
      </c>
      <c r="J16" s="17">
        <v>5.6063661439749599E-2</v>
      </c>
      <c r="K16" s="17"/>
      <c r="L16" s="17">
        <v>4.0944165382375802E-2</v>
      </c>
      <c r="M16" s="17">
        <v>0.25441473453151198</v>
      </c>
      <c r="N16" s="17">
        <v>0.11183396795627901</v>
      </c>
      <c r="O16" s="17">
        <v>0.21996350164713799</v>
      </c>
    </row>
    <row r="17" spans="2:15" ht="28.8" x14ac:dyDescent="0.3">
      <c r="B17" s="18" t="s">
        <v>261</v>
      </c>
      <c r="C17" s="19">
        <v>0.33369591658233899</v>
      </c>
      <c r="D17" s="19">
        <v>0.38008113768947799</v>
      </c>
      <c r="E17" s="19">
        <v>0.26655319666447902</v>
      </c>
      <c r="F17" s="19"/>
      <c r="G17" s="19">
        <v>0.26177220909210902</v>
      </c>
      <c r="H17" s="19">
        <v>0.34718618964025499</v>
      </c>
      <c r="I17" s="19">
        <v>0.284918685321215</v>
      </c>
      <c r="J17" s="19">
        <v>0.479948153806807</v>
      </c>
      <c r="K17" s="19"/>
      <c r="L17" s="19">
        <v>0.38252062988152102</v>
      </c>
      <c r="M17" s="19">
        <v>0.40644238556034601</v>
      </c>
      <c r="N17" s="19">
        <v>0.31293319427385602</v>
      </c>
      <c r="O17" s="19">
        <v>0.249321373399922</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271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56</v>
      </c>
      <c r="D7" s="10">
        <v>34</v>
      </c>
      <c r="E7" s="10">
        <v>22</v>
      </c>
      <c r="F7" s="10"/>
      <c r="G7" s="10">
        <v>38</v>
      </c>
      <c r="H7" s="10">
        <v>12</v>
      </c>
      <c r="I7" s="10">
        <v>4</v>
      </c>
      <c r="J7" s="10">
        <v>2</v>
      </c>
      <c r="K7" s="10"/>
      <c r="L7" s="10">
        <v>4</v>
      </c>
      <c r="M7" s="10">
        <v>18</v>
      </c>
      <c r="N7" s="10">
        <v>26</v>
      </c>
      <c r="O7" s="10">
        <v>8</v>
      </c>
    </row>
    <row r="8" spans="2:15" ht="30" customHeight="1" x14ac:dyDescent="0.3">
      <c r="B8" s="11" t="s">
        <v>19</v>
      </c>
      <c r="C8" s="11">
        <v>45</v>
      </c>
      <c r="D8" s="11">
        <v>28</v>
      </c>
      <c r="E8" s="11">
        <v>17</v>
      </c>
      <c r="F8" s="11"/>
      <c r="G8" s="11">
        <v>28</v>
      </c>
      <c r="H8" s="11">
        <v>10</v>
      </c>
      <c r="I8" s="11">
        <v>4</v>
      </c>
      <c r="J8" s="11">
        <v>2</v>
      </c>
      <c r="K8" s="11"/>
      <c r="L8" s="11">
        <v>4</v>
      </c>
      <c r="M8" s="11">
        <v>15</v>
      </c>
      <c r="N8" s="11">
        <v>18</v>
      </c>
      <c r="O8" s="11">
        <v>8</v>
      </c>
    </row>
    <row r="9" spans="2:15" x14ac:dyDescent="0.3">
      <c r="B9" s="18" t="s">
        <v>231</v>
      </c>
      <c r="C9" s="17">
        <v>0</v>
      </c>
      <c r="D9" s="17">
        <v>0</v>
      </c>
      <c r="E9" s="17">
        <v>0</v>
      </c>
      <c r="F9" s="17"/>
      <c r="G9" s="17">
        <v>0</v>
      </c>
      <c r="H9" s="17">
        <v>0</v>
      </c>
      <c r="I9" s="17">
        <v>0</v>
      </c>
      <c r="J9" s="17">
        <v>0</v>
      </c>
      <c r="K9" s="17"/>
      <c r="L9" s="17">
        <v>0</v>
      </c>
      <c r="M9" s="17">
        <v>0</v>
      </c>
      <c r="N9" s="17">
        <v>0</v>
      </c>
      <c r="O9" s="17">
        <v>0</v>
      </c>
    </row>
    <row r="10" spans="2:15" x14ac:dyDescent="0.3">
      <c r="B10" s="18" t="s">
        <v>232</v>
      </c>
      <c r="C10" s="17">
        <v>5.9354665947579502E-2</v>
      </c>
      <c r="D10" s="17">
        <v>1.5937146372081899E-2</v>
      </c>
      <c r="E10" s="17">
        <v>0.129578381186051</v>
      </c>
      <c r="F10" s="17"/>
      <c r="G10" s="17">
        <v>9.5309860606970706E-2</v>
      </c>
      <c r="H10" s="17">
        <v>0</v>
      </c>
      <c r="I10" s="17">
        <v>0</v>
      </c>
      <c r="J10" s="17">
        <v>0</v>
      </c>
      <c r="K10" s="17"/>
      <c r="L10" s="17">
        <v>0.21056117901531601</v>
      </c>
      <c r="M10" s="17">
        <v>0</v>
      </c>
      <c r="N10" s="17">
        <v>0.105362812289695</v>
      </c>
      <c r="O10" s="17">
        <v>0</v>
      </c>
    </row>
    <row r="11" spans="2:15" x14ac:dyDescent="0.3">
      <c r="B11" s="18" t="s">
        <v>233</v>
      </c>
      <c r="C11" s="17">
        <v>9.6675116009928494E-2</v>
      </c>
      <c r="D11" s="17">
        <v>9.1064718399627306E-2</v>
      </c>
      <c r="E11" s="17">
        <v>0.10574940141389599</v>
      </c>
      <c r="F11" s="17"/>
      <c r="G11" s="17">
        <v>6.7856409327873499E-2</v>
      </c>
      <c r="H11" s="17">
        <v>0.11541203618784</v>
      </c>
      <c r="I11" s="17">
        <v>0.28329053725314002</v>
      </c>
      <c r="J11" s="17">
        <v>0</v>
      </c>
      <c r="K11" s="17"/>
      <c r="L11" s="17">
        <v>0.328857408101764</v>
      </c>
      <c r="M11" s="17">
        <v>4.7054790698894601E-2</v>
      </c>
      <c r="N11" s="17">
        <v>0.13572346342462399</v>
      </c>
      <c r="O11" s="17">
        <v>0</v>
      </c>
    </row>
    <row r="12" spans="2:15" x14ac:dyDescent="0.3">
      <c r="B12" s="18" t="s">
        <v>234</v>
      </c>
      <c r="C12" s="17">
        <v>0.12229880511171801</v>
      </c>
      <c r="D12" s="17">
        <v>7.6381536116481602E-2</v>
      </c>
      <c r="E12" s="17">
        <v>0.19656562767496599</v>
      </c>
      <c r="F12" s="17"/>
      <c r="G12" s="17">
        <v>0.16011930853452599</v>
      </c>
      <c r="H12" s="17">
        <v>0</v>
      </c>
      <c r="I12" s="17">
        <v>0.23237837147287599</v>
      </c>
      <c r="J12" s="17">
        <v>0</v>
      </c>
      <c r="K12" s="17"/>
      <c r="L12" s="17">
        <v>0</v>
      </c>
      <c r="M12" s="17">
        <v>8.4385376032016998E-2</v>
      </c>
      <c r="N12" s="17">
        <v>0.18215908625182201</v>
      </c>
      <c r="O12" s="17">
        <v>0.11462195522822</v>
      </c>
    </row>
    <row r="13" spans="2:15" x14ac:dyDescent="0.3">
      <c r="B13" s="18" t="s">
        <v>235</v>
      </c>
      <c r="C13" s="17">
        <v>8.8474639350924797E-2</v>
      </c>
      <c r="D13" s="17">
        <v>5.29953826529466E-2</v>
      </c>
      <c r="E13" s="17">
        <v>0.145858968156237</v>
      </c>
      <c r="F13" s="17"/>
      <c r="G13" s="17">
        <v>5.2406965731622603E-2</v>
      </c>
      <c r="H13" s="17">
        <v>0.23969643720282899</v>
      </c>
      <c r="I13" s="17">
        <v>0</v>
      </c>
      <c r="J13" s="17">
        <v>0</v>
      </c>
      <c r="K13" s="17"/>
      <c r="L13" s="17">
        <v>0</v>
      </c>
      <c r="M13" s="17">
        <v>0.169443358320638</v>
      </c>
      <c r="N13" s="17">
        <v>4.5417297249194598E-2</v>
      </c>
      <c r="O13" s="17">
        <v>7.6670586746625996E-2</v>
      </c>
    </row>
    <row r="14" spans="2:15" x14ac:dyDescent="0.3">
      <c r="B14" s="18" t="s">
        <v>236</v>
      </c>
      <c r="C14" s="17">
        <v>0.20814236710532599</v>
      </c>
      <c r="D14" s="17">
        <v>0.156761948906215</v>
      </c>
      <c r="E14" s="17">
        <v>0.291245314756997</v>
      </c>
      <c r="F14" s="17"/>
      <c r="G14" s="17">
        <v>0.147264275121848</v>
      </c>
      <c r="H14" s="17">
        <v>0.49981304771309798</v>
      </c>
      <c r="I14" s="17">
        <v>0</v>
      </c>
      <c r="J14" s="17">
        <v>0</v>
      </c>
      <c r="K14" s="17"/>
      <c r="L14" s="17">
        <v>0</v>
      </c>
      <c r="M14" s="17">
        <v>0.177889377401935</v>
      </c>
      <c r="N14" s="17">
        <v>0.205961182405312</v>
      </c>
      <c r="O14" s="17">
        <v>0.35573417914183503</v>
      </c>
    </row>
    <row r="15" spans="2:15" x14ac:dyDescent="0.3">
      <c r="B15" s="18" t="s">
        <v>237</v>
      </c>
      <c r="C15" s="17">
        <v>3.7495408002561001E-2</v>
      </c>
      <c r="D15" s="17">
        <v>6.0677855775569202E-2</v>
      </c>
      <c r="E15" s="17">
        <v>0</v>
      </c>
      <c r="F15" s="17"/>
      <c r="G15" s="17">
        <v>2.5025882612586099E-2</v>
      </c>
      <c r="H15" s="17">
        <v>0</v>
      </c>
      <c r="I15" s="17">
        <v>0</v>
      </c>
      <c r="J15" s="17">
        <v>0.46511792598249002</v>
      </c>
      <c r="K15" s="17"/>
      <c r="L15" s="17">
        <v>0</v>
      </c>
      <c r="M15" s="17">
        <v>0.11378188872938801</v>
      </c>
      <c r="N15" s="17">
        <v>0</v>
      </c>
      <c r="O15" s="17">
        <v>0</v>
      </c>
    </row>
    <row r="16" spans="2:15" ht="28.8" x14ac:dyDescent="0.3">
      <c r="B16" s="18" t="s">
        <v>238</v>
      </c>
      <c r="C16" s="17">
        <v>0.18936510899487799</v>
      </c>
      <c r="D16" s="17">
        <v>0.28415905947905301</v>
      </c>
      <c r="E16" s="17">
        <v>3.6044895168402903E-2</v>
      </c>
      <c r="F16" s="17"/>
      <c r="G16" s="17">
        <v>0.270103311717246</v>
      </c>
      <c r="H16" s="17">
        <v>0</v>
      </c>
      <c r="I16" s="17">
        <v>0.217697607386028</v>
      </c>
      <c r="J16" s="17">
        <v>0</v>
      </c>
      <c r="K16" s="17"/>
      <c r="L16" s="17">
        <v>0.46058141288291998</v>
      </c>
      <c r="M16" s="17">
        <v>8.0939034079777095E-2</v>
      </c>
      <c r="N16" s="17">
        <v>0.14723662057325601</v>
      </c>
      <c r="O16" s="17">
        <v>0.35045802725550901</v>
      </c>
    </row>
    <row r="17" spans="2:15" ht="28.8" x14ac:dyDescent="0.3">
      <c r="B17" s="18" t="s">
        <v>261</v>
      </c>
      <c r="C17" s="19">
        <v>0.198193889477084</v>
      </c>
      <c r="D17" s="19">
        <v>0.26202235229802501</v>
      </c>
      <c r="E17" s="19">
        <v>9.4957411643451103E-2</v>
      </c>
      <c r="F17" s="19"/>
      <c r="G17" s="19">
        <v>0.181913986347327</v>
      </c>
      <c r="H17" s="19">
        <v>0.14507847889623299</v>
      </c>
      <c r="I17" s="19">
        <v>0.26663348388795499</v>
      </c>
      <c r="J17" s="19">
        <v>0.53488207401750998</v>
      </c>
      <c r="K17" s="19"/>
      <c r="L17" s="19">
        <v>0</v>
      </c>
      <c r="M17" s="19">
        <v>0.326506174737351</v>
      </c>
      <c r="N17" s="19">
        <v>0.17813953780609601</v>
      </c>
      <c r="O17" s="19">
        <v>0.10251525162781</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272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104</v>
      </c>
      <c r="D7" s="10">
        <v>56</v>
      </c>
      <c r="E7" s="10">
        <v>48</v>
      </c>
      <c r="F7" s="10"/>
      <c r="G7" s="10">
        <v>58</v>
      </c>
      <c r="H7" s="10">
        <v>22</v>
      </c>
      <c r="I7" s="10">
        <v>15</v>
      </c>
      <c r="J7" s="10">
        <v>9</v>
      </c>
      <c r="K7" s="10"/>
      <c r="L7" s="10">
        <v>23</v>
      </c>
      <c r="M7" s="10">
        <v>33</v>
      </c>
      <c r="N7" s="10">
        <v>28</v>
      </c>
      <c r="O7" s="10">
        <v>20</v>
      </c>
    </row>
    <row r="8" spans="2:15" ht="30" customHeight="1" x14ac:dyDescent="0.3">
      <c r="B8" s="11" t="s">
        <v>19</v>
      </c>
      <c r="C8" s="11">
        <v>96</v>
      </c>
      <c r="D8" s="11">
        <v>50</v>
      </c>
      <c r="E8" s="11">
        <v>46</v>
      </c>
      <c r="F8" s="11"/>
      <c r="G8" s="11">
        <v>43</v>
      </c>
      <c r="H8" s="11">
        <v>21</v>
      </c>
      <c r="I8" s="11">
        <v>19</v>
      </c>
      <c r="J8" s="11">
        <v>12</v>
      </c>
      <c r="K8" s="11"/>
      <c r="L8" s="11">
        <v>24</v>
      </c>
      <c r="M8" s="11">
        <v>27</v>
      </c>
      <c r="N8" s="11">
        <v>21</v>
      </c>
      <c r="O8" s="11">
        <v>24</v>
      </c>
    </row>
    <row r="9" spans="2:15" x14ac:dyDescent="0.3">
      <c r="B9" s="18" t="s">
        <v>231</v>
      </c>
      <c r="C9" s="17">
        <v>7.2700362692605701E-3</v>
      </c>
      <c r="D9" s="17">
        <v>1.39768650898974E-2</v>
      </c>
      <c r="E9" s="17">
        <v>0</v>
      </c>
      <c r="F9" s="17"/>
      <c r="G9" s="17">
        <v>1.6108192931284699E-2</v>
      </c>
      <c r="H9" s="17">
        <v>0</v>
      </c>
      <c r="I9" s="17">
        <v>0</v>
      </c>
      <c r="J9" s="17">
        <v>0</v>
      </c>
      <c r="K9" s="17"/>
      <c r="L9" s="17">
        <v>0</v>
      </c>
      <c r="M9" s="17">
        <v>2.6088416849092098E-2</v>
      </c>
      <c r="N9" s="17">
        <v>0</v>
      </c>
      <c r="O9" s="17">
        <v>0</v>
      </c>
    </row>
    <row r="10" spans="2:15" x14ac:dyDescent="0.3">
      <c r="B10" s="18" t="s">
        <v>232</v>
      </c>
      <c r="C10" s="17">
        <v>5.6029925947829101E-2</v>
      </c>
      <c r="D10" s="17">
        <v>7.9469018965957205E-2</v>
      </c>
      <c r="E10" s="17">
        <v>3.06225298568427E-2</v>
      </c>
      <c r="F10" s="17"/>
      <c r="G10" s="17">
        <v>0.12414530322350401</v>
      </c>
      <c r="H10" s="17">
        <v>0</v>
      </c>
      <c r="I10" s="17">
        <v>0</v>
      </c>
      <c r="J10" s="17">
        <v>0</v>
      </c>
      <c r="K10" s="17"/>
      <c r="L10" s="17">
        <v>5.9721355928806702E-2</v>
      </c>
      <c r="M10" s="17">
        <v>8.1456789074516894E-2</v>
      </c>
      <c r="N10" s="17">
        <v>8.4119577778193205E-2</v>
      </c>
      <c r="O10" s="17">
        <v>0</v>
      </c>
    </row>
    <row r="11" spans="2:15" x14ac:dyDescent="0.3">
      <c r="B11" s="18" t="s">
        <v>233</v>
      </c>
      <c r="C11" s="17">
        <v>0.112732437204054</v>
      </c>
      <c r="D11" s="17">
        <v>2.2544872405850701E-2</v>
      </c>
      <c r="E11" s="17">
        <v>0.210493522905502</v>
      </c>
      <c r="F11" s="17"/>
      <c r="G11" s="17">
        <v>0.15930149744434899</v>
      </c>
      <c r="H11" s="17">
        <v>0.136498750343756</v>
      </c>
      <c r="I11" s="17">
        <v>5.3129661721230799E-2</v>
      </c>
      <c r="J11" s="17">
        <v>0</v>
      </c>
      <c r="K11" s="17"/>
      <c r="L11" s="17">
        <v>0.108568292868002</v>
      </c>
      <c r="M11" s="17">
        <v>0.104939145528368</v>
      </c>
      <c r="N11" s="17">
        <v>0.21214299726490901</v>
      </c>
      <c r="O11" s="17">
        <v>3.9021655083565802E-2</v>
      </c>
    </row>
    <row r="12" spans="2:15" x14ac:dyDescent="0.3">
      <c r="B12" s="18" t="s">
        <v>234</v>
      </c>
      <c r="C12" s="17">
        <v>0.240105064655873</v>
      </c>
      <c r="D12" s="17">
        <v>0.31935933431670499</v>
      </c>
      <c r="E12" s="17">
        <v>0.154195399993627</v>
      </c>
      <c r="F12" s="17"/>
      <c r="G12" s="17">
        <v>0.32430822454407399</v>
      </c>
      <c r="H12" s="17">
        <v>9.4041860010649306E-2</v>
      </c>
      <c r="I12" s="17">
        <v>0.17316417668936199</v>
      </c>
      <c r="J12" s="17">
        <v>0.30039553294341798</v>
      </c>
      <c r="K12" s="17"/>
      <c r="L12" s="17">
        <v>0.214816241255507</v>
      </c>
      <c r="M12" s="17">
        <v>0.32543264693273499</v>
      </c>
      <c r="N12" s="17">
        <v>0.22975373781903699</v>
      </c>
      <c r="O12" s="17">
        <v>0.17995886282680301</v>
      </c>
    </row>
    <row r="13" spans="2:15" x14ac:dyDescent="0.3">
      <c r="B13" s="18" t="s">
        <v>235</v>
      </c>
      <c r="C13" s="17">
        <v>0.124867040057585</v>
      </c>
      <c r="D13" s="17">
        <v>0.110073611105129</v>
      </c>
      <c r="E13" s="17">
        <v>0.14090275051140799</v>
      </c>
      <c r="F13" s="17"/>
      <c r="G13" s="17">
        <v>5.7137423406184301E-2</v>
      </c>
      <c r="H13" s="17">
        <v>0.198179111527851</v>
      </c>
      <c r="I13" s="17">
        <v>0.19469625060596199</v>
      </c>
      <c r="J13" s="17">
        <v>0.12804594824269799</v>
      </c>
      <c r="K13" s="17"/>
      <c r="L13" s="17">
        <v>0.20096448906721501</v>
      </c>
      <c r="M13" s="17">
        <v>7.1807297505485104E-2</v>
      </c>
      <c r="N13" s="17">
        <v>3.4639331811782997E-2</v>
      </c>
      <c r="O13" s="17">
        <v>0.187009134497862</v>
      </c>
    </row>
    <row r="14" spans="2:15" x14ac:dyDescent="0.3">
      <c r="B14" s="18" t="s">
        <v>236</v>
      </c>
      <c r="C14" s="17">
        <v>0.28027537663461599</v>
      </c>
      <c r="D14" s="17">
        <v>0.18880273251621499</v>
      </c>
      <c r="E14" s="17">
        <v>0.379429456479284</v>
      </c>
      <c r="F14" s="17"/>
      <c r="G14" s="17">
        <v>0.24955944313082401</v>
      </c>
      <c r="H14" s="17">
        <v>0.30126300657500898</v>
      </c>
      <c r="I14" s="17">
        <v>0.22736572633400701</v>
      </c>
      <c r="J14" s="17">
        <v>0.43487760034345102</v>
      </c>
      <c r="K14" s="17"/>
      <c r="L14" s="17">
        <v>0.12135335108041501</v>
      </c>
      <c r="M14" s="17">
        <v>0.23138368319786601</v>
      </c>
      <c r="N14" s="17">
        <v>0.33844361915256399</v>
      </c>
      <c r="O14" s="17">
        <v>0.43954512792671302</v>
      </c>
    </row>
    <row r="15" spans="2:15" x14ac:dyDescent="0.3">
      <c r="B15" s="18" t="s">
        <v>237</v>
      </c>
      <c r="C15" s="17">
        <v>7.3754993480811604E-2</v>
      </c>
      <c r="D15" s="17">
        <v>0.108216572491303</v>
      </c>
      <c r="E15" s="17">
        <v>3.6399495673657099E-2</v>
      </c>
      <c r="F15" s="17"/>
      <c r="G15" s="17">
        <v>1.1824670814016501E-2</v>
      </c>
      <c r="H15" s="17">
        <v>0.16832728048402201</v>
      </c>
      <c r="I15" s="17">
        <v>6.8500100590342797E-2</v>
      </c>
      <c r="J15" s="17">
        <v>0.13668091847043401</v>
      </c>
      <c r="K15" s="17"/>
      <c r="L15" s="17">
        <v>0.165193648072852</v>
      </c>
      <c r="M15" s="17">
        <v>6.8103174691487106E-2</v>
      </c>
      <c r="N15" s="17">
        <v>6.2517646666420901E-2</v>
      </c>
      <c r="O15" s="17">
        <v>0</v>
      </c>
    </row>
    <row r="16" spans="2:15" ht="28.8" x14ac:dyDescent="0.3">
      <c r="B16" s="18" t="s">
        <v>238</v>
      </c>
      <c r="C16" s="17">
        <v>5.89564322398171E-2</v>
      </c>
      <c r="D16" s="17">
        <v>6.9103885265059603E-2</v>
      </c>
      <c r="E16" s="17">
        <v>4.7956844579679699E-2</v>
      </c>
      <c r="F16" s="17"/>
      <c r="G16" s="17">
        <v>3.5303470204449801E-2</v>
      </c>
      <c r="H16" s="17">
        <v>5.3679909450148902E-2</v>
      </c>
      <c r="I16" s="17">
        <v>0.15619353908632</v>
      </c>
      <c r="J16" s="17">
        <v>0</v>
      </c>
      <c r="K16" s="17"/>
      <c r="L16" s="17">
        <v>8.8839204553529894E-2</v>
      </c>
      <c r="M16" s="17">
        <v>0</v>
      </c>
      <c r="N16" s="17">
        <v>3.8383089507092197E-2</v>
      </c>
      <c r="O16" s="17">
        <v>0.112425616935069</v>
      </c>
    </row>
    <row r="17" spans="2:15" ht="28.8" x14ac:dyDescent="0.3">
      <c r="B17" s="18" t="s">
        <v>261</v>
      </c>
      <c r="C17" s="19">
        <v>4.6008693510153201E-2</v>
      </c>
      <c r="D17" s="19">
        <v>8.8453107843883605E-2</v>
      </c>
      <c r="E17" s="19">
        <v>0</v>
      </c>
      <c r="F17" s="19"/>
      <c r="G17" s="19">
        <v>2.2311774301314698E-2</v>
      </c>
      <c r="H17" s="19">
        <v>4.8010081608564403E-2</v>
      </c>
      <c r="I17" s="19">
        <v>0.126950544972775</v>
      </c>
      <c r="J17" s="19">
        <v>0</v>
      </c>
      <c r="K17" s="19"/>
      <c r="L17" s="19">
        <v>4.0543417173673102E-2</v>
      </c>
      <c r="M17" s="19">
        <v>9.0788846220449707E-2</v>
      </c>
      <c r="N17" s="19">
        <v>0</v>
      </c>
      <c r="O17" s="19">
        <v>4.2039602729986497E-2</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273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19</v>
      </c>
      <c r="D7" s="10">
        <v>9</v>
      </c>
      <c r="E7" s="10">
        <v>10</v>
      </c>
      <c r="F7" s="10"/>
      <c r="G7" s="10">
        <v>13</v>
      </c>
      <c r="H7" s="10">
        <v>3</v>
      </c>
      <c r="I7" s="10">
        <v>2</v>
      </c>
      <c r="J7" s="10">
        <v>1</v>
      </c>
      <c r="K7" s="10"/>
      <c r="L7" s="10">
        <v>5</v>
      </c>
      <c r="M7" s="10">
        <v>2</v>
      </c>
      <c r="N7" s="10">
        <v>7</v>
      </c>
      <c r="O7" s="10">
        <v>5</v>
      </c>
    </row>
    <row r="8" spans="2:15" ht="30" customHeight="1" x14ac:dyDescent="0.3">
      <c r="B8" s="11" t="s">
        <v>19</v>
      </c>
      <c r="C8" s="11">
        <v>16</v>
      </c>
      <c r="D8" s="11">
        <v>7</v>
      </c>
      <c r="E8" s="11">
        <v>9</v>
      </c>
      <c r="F8" s="11"/>
      <c r="G8" s="11">
        <v>9</v>
      </c>
      <c r="H8" s="11">
        <v>3</v>
      </c>
      <c r="I8" s="11">
        <v>3</v>
      </c>
      <c r="J8" s="11">
        <v>1</v>
      </c>
      <c r="K8" s="11"/>
      <c r="L8" s="11">
        <v>5</v>
      </c>
      <c r="M8" s="11">
        <v>1</v>
      </c>
      <c r="N8" s="11">
        <v>4</v>
      </c>
      <c r="O8" s="11">
        <v>6</v>
      </c>
    </row>
    <row r="9" spans="2:15" x14ac:dyDescent="0.3">
      <c r="B9" s="18" t="s">
        <v>231</v>
      </c>
      <c r="C9" s="17">
        <v>0</v>
      </c>
      <c r="D9" s="17">
        <v>0</v>
      </c>
      <c r="E9" s="17">
        <v>0</v>
      </c>
      <c r="F9" s="17"/>
      <c r="G9" s="17">
        <v>0</v>
      </c>
      <c r="H9" s="17">
        <v>0</v>
      </c>
      <c r="I9" s="17">
        <v>0</v>
      </c>
      <c r="J9" s="17">
        <v>0</v>
      </c>
      <c r="K9" s="17"/>
      <c r="L9" s="17">
        <v>0</v>
      </c>
      <c r="M9" s="17">
        <v>0</v>
      </c>
      <c r="N9" s="17">
        <v>0</v>
      </c>
      <c r="O9" s="17">
        <v>0</v>
      </c>
    </row>
    <row r="10" spans="2:15" x14ac:dyDescent="0.3">
      <c r="B10" s="18" t="s">
        <v>232</v>
      </c>
      <c r="C10" s="17">
        <v>3.9702259219089001E-2</v>
      </c>
      <c r="D10" s="17">
        <v>9.2915742158554096E-2</v>
      </c>
      <c r="E10" s="17">
        <v>0</v>
      </c>
      <c r="F10" s="17"/>
      <c r="G10" s="17">
        <v>7.2996094340048195E-2</v>
      </c>
      <c r="H10" s="17">
        <v>0</v>
      </c>
      <c r="I10" s="17">
        <v>0</v>
      </c>
      <c r="J10" s="17">
        <v>0</v>
      </c>
      <c r="K10" s="17"/>
      <c r="L10" s="17">
        <v>0.12763269693326801</v>
      </c>
      <c r="M10" s="17">
        <v>0</v>
      </c>
      <c r="N10" s="17">
        <v>0</v>
      </c>
      <c r="O10" s="17">
        <v>0</v>
      </c>
    </row>
    <row r="11" spans="2:15" x14ac:dyDescent="0.3">
      <c r="B11" s="18" t="s">
        <v>233</v>
      </c>
      <c r="C11" s="17">
        <v>0.19653886437159801</v>
      </c>
      <c r="D11" s="17">
        <v>7.3328366754849397E-2</v>
      </c>
      <c r="E11" s="17">
        <v>0.28846547478456203</v>
      </c>
      <c r="F11" s="17"/>
      <c r="G11" s="17">
        <v>0.248327026286807</v>
      </c>
      <c r="H11" s="17">
        <v>0.30551816545364802</v>
      </c>
      <c r="I11" s="17">
        <v>0</v>
      </c>
      <c r="J11" s="17">
        <v>0</v>
      </c>
      <c r="K11" s="17"/>
      <c r="L11" s="17">
        <v>0</v>
      </c>
      <c r="M11" s="17">
        <v>0</v>
      </c>
      <c r="N11" s="17">
        <v>0.47629134577485199</v>
      </c>
      <c r="O11" s="17">
        <v>0.20011042745518001</v>
      </c>
    </row>
    <row r="12" spans="2:15" x14ac:dyDescent="0.3">
      <c r="B12" s="18" t="s">
        <v>234</v>
      </c>
      <c r="C12" s="17">
        <v>0.21012998180064499</v>
      </c>
      <c r="D12" s="17">
        <v>0</v>
      </c>
      <c r="E12" s="17">
        <v>0.36690669601501302</v>
      </c>
      <c r="F12" s="17"/>
      <c r="G12" s="17">
        <v>0.241730332022492</v>
      </c>
      <c r="H12" s="17">
        <v>0</v>
      </c>
      <c r="I12" s="17">
        <v>0</v>
      </c>
      <c r="J12" s="17">
        <v>1</v>
      </c>
      <c r="K12" s="17"/>
      <c r="L12" s="17">
        <v>0.42313786512632101</v>
      </c>
      <c r="M12" s="17">
        <v>0.52733037284313899</v>
      </c>
      <c r="N12" s="17">
        <v>0.14570294651010801</v>
      </c>
      <c r="O12" s="17">
        <v>0</v>
      </c>
    </row>
    <row r="13" spans="2:15" x14ac:dyDescent="0.3">
      <c r="B13" s="18" t="s">
        <v>235</v>
      </c>
      <c r="C13" s="17">
        <v>0.175252448183911</v>
      </c>
      <c r="D13" s="17">
        <v>0.219299296502737</v>
      </c>
      <c r="E13" s="17">
        <v>0.142389359862342</v>
      </c>
      <c r="F13" s="17"/>
      <c r="G13" s="17">
        <v>6.5292318653837E-2</v>
      </c>
      <c r="H13" s="17">
        <v>0.69448183454635204</v>
      </c>
      <c r="I13" s="17">
        <v>0</v>
      </c>
      <c r="J13" s="17">
        <v>0</v>
      </c>
      <c r="K13" s="17"/>
      <c r="L13" s="17">
        <v>0.44922943794041098</v>
      </c>
      <c r="M13" s="17">
        <v>0.47266962715686101</v>
      </c>
      <c r="N13" s="17">
        <v>0</v>
      </c>
      <c r="O13" s="17">
        <v>0</v>
      </c>
    </row>
    <row r="14" spans="2:15" x14ac:dyDescent="0.3">
      <c r="B14" s="18" t="s">
        <v>236</v>
      </c>
      <c r="C14" s="17">
        <v>0</v>
      </c>
      <c r="D14" s="17">
        <v>0</v>
      </c>
      <c r="E14" s="17">
        <v>0</v>
      </c>
      <c r="F14" s="17"/>
      <c r="G14" s="17">
        <v>0</v>
      </c>
      <c r="H14" s="17">
        <v>0</v>
      </c>
      <c r="I14" s="17">
        <v>0</v>
      </c>
      <c r="J14" s="17">
        <v>0</v>
      </c>
      <c r="K14" s="17"/>
      <c r="L14" s="17">
        <v>0</v>
      </c>
      <c r="M14" s="17">
        <v>0</v>
      </c>
      <c r="N14" s="17">
        <v>0</v>
      </c>
      <c r="O14" s="17">
        <v>0</v>
      </c>
    </row>
    <row r="15" spans="2:15" x14ac:dyDescent="0.3">
      <c r="B15" s="18" t="s">
        <v>237</v>
      </c>
      <c r="C15" s="17">
        <v>0.11582335875293701</v>
      </c>
      <c r="D15" s="17">
        <v>0</v>
      </c>
      <c r="E15" s="17">
        <v>0.20223846933808301</v>
      </c>
      <c r="F15" s="17"/>
      <c r="G15" s="17">
        <v>6.76400634722778E-2</v>
      </c>
      <c r="H15" s="17">
        <v>0</v>
      </c>
      <c r="I15" s="17">
        <v>0.448458460138693</v>
      </c>
      <c r="J15" s="17">
        <v>0</v>
      </c>
      <c r="K15" s="17"/>
      <c r="L15" s="17">
        <v>0</v>
      </c>
      <c r="M15" s="17">
        <v>0</v>
      </c>
      <c r="N15" s="17">
        <v>0</v>
      </c>
      <c r="O15" s="17">
        <v>0.33387165277063502</v>
      </c>
    </row>
    <row r="16" spans="2:15" ht="28.8" x14ac:dyDescent="0.3">
      <c r="B16" s="18" t="s">
        <v>238</v>
      </c>
      <c r="C16" s="17">
        <v>0.196522364346565</v>
      </c>
      <c r="D16" s="17">
        <v>0.459923986523049</v>
      </c>
      <c r="E16" s="17">
        <v>0</v>
      </c>
      <c r="F16" s="17"/>
      <c r="G16" s="17">
        <v>0.18261087473182799</v>
      </c>
      <c r="H16" s="17">
        <v>0</v>
      </c>
      <c r="I16" s="17">
        <v>0.55154153986130705</v>
      </c>
      <c r="J16" s="17">
        <v>0</v>
      </c>
      <c r="K16" s="17"/>
      <c r="L16" s="17">
        <v>0</v>
      </c>
      <c r="M16" s="17">
        <v>0</v>
      </c>
      <c r="N16" s="17">
        <v>0.13060002030847301</v>
      </c>
      <c r="O16" s="17">
        <v>0.466017919774185</v>
      </c>
    </row>
    <row r="17" spans="2:15" ht="28.8" x14ac:dyDescent="0.3">
      <c r="B17" s="18" t="s">
        <v>261</v>
      </c>
      <c r="C17" s="19">
        <v>6.6030723325254906E-2</v>
      </c>
      <c r="D17" s="19">
        <v>0.15453260806081101</v>
      </c>
      <c r="E17" s="19">
        <v>0</v>
      </c>
      <c r="F17" s="19"/>
      <c r="G17" s="19">
        <v>0.12140329049270999</v>
      </c>
      <c r="H17" s="19">
        <v>0</v>
      </c>
      <c r="I17" s="19">
        <v>0</v>
      </c>
      <c r="J17" s="19">
        <v>0</v>
      </c>
      <c r="K17" s="19"/>
      <c r="L17" s="19">
        <v>0</v>
      </c>
      <c r="M17" s="19">
        <v>0</v>
      </c>
      <c r="N17" s="19">
        <v>0.24740568740656799</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274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49</v>
      </c>
      <c r="D7" s="10">
        <v>33</v>
      </c>
      <c r="E7" s="10">
        <v>16</v>
      </c>
      <c r="F7" s="10"/>
      <c r="G7" s="10">
        <v>28</v>
      </c>
      <c r="H7" s="10">
        <v>13</v>
      </c>
      <c r="I7" s="10">
        <v>6</v>
      </c>
      <c r="J7" s="10">
        <v>2</v>
      </c>
      <c r="K7" s="10"/>
      <c r="L7" s="10">
        <v>7</v>
      </c>
      <c r="M7" s="10">
        <v>15</v>
      </c>
      <c r="N7" s="10">
        <v>19</v>
      </c>
      <c r="O7" s="10">
        <v>8</v>
      </c>
    </row>
    <row r="8" spans="2:15" ht="30" customHeight="1" x14ac:dyDescent="0.3">
      <c r="B8" s="11" t="s">
        <v>19</v>
      </c>
      <c r="C8" s="11">
        <v>40</v>
      </c>
      <c r="D8" s="11">
        <v>27</v>
      </c>
      <c r="E8" s="11">
        <v>12</v>
      </c>
      <c r="F8" s="11"/>
      <c r="G8" s="11">
        <v>19</v>
      </c>
      <c r="H8" s="11">
        <v>11</v>
      </c>
      <c r="I8" s="11">
        <v>7</v>
      </c>
      <c r="J8" s="11">
        <v>2</v>
      </c>
      <c r="K8" s="11"/>
      <c r="L8" s="11">
        <v>6</v>
      </c>
      <c r="M8" s="11">
        <v>11</v>
      </c>
      <c r="N8" s="11">
        <v>15</v>
      </c>
      <c r="O8" s="11">
        <v>7</v>
      </c>
    </row>
    <row r="9" spans="2:15" x14ac:dyDescent="0.3">
      <c r="B9" s="18" t="s">
        <v>231</v>
      </c>
      <c r="C9" s="17">
        <v>0</v>
      </c>
      <c r="D9" s="17">
        <v>0</v>
      </c>
      <c r="E9" s="17">
        <v>0</v>
      </c>
      <c r="F9" s="17"/>
      <c r="G9" s="17">
        <v>0</v>
      </c>
      <c r="H9" s="17">
        <v>0</v>
      </c>
      <c r="I9" s="17">
        <v>0</v>
      </c>
      <c r="J9" s="17">
        <v>0</v>
      </c>
      <c r="K9" s="17"/>
      <c r="L9" s="17">
        <v>0</v>
      </c>
      <c r="M9" s="17">
        <v>0</v>
      </c>
      <c r="N9" s="17">
        <v>0</v>
      </c>
      <c r="O9" s="17">
        <v>0</v>
      </c>
    </row>
    <row r="10" spans="2:15" x14ac:dyDescent="0.3">
      <c r="B10" s="18" t="s">
        <v>232</v>
      </c>
      <c r="C10" s="17">
        <v>3.2385109057029501E-2</v>
      </c>
      <c r="D10" s="17">
        <v>2.3828953585514401E-2</v>
      </c>
      <c r="E10" s="17">
        <v>5.1128438303044102E-2</v>
      </c>
      <c r="F10" s="17"/>
      <c r="G10" s="17">
        <v>6.6167400247273606E-2</v>
      </c>
      <c r="H10" s="17">
        <v>0</v>
      </c>
      <c r="I10" s="17">
        <v>0</v>
      </c>
      <c r="J10" s="17">
        <v>0</v>
      </c>
      <c r="K10" s="17"/>
      <c r="L10" s="17">
        <v>0.10143966920101399</v>
      </c>
      <c r="M10" s="17">
        <v>0</v>
      </c>
      <c r="N10" s="17">
        <v>4.3613609262449601E-2</v>
      </c>
      <c r="O10" s="17">
        <v>0</v>
      </c>
    </row>
    <row r="11" spans="2:15" x14ac:dyDescent="0.3">
      <c r="B11" s="18" t="s">
        <v>233</v>
      </c>
      <c r="C11" s="17">
        <v>0.216432377209549</v>
      </c>
      <c r="D11" s="17">
        <v>0.175728065130282</v>
      </c>
      <c r="E11" s="17">
        <v>0.30560026640629701</v>
      </c>
      <c r="F11" s="17"/>
      <c r="G11" s="17">
        <v>0.30265583698464199</v>
      </c>
      <c r="H11" s="17">
        <v>0.148867952828827</v>
      </c>
      <c r="I11" s="17">
        <v>0.14986338414005901</v>
      </c>
      <c r="J11" s="17">
        <v>0</v>
      </c>
      <c r="K11" s="17"/>
      <c r="L11" s="17">
        <v>0.15242088978037099</v>
      </c>
      <c r="M11" s="17">
        <v>0.14100446140092099</v>
      </c>
      <c r="N11" s="17">
        <v>0.281638429705801</v>
      </c>
      <c r="O11" s="17">
        <v>0.25753349173346002</v>
      </c>
    </row>
    <row r="12" spans="2:15" x14ac:dyDescent="0.3">
      <c r="B12" s="18" t="s">
        <v>234</v>
      </c>
      <c r="C12" s="17">
        <v>0.21959917007990201</v>
      </c>
      <c r="D12" s="17">
        <v>0.17488969739378599</v>
      </c>
      <c r="E12" s="17">
        <v>0.31754086477694399</v>
      </c>
      <c r="F12" s="17"/>
      <c r="G12" s="17">
        <v>0.242645634640064</v>
      </c>
      <c r="H12" s="17">
        <v>0.14157817290063701</v>
      </c>
      <c r="I12" s="17">
        <v>0.35244648539249301</v>
      </c>
      <c r="J12" s="17">
        <v>0</v>
      </c>
      <c r="K12" s="17"/>
      <c r="L12" s="17">
        <v>0.14055824612808801</v>
      </c>
      <c r="M12" s="17">
        <v>0.21772302026561999</v>
      </c>
      <c r="N12" s="17">
        <v>0.27950080204309802</v>
      </c>
      <c r="O12" s="17">
        <v>0.17317943384210499</v>
      </c>
    </row>
    <row r="13" spans="2:15" x14ac:dyDescent="0.3">
      <c r="B13" s="18" t="s">
        <v>235</v>
      </c>
      <c r="C13" s="17">
        <v>0.15357250445783299</v>
      </c>
      <c r="D13" s="17">
        <v>0.15127499791392901</v>
      </c>
      <c r="E13" s="17">
        <v>0.15860548004372799</v>
      </c>
      <c r="F13" s="17"/>
      <c r="G13" s="17">
        <v>0.16500249120654401</v>
      </c>
      <c r="H13" s="17">
        <v>0.16727359466987099</v>
      </c>
      <c r="I13" s="17">
        <v>0</v>
      </c>
      <c r="J13" s="17">
        <v>0.46975974511553997</v>
      </c>
      <c r="K13" s="17"/>
      <c r="L13" s="17">
        <v>0.60558119489052697</v>
      </c>
      <c r="M13" s="17">
        <v>0.13941496546917001</v>
      </c>
      <c r="N13" s="17">
        <v>0</v>
      </c>
      <c r="O13" s="17">
        <v>8.7287348085056907E-2</v>
      </c>
    </row>
    <row r="14" spans="2:15" x14ac:dyDescent="0.3">
      <c r="B14" s="18" t="s">
        <v>236</v>
      </c>
      <c r="C14" s="17">
        <v>7.9140106205498495E-2</v>
      </c>
      <c r="D14" s="17">
        <v>9.3186305712045794E-2</v>
      </c>
      <c r="E14" s="17">
        <v>4.83701484969341E-2</v>
      </c>
      <c r="F14" s="17"/>
      <c r="G14" s="17">
        <v>6.1742134317686201E-2</v>
      </c>
      <c r="H14" s="17">
        <v>0.17062397331096699</v>
      </c>
      <c r="I14" s="17">
        <v>0</v>
      </c>
      <c r="J14" s="17">
        <v>0</v>
      </c>
      <c r="K14" s="17"/>
      <c r="L14" s="17">
        <v>0</v>
      </c>
      <c r="M14" s="17">
        <v>0</v>
      </c>
      <c r="N14" s="17">
        <v>4.09859179467255E-2</v>
      </c>
      <c r="O14" s="17">
        <v>0.34074409399592198</v>
      </c>
    </row>
    <row r="15" spans="2:15" x14ac:dyDescent="0.3">
      <c r="B15" s="18" t="s">
        <v>237</v>
      </c>
      <c r="C15" s="17">
        <v>3.6927241405447397E-2</v>
      </c>
      <c r="D15" s="17">
        <v>2.6414148421435E-2</v>
      </c>
      <c r="E15" s="17">
        <v>5.99574871565118E-2</v>
      </c>
      <c r="F15" s="17"/>
      <c r="G15" s="17">
        <v>3.7053360824221698E-2</v>
      </c>
      <c r="H15" s="17">
        <v>6.5541017407861599E-2</v>
      </c>
      <c r="I15" s="17">
        <v>0</v>
      </c>
      <c r="J15" s="17">
        <v>0</v>
      </c>
      <c r="K15" s="17"/>
      <c r="L15" s="17">
        <v>0</v>
      </c>
      <c r="M15" s="17">
        <v>6.4030199074838298E-2</v>
      </c>
      <c r="N15" s="17">
        <v>5.1144969492384403E-2</v>
      </c>
      <c r="O15" s="17">
        <v>0</v>
      </c>
    </row>
    <row r="16" spans="2:15" ht="28.8" x14ac:dyDescent="0.3">
      <c r="B16" s="18" t="s">
        <v>238</v>
      </c>
      <c r="C16" s="17">
        <v>0.12955283756083599</v>
      </c>
      <c r="D16" s="17">
        <v>0.18869250295310699</v>
      </c>
      <c r="E16" s="17">
        <v>0</v>
      </c>
      <c r="F16" s="17"/>
      <c r="G16" s="17">
        <v>5.42756933940425E-2</v>
      </c>
      <c r="H16" s="17">
        <v>0.16500090148379901</v>
      </c>
      <c r="I16" s="17">
        <v>0.32573524513438401</v>
      </c>
      <c r="J16" s="17">
        <v>0</v>
      </c>
      <c r="K16" s="17"/>
      <c r="L16" s="17">
        <v>0</v>
      </c>
      <c r="M16" s="17">
        <v>0.25335593980960402</v>
      </c>
      <c r="N16" s="17">
        <v>8.4995636645615394E-2</v>
      </c>
      <c r="O16" s="17">
        <v>0.14125563234345601</v>
      </c>
    </row>
    <row r="17" spans="2:15" ht="28.8" x14ac:dyDescent="0.3">
      <c r="B17" s="18" t="s">
        <v>261</v>
      </c>
      <c r="C17" s="19">
        <v>0.13239065402390399</v>
      </c>
      <c r="D17" s="19">
        <v>0.1659853288899</v>
      </c>
      <c r="E17" s="19">
        <v>5.8797314816539797E-2</v>
      </c>
      <c r="F17" s="19"/>
      <c r="G17" s="19">
        <v>7.0457448385526103E-2</v>
      </c>
      <c r="H17" s="19">
        <v>0.141114387398038</v>
      </c>
      <c r="I17" s="19">
        <v>0.17195488533306499</v>
      </c>
      <c r="J17" s="19">
        <v>0.53024025488446003</v>
      </c>
      <c r="K17" s="19"/>
      <c r="L17" s="19">
        <v>0</v>
      </c>
      <c r="M17" s="19">
        <v>0.18447141397984601</v>
      </c>
      <c r="N17" s="19">
        <v>0.218120634903926</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275</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40</v>
      </c>
      <c r="D7" s="10">
        <v>24</v>
      </c>
      <c r="E7" s="10">
        <v>16</v>
      </c>
      <c r="F7" s="10"/>
      <c r="G7" s="10">
        <v>21</v>
      </c>
      <c r="H7" s="10">
        <v>4</v>
      </c>
      <c r="I7" s="10">
        <v>7</v>
      </c>
      <c r="J7" s="10">
        <v>8</v>
      </c>
      <c r="K7" s="10"/>
      <c r="L7" s="10">
        <v>12</v>
      </c>
      <c r="M7" s="10">
        <v>12</v>
      </c>
      <c r="N7" s="10">
        <v>9</v>
      </c>
      <c r="O7" s="10">
        <v>7</v>
      </c>
    </row>
    <row r="8" spans="2:15" ht="30" customHeight="1" x14ac:dyDescent="0.3">
      <c r="B8" s="11" t="s">
        <v>19</v>
      </c>
      <c r="C8" s="11">
        <v>36</v>
      </c>
      <c r="D8" s="11">
        <v>22</v>
      </c>
      <c r="E8" s="11">
        <v>15</v>
      </c>
      <c r="F8" s="11"/>
      <c r="G8" s="11">
        <v>15</v>
      </c>
      <c r="H8" s="11">
        <v>4</v>
      </c>
      <c r="I8" s="11">
        <v>9</v>
      </c>
      <c r="J8" s="11">
        <v>9</v>
      </c>
      <c r="K8" s="11"/>
      <c r="L8" s="11">
        <v>12</v>
      </c>
      <c r="M8" s="11">
        <v>9</v>
      </c>
      <c r="N8" s="11">
        <v>7</v>
      </c>
      <c r="O8" s="11">
        <v>8</v>
      </c>
    </row>
    <row r="9" spans="2:15" x14ac:dyDescent="0.3">
      <c r="B9" s="18" t="s">
        <v>231</v>
      </c>
      <c r="C9" s="17">
        <v>2.1243432267368301E-2</v>
      </c>
      <c r="D9" s="17">
        <v>0</v>
      </c>
      <c r="E9" s="17">
        <v>5.2894694223252298E-2</v>
      </c>
      <c r="F9" s="17"/>
      <c r="G9" s="17">
        <v>5.1375089737440698E-2</v>
      </c>
      <c r="H9" s="17">
        <v>0</v>
      </c>
      <c r="I9" s="17">
        <v>0</v>
      </c>
      <c r="J9" s="17">
        <v>0</v>
      </c>
      <c r="K9" s="17"/>
      <c r="L9" s="17">
        <v>6.5640083401517904E-2</v>
      </c>
      <c r="M9" s="17">
        <v>0</v>
      </c>
      <c r="N9" s="17">
        <v>0</v>
      </c>
      <c r="O9" s="17">
        <v>0</v>
      </c>
    </row>
    <row r="10" spans="2:15" x14ac:dyDescent="0.3">
      <c r="B10" s="18" t="s">
        <v>232</v>
      </c>
      <c r="C10" s="17">
        <v>1.5778178618781499E-2</v>
      </c>
      <c r="D10" s="17">
        <v>2.6368046070439698E-2</v>
      </c>
      <c r="E10" s="17">
        <v>0</v>
      </c>
      <c r="F10" s="17"/>
      <c r="G10" s="17">
        <v>3.8157927223390502E-2</v>
      </c>
      <c r="H10" s="17">
        <v>0</v>
      </c>
      <c r="I10" s="17">
        <v>0</v>
      </c>
      <c r="J10" s="17">
        <v>0</v>
      </c>
      <c r="K10" s="17"/>
      <c r="L10" s="17">
        <v>0</v>
      </c>
      <c r="M10" s="17">
        <v>6.1305196118211697E-2</v>
      </c>
      <c r="N10" s="17">
        <v>0</v>
      </c>
      <c r="O10" s="17">
        <v>0</v>
      </c>
    </row>
    <row r="11" spans="2:15" x14ac:dyDescent="0.3">
      <c r="B11" s="18" t="s">
        <v>233</v>
      </c>
      <c r="C11" s="17">
        <v>7.6322018957736298E-2</v>
      </c>
      <c r="D11" s="17">
        <v>9.9146509678046099E-2</v>
      </c>
      <c r="E11" s="17">
        <v>4.23150879822803E-2</v>
      </c>
      <c r="F11" s="17"/>
      <c r="G11" s="17">
        <v>0.184577074153851</v>
      </c>
      <c r="H11" s="17">
        <v>0</v>
      </c>
      <c r="I11" s="17">
        <v>0</v>
      </c>
      <c r="J11" s="17">
        <v>0</v>
      </c>
      <c r="K11" s="17"/>
      <c r="L11" s="17">
        <v>0</v>
      </c>
      <c r="M11" s="17">
        <v>0.127890525658586</v>
      </c>
      <c r="N11" s="17">
        <v>0.21439122011154299</v>
      </c>
      <c r="O11" s="17">
        <v>0</v>
      </c>
    </row>
    <row r="12" spans="2:15" x14ac:dyDescent="0.3">
      <c r="B12" s="18" t="s">
        <v>234</v>
      </c>
      <c r="C12" s="17">
        <v>0.186725139320397</v>
      </c>
      <c r="D12" s="17">
        <v>0.100247502633387</v>
      </c>
      <c r="E12" s="17">
        <v>0.31557090669249799</v>
      </c>
      <c r="F12" s="17"/>
      <c r="G12" s="17">
        <v>0.180695835740601</v>
      </c>
      <c r="H12" s="17">
        <v>0.47219011818307699</v>
      </c>
      <c r="I12" s="17">
        <v>0.152100459306729</v>
      </c>
      <c r="J12" s="17">
        <v>9.1477123909342206E-2</v>
      </c>
      <c r="K12" s="17"/>
      <c r="L12" s="17">
        <v>0</v>
      </c>
      <c r="M12" s="17">
        <v>0.43737348867596798</v>
      </c>
      <c r="N12" s="17">
        <v>0.22726502751397301</v>
      </c>
      <c r="O12" s="17">
        <v>0.129981159843229</v>
      </c>
    </row>
    <row r="13" spans="2:15" x14ac:dyDescent="0.3">
      <c r="B13" s="18" t="s">
        <v>235</v>
      </c>
      <c r="C13" s="17">
        <v>8.9316672231674804E-2</v>
      </c>
      <c r="D13" s="17">
        <v>0.110494831719394</v>
      </c>
      <c r="E13" s="17">
        <v>5.7762662255661498E-2</v>
      </c>
      <c r="F13" s="17"/>
      <c r="G13" s="17">
        <v>9.4606127993101793E-2</v>
      </c>
      <c r="H13" s="17">
        <v>0</v>
      </c>
      <c r="I13" s="17">
        <v>0</v>
      </c>
      <c r="J13" s="17">
        <v>0.213242677225737</v>
      </c>
      <c r="K13" s="17"/>
      <c r="L13" s="17">
        <v>7.1681026303930806E-2</v>
      </c>
      <c r="M13" s="17">
        <v>0.14171694470724</v>
      </c>
      <c r="N13" s="17">
        <v>0</v>
      </c>
      <c r="O13" s="17">
        <v>0.136907061804214</v>
      </c>
    </row>
    <row r="14" spans="2:15" x14ac:dyDescent="0.3">
      <c r="B14" s="18" t="s">
        <v>236</v>
      </c>
      <c r="C14" s="17">
        <v>0.24683969085613799</v>
      </c>
      <c r="D14" s="17">
        <v>0.250734729625611</v>
      </c>
      <c r="E14" s="17">
        <v>0.24103634934007301</v>
      </c>
      <c r="F14" s="17"/>
      <c r="G14" s="17">
        <v>0.22003621202677401</v>
      </c>
      <c r="H14" s="17">
        <v>0.225263826083754</v>
      </c>
      <c r="I14" s="17">
        <v>0.15271648683209399</v>
      </c>
      <c r="J14" s="17">
        <v>0.39861534728874298</v>
      </c>
      <c r="K14" s="17"/>
      <c r="L14" s="17">
        <v>0.50654741164655803</v>
      </c>
      <c r="M14" s="17">
        <v>0.13508291871642999</v>
      </c>
      <c r="N14" s="17">
        <v>0</v>
      </c>
      <c r="O14" s="17">
        <v>0.22231093774913199</v>
      </c>
    </row>
    <row r="15" spans="2:15" x14ac:dyDescent="0.3">
      <c r="B15" s="18" t="s">
        <v>237</v>
      </c>
      <c r="C15" s="17">
        <v>6.0572553722867503E-2</v>
      </c>
      <c r="D15" s="17">
        <v>0</v>
      </c>
      <c r="E15" s="17">
        <v>0.15082151825409901</v>
      </c>
      <c r="F15" s="17"/>
      <c r="G15" s="17">
        <v>6.1749095577523498E-2</v>
      </c>
      <c r="H15" s="17">
        <v>0.30254605573316901</v>
      </c>
      <c r="I15" s="17">
        <v>0</v>
      </c>
      <c r="J15" s="17">
        <v>0</v>
      </c>
      <c r="K15" s="17"/>
      <c r="L15" s="17">
        <v>7.8894573311529798E-2</v>
      </c>
      <c r="M15" s="17">
        <v>0</v>
      </c>
      <c r="N15" s="17">
        <v>0</v>
      </c>
      <c r="O15" s="17">
        <v>0.161823604807497</v>
      </c>
    </row>
    <row r="16" spans="2:15" ht="28.8" x14ac:dyDescent="0.3">
      <c r="B16" s="18" t="s">
        <v>238</v>
      </c>
      <c r="C16" s="17">
        <v>9.4669337294683104E-2</v>
      </c>
      <c r="D16" s="17">
        <v>0.124703780326532</v>
      </c>
      <c r="E16" s="17">
        <v>4.9920070220720099E-2</v>
      </c>
      <c r="F16" s="17"/>
      <c r="G16" s="17">
        <v>0.168802637547317</v>
      </c>
      <c r="H16" s="17">
        <v>0</v>
      </c>
      <c r="I16" s="17">
        <v>0.105700356969083</v>
      </c>
      <c r="J16" s="17">
        <v>0</v>
      </c>
      <c r="K16" s="17"/>
      <c r="L16" s="17">
        <v>0.15372428929856799</v>
      </c>
      <c r="M16" s="17">
        <v>9.6630926123563804E-2</v>
      </c>
      <c r="N16" s="17">
        <v>9.9023415801433395E-2</v>
      </c>
      <c r="O16" s="17">
        <v>0</v>
      </c>
    </row>
    <row r="17" spans="2:15" ht="28.8" x14ac:dyDescent="0.3">
      <c r="B17" s="18" t="s">
        <v>261</v>
      </c>
      <c r="C17" s="19">
        <v>0.20853297673035401</v>
      </c>
      <c r="D17" s="19">
        <v>0.28830459994659002</v>
      </c>
      <c r="E17" s="19">
        <v>8.9678711031416697E-2</v>
      </c>
      <c r="F17" s="19"/>
      <c r="G17" s="19">
        <v>0</v>
      </c>
      <c r="H17" s="19">
        <v>0</v>
      </c>
      <c r="I17" s="19">
        <v>0.58948269689209398</v>
      </c>
      <c r="J17" s="19">
        <v>0.296664851576179</v>
      </c>
      <c r="K17" s="19"/>
      <c r="L17" s="19">
        <v>0.123512616037895</v>
      </c>
      <c r="M17" s="19">
        <v>0</v>
      </c>
      <c r="N17" s="19">
        <v>0.45932033657305099</v>
      </c>
      <c r="O17" s="19">
        <v>0.34897723579592699</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276</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2</v>
      </c>
      <c r="D7" s="10" t="s">
        <v>255</v>
      </c>
      <c r="E7" s="10">
        <v>2</v>
      </c>
      <c r="F7" s="10"/>
      <c r="G7" s="10">
        <v>2</v>
      </c>
      <c r="H7" s="10" t="s">
        <v>255</v>
      </c>
      <c r="I7" s="10" t="s">
        <v>255</v>
      </c>
      <c r="J7" s="10" t="s">
        <v>255</v>
      </c>
      <c r="K7" s="10"/>
      <c r="L7" s="10">
        <v>1</v>
      </c>
      <c r="M7" s="10" t="s">
        <v>255</v>
      </c>
      <c r="N7" s="10">
        <v>1</v>
      </c>
      <c r="O7" s="10" t="s">
        <v>255</v>
      </c>
    </row>
    <row r="8" spans="2:15" ht="30" customHeight="1" x14ac:dyDescent="0.3">
      <c r="B8" s="11" t="s">
        <v>19</v>
      </c>
      <c r="C8" s="11">
        <v>2</v>
      </c>
      <c r="D8" s="11" t="s">
        <v>255</v>
      </c>
      <c r="E8" s="11">
        <v>2</v>
      </c>
      <c r="F8" s="11"/>
      <c r="G8" s="11">
        <v>2</v>
      </c>
      <c r="H8" s="11" t="s">
        <v>255</v>
      </c>
      <c r="I8" s="11" t="s">
        <v>255</v>
      </c>
      <c r="J8" s="11" t="s">
        <v>255</v>
      </c>
      <c r="K8" s="11"/>
      <c r="L8" s="11">
        <v>1</v>
      </c>
      <c r="M8" s="11" t="s">
        <v>255</v>
      </c>
      <c r="N8" s="11">
        <v>1</v>
      </c>
      <c r="O8" s="11" t="s">
        <v>255</v>
      </c>
    </row>
    <row r="9" spans="2:15" x14ac:dyDescent="0.3">
      <c r="B9" s="18" t="s">
        <v>231</v>
      </c>
      <c r="C9" s="17">
        <v>0</v>
      </c>
      <c r="D9" s="17" t="s">
        <v>256</v>
      </c>
      <c r="E9" s="17">
        <v>0</v>
      </c>
      <c r="F9" s="17"/>
      <c r="G9" s="17">
        <v>0</v>
      </c>
      <c r="H9" s="17" t="s">
        <v>256</v>
      </c>
      <c r="I9" s="17" t="s">
        <v>256</v>
      </c>
      <c r="J9" s="17" t="s">
        <v>256</v>
      </c>
      <c r="K9" s="17"/>
      <c r="L9" s="17">
        <v>0</v>
      </c>
      <c r="M9" s="17" t="s">
        <v>256</v>
      </c>
      <c r="N9" s="17">
        <v>0</v>
      </c>
      <c r="O9" s="17" t="s">
        <v>256</v>
      </c>
    </row>
    <row r="10" spans="2:15" x14ac:dyDescent="0.3">
      <c r="B10" s="18" t="s">
        <v>232</v>
      </c>
      <c r="C10" s="17">
        <v>0.51320184218776199</v>
      </c>
      <c r="D10" s="17" t="s">
        <v>256</v>
      </c>
      <c r="E10" s="17">
        <v>0.51320184218776199</v>
      </c>
      <c r="F10" s="17"/>
      <c r="G10" s="17">
        <v>0.51320184218776199</v>
      </c>
      <c r="H10" s="17" t="s">
        <v>256</v>
      </c>
      <c r="I10" s="17" t="s">
        <v>256</v>
      </c>
      <c r="J10" s="17" t="s">
        <v>256</v>
      </c>
      <c r="K10" s="17"/>
      <c r="L10" s="17">
        <v>1</v>
      </c>
      <c r="M10" s="17" t="s">
        <v>256</v>
      </c>
      <c r="N10" s="17">
        <v>0</v>
      </c>
      <c r="O10" s="17" t="s">
        <v>256</v>
      </c>
    </row>
    <row r="11" spans="2:15" x14ac:dyDescent="0.3">
      <c r="B11" s="18" t="s">
        <v>233</v>
      </c>
      <c r="C11" s="17">
        <v>0</v>
      </c>
      <c r="D11" s="17" t="s">
        <v>256</v>
      </c>
      <c r="E11" s="17">
        <v>0</v>
      </c>
      <c r="F11" s="17"/>
      <c r="G11" s="17">
        <v>0</v>
      </c>
      <c r="H11" s="17" t="s">
        <v>256</v>
      </c>
      <c r="I11" s="17" t="s">
        <v>256</v>
      </c>
      <c r="J11" s="17" t="s">
        <v>256</v>
      </c>
      <c r="K11" s="17"/>
      <c r="L11" s="17">
        <v>0</v>
      </c>
      <c r="M11" s="17" t="s">
        <v>256</v>
      </c>
      <c r="N11" s="17">
        <v>0</v>
      </c>
      <c r="O11" s="17" t="s">
        <v>256</v>
      </c>
    </row>
    <row r="12" spans="2:15" x14ac:dyDescent="0.3">
      <c r="B12" s="18" t="s">
        <v>234</v>
      </c>
      <c r="C12" s="17">
        <v>0.48679815781223801</v>
      </c>
      <c r="D12" s="17" t="s">
        <v>256</v>
      </c>
      <c r="E12" s="17">
        <v>0.48679815781223801</v>
      </c>
      <c r="F12" s="17"/>
      <c r="G12" s="17">
        <v>0.48679815781223801</v>
      </c>
      <c r="H12" s="17" t="s">
        <v>256</v>
      </c>
      <c r="I12" s="17" t="s">
        <v>256</v>
      </c>
      <c r="J12" s="17" t="s">
        <v>256</v>
      </c>
      <c r="K12" s="17"/>
      <c r="L12" s="17">
        <v>0</v>
      </c>
      <c r="M12" s="17" t="s">
        <v>256</v>
      </c>
      <c r="N12" s="17">
        <v>1</v>
      </c>
      <c r="O12" s="17" t="s">
        <v>256</v>
      </c>
    </row>
    <row r="13" spans="2:15" x14ac:dyDescent="0.3">
      <c r="B13" s="18" t="s">
        <v>235</v>
      </c>
      <c r="C13" s="17">
        <v>0</v>
      </c>
      <c r="D13" s="17" t="s">
        <v>256</v>
      </c>
      <c r="E13" s="17">
        <v>0</v>
      </c>
      <c r="F13" s="17"/>
      <c r="G13" s="17">
        <v>0</v>
      </c>
      <c r="H13" s="17" t="s">
        <v>256</v>
      </c>
      <c r="I13" s="17" t="s">
        <v>256</v>
      </c>
      <c r="J13" s="17" t="s">
        <v>256</v>
      </c>
      <c r="K13" s="17"/>
      <c r="L13" s="17">
        <v>0</v>
      </c>
      <c r="M13" s="17" t="s">
        <v>256</v>
      </c>
      <c r="N13" s="17">
        <v>0</v>
      </c>
      <c r="O13" s="17" t="s">
        <v>256</v>
      </c>
    </row>
    <row r="14" spans="2:15" x14ac:dyDescent="0.3">
      <c r="B14" s="18" t="s">
        <v>236</v>
      </c>
      <c r="C14" s="17">
        <v>0</v>
      </c>
      <c r="D14" s="17" t="s">
        <v>256</v>
      </c>
      <c r="E14" s="17">
        <v>0</v>
      </c>
      <c r="F14" s="17"/>
      <c r="G14" s="17">
        <v>0</v>
      </c>
      <c r="H14" s="17" t="s">
        <v>256</v>
      </c>
      <c r="I14" s="17" t="s">
        <v>256</v>
      </c>
      <c r="J14" s="17" t="s">
        <v>256</v>
      </c>
      <c r="K14" s="17"/>
      <c r="L14" s="17">
        <v>0</v>
      </c>
      <c r="M14" s="17" t="s">
        <v>256</v>
      </c>
      <c r="N14" s="17">
        <v>0</v>
      </c>
      <c r="O14" s="17" t="s">
        <v>256</v>
      </c>
    </row>
    <row r="15" spans="2:15" x14ac:dyDescent="0.3">
      <c r="B15" s="18" t="s">
        <v>237</v>
      </c>
      <c r="C15" s="17">
        <v>0</v>
      </c>
      <c r="D15" s="17" t="s">
        <v>256</v>
      </c>
      <c r="E15" s="17">
        <v>0</v>
      </c>
      <c r="F15" s="17"/>
      <c r="G15" s="17">
        <v>0</v>
      </c>
      <c r="H15" s="17" t="s">
        <v>256</v>
      </c>
      <c r="I15" s="17" t="s">
        <v>256</v>
      </c>
      <c r="J15" s="17" t="s">
        <v>256</v>
      </c>
      <c r="K15" s="17"/>
      <c r="L15" s="17">
        <v>0</v>
      </c>
      <c r="M15" s="17" t="s">
        <v>256</v>
      </c>
      <c r="N15" s="17">
        <v>0</v>
      </c>
      <c r="O15" s="17" t="s">
        <v>256</v>
      </c>
    </row>
    <row r="16" spans="2:15" ht="28.8" x14ac:dyDescent="0.3">
      <c r="B16" s="18" t="s">
        <v>238</v>
      </c>
      <c r="C16" s="17">
        <v>0</v>
      </c>
      <c r="D16" s="17" t="s">
        <v>256</v>
      </c>
      <c r="E16" s="17">
        <v>0</v>
      </c>
      <c r="F16" s="17"/>
      <c r="G16" s="17">
        <v>0</v>
      </c>
      <c r="H16" s="17" t="s">
        <v>256</v>
      </c>
      <c r="I16" s="17" t="s">
        <v>256</v>
      </c>
      <c r="J16" s="17" t="s">
        <v>256</v>
      </c>
      <c r="K16" s="17"/>
      <c r="L16" s="17">
        <v>0</v>
      </c>
      <c r="M16" s="17" t="s">
        <v>256</v>
      </c>
      <c r="N16" s="17">
        <v>0</v>
      </c>
      <c r="O16" s="17" t="s">
        <v>256</v>
      </c>
    </row>
    <row r="17" spans="2:15" ht="28.8" x14ac:dyDescent="0.3">
      <c r="B17" s="18" t="s">
        <v>261</v>
      </c>
      <c r="C17" s="19">
        <v>0</v>
      </c>
      <c r="D17" s="19" t="s">
        <v>256</v>
      </c>
      <c r="E17" s="19">
        <v>0</v>
      </c>
      <c r="F17" s="19"/>
      <c r="G17" s="19">
        <v>0</v>
      </c>
      <c r="H17" s="19" t="s">
        <v>256</v>
      </c>
      <c r="I17" s="19" t="s">
        <v>256</v>
      </c>
      <c r="J17" s="19" t="s">
        <v>256</v>
      </c>
      <c r="K17" s="19"/>
      <c r="L17" s="19">
        <v>0</v>
      </c>
      <c r="M17" s="19" t="s">
        <v>256</v>
      </c>
      <c r="N17" s="19">
        <v>0</v>
      </c>
      <c r="O17" s="19" t="s">
        <v>256</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277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15</v>
      </c>
      <c r="D7" s="10">
        <v>7</v>
      </c>
      <c r="E7" s="10">
        <v>8</v>
      </c>
      <c r="F7" s="10"/>
      <c r="G7" s="10">
        <v>9</v>
      </c>
      <c r="H7" s="10">
        <v>5</v>
      </c>
      <c r="I7" s="10">
        <v>1</v>
      </c>
      <c r="J7" s="10" t="s">
        <v>255</v>
      </c>
      <c r="K7" s="10"/>
      <c r="L7" s="10">
        <v>3</v>
      </c>
      <c r="M7" s="10">
        <v>6</v>
      </c>
      <c r="N7" s="10">
        <v>4</v>
      </c>
      <c r="O7" s="10">
        <v>2</v>
      </c>
    </row>
    <row r="8" spans="2:15" ht="30" customHeight="1" x14ac:dyDescent="0.3">
      <c r="B8" s="11" t="s">
        <v>19</v>
      </c>
      <c r="C8" s="11">
        <v>12</v>
      </c>
      <c r="D8" s="11">
        <v>5</v>
      </c>
      <c r="E8" s="11">
        <v>7</v>
      </c>
      <c r="F8" s="11"/>
      <c r="G8" s="11">
        <v>6</v>
      </c>
      <c r="H8" s="11">
        <v>5</v>
      </c>
      <c r="I8" s="11">
        <v>1</v>
      </c>
      <c r="J8" s="11" t="s">
        <v>255</v>
      </c>
      <c r="K8" s="11"/>
      <c r="L8" s="11">
        <v>3</v>
      </c>
      <c r="M8" s="11">
        <v>4</v>
      </c>
      <c r="N8" s="11">
        <v>3</v>
      </c>
      <c r="O8" s="11">
        <v>2</v>
      </c>
    </row>
    <row r="9" spans="2:15" x14ac:dyDescent="0.3">
      <c r="B9" s="18" t="s">
        <v>231</v>
      </c>
      <c r="C9" s="17">
        <v>5.4252428113598303E-2</v>
      </c>
      <c r="D9" s="17">
        <v>0.12912416044993499</v>
      </c>
      <c r="E9" s="17">
        <v>0</v>
      </c>
      <c r="F9" s="17"/>
      <c r="G9" s="17">
        <v>0.10700802120411899</v>
      </c>
      <c r="H9" s="17">
        <v>0</v>
      </c>
      <c r="I9" s="17">
        <v>0</v>
      </c>
      <c r="J9" s="17" t="s">
        <v>256</v>
      </c>
      <c r="K9" s="17"/>
      <c r="L9" s="17">
        <v>0.238082727424102</v>
      </c>
      <c r="M9" s="17">
        <v>0</v>
      </c>
      <c r="N9" s="17">
        <v>0</v>
      </c>
      <c r="O9" s="17">
        <v>0</v>
      </c>
    </row>
    <row r="10" spans="2:15" x14ac:dyDescent="0.3">
      <c r="B10" s="18" t="s">
        <v>232</v>
      </c>
      <c r="C10" s="17">
        <v>0.248234600720311</v>
      </c>
      <c r="D10" s="17">
        <v>0.114461931701929</v>
      </c>
      <c r="E10" s="17">
        <v>0.34516693930815101</v>
      </c>
      <c r="F10" s="17"/>
      <c r="G10" s="17">
        <v>0.32081088919731698</v>
      </c>
      <c r="H10" s="17">
        <v>0.22229561732421599</v>
      </c>
      <c r="I10" s="17">
        <v>0</v>
      </c>
      <c r="J10" s="17" t="s">
        <v>256</v>
      </c>
      <c r="K10" s="17"/>
      <c r="L10" s="17">
        <v>0</v>
      </c>
      <c r="M10" s="17">
        <v>0.37378774022238997</v>
      </c>
      <c r="N10" s="17">
        <v>0.50149783266063797</v>
      </c>
      <c r="O10" s="17">
        <v>0</v>
      </c>
    </row>
    <row r="11" spans="2:15" x14ac:dyDescent="0.3">
      <c r="B11" s="18" t="s">
        <v>233</v>
      </c>
      <c r="C11" s="17">
        <v>0</v>
      </c>
      <c r="D11" s="17">
        <v>0</v>
      </c>
      <c r="E11" s="17">
        <v>0</v>
      </c>
      <c r="F11" s="17"/>
      <c r="G11" s="17">
        <v>0</v>
      </c>
      <c r="H11" s="17">
        <v>0</v>
      </c>
      <c r="I11" s="17">
        <v>0</v>
      </c>
      <c r="J11" s="17" t="s">
        <v>256</v>
      </c>
      <c r="K11" s="17"/>
      <c r="L11" s="17">
        <v>0</v>
      </c>
      <c r="M11" s="17">
        <v>0</v>
      </c>
      <c r="N11" s="17">
        <v>0</v>
      </c>
      <c r="O11" s="17">
        <v>0</v>
      </c>
    </row>
    <row r="12" spans="2:15" x14ac:dyDescent="0.3">
      <c r="B12" s="18" t="s">
        <v>234</v>
      </c>
      <c r="C12" s="17">
        <v>0.100326076089226</v>
      </c>
      <c r="D12" s="17">
        <v>0.11549680714055501</v>
      </c>
      <c r="E12" s="17">
        <v>8.9333289224142007E-2</v>
      </c>
      <c r="F12" s="17"/>
      <c r="G12" s="17">
        <v>0.19788413626396001</v>
      </c>
      <c r="H12" s="17">
        <v>0</v>
      </c>
      <c r="I12" s="17">
        <v>0</v>
      </c>
      <c r="J12" s="17" t="s">
        <v>256</v>
      </c>
      <c r="K12" s="17"/>
      <c r="L12" s="17">
        <v>0</v>
      </c>
      <c r="M12" s="17">
        <v>0.28053105347423601</v>
      </c>
      <c r="N12" s="17">
        <v>0</v>
      </c>
      <c r="O12" s="17">
        <v>0</v>
      </c>
    </row>
    <row r="13" spans="2:15" x14ac:dyDescent="0.3">
      <c r="B13" s="18" t="s">
        <v>235</v>
      </c>
      <c r="C13" s="17">
        <v>0.32790104793754699</v>
      </c>
      <c r="D13" s="17">
        <v>0</v>
      </c>
      <c r="E13" s="17">
        <v>0.56549977146770702</v>
      </c>
      <c r="F13" s="17"/>
      <c r="G13" s="17">
        <v>0</v>
      </c>
      <c r="H13" s="17">
        <v>0.57116397774752203</v>
      </c>
      <c r="I13" s="17">
        <v>1</v>
      </c>
      <c r="J13" s="17" t="s">
        <v>256</v>
      </c>
      <c r="K13" s="17"/>
      <c r="L13" s="17">
        <v>0.41295177539654199</v>
      </c>
      <c r="M13" s="17">
        <v>0.17752304939873201</v>
      </c>
      <c r="N13" s="17">
        <v>0.27279485239620399</v>
      </c>
      <c r="O13" s="17">
        <v>0.58042502394498197</v>
      </c>
    </row>
    <row r="14" spans="2:15" x14ac:dyDescent="0.3">
      <c r="B14" s="18" t="s">
        <v>236</v>
      </c>
      <c r="C14" s="17">
        <v>0.191216132871005</v>
      </c>
      <c r="D14" s="17">
        <v>0.455106314684247</v>
      </c>
      <c r="E14" s="17">
        <v>0</v>
      </c>
      <c r="F14" s="17"/>
      <c r="G14" s="17">
        <v>0.220311483369453</v>
      </c>
      <c r="H14" s="17">
        <v>0.20654040492826201</v>
      </c>
      <c r="I14" s="17">
        <v>0</v>
      </c>
      <c r="J14" s="17" t="s">
        <v>256</v>
      </c>
      <c r="K14" s="17"/>
      <c r="L14" s="17">
        <v>0.34896549717935699</v>
      </c>
      <c r="M14" s="17">
        <v>0.168158156904642</v>
      </c>
      <c r="N14" s="17">
        <v>0.22570731494315899</v>
      </c>
      <c r="O14" s="17">
        <v>0</v>
      </c>
    </row>
    <row r="15" spans="2:15" x14ac:dyDescent="0.3">
      <c r="B15" s="18" t="s">
        <v>237</v>
      </c>
      <c r="C15" s="17">
        <v>7.8069714268311802E-2</v>
      </c>
      <c r="D15" s="17">
        <v>0.18581078602333301</v>
      </c>
      <c r="E15" s="17">
        <v>0</v>
      </c>
      <c r="F15" s="17"/>
      <c r="G15" s="17">
        <v>0.153985469965151</v>
      </c>
      <c r="H15" s="17">
        <v>0</v>
      </c>
      <c r="I15" s="17">
        <v>0</v>
      </c>
      <c r="J15" s="17" t="s">
        <v>256</v>
      </c>
      <c r="K15" s="17"/>
      <c r="L15" s="17">
        <v>0</v>
      </c>
      <c r="M15" s="17">
        <v>0</v>
      </c>
      <c r="N15" s="17">
        <v>0</v>
      </c>
      <c r="O15" s="17">
        <v>0.41957497605501798</v>
      </c>
    </row>
    <row r="16" spans="2:15" ht="28.8" x14ac:dyDescent="0.3">
      <c r="B16" s="18" t="s">
        <v>238</v>
      </c>
      <c r="C16" s="17">
        <v>0</v>
      </c>
      <c r="D16" s="17">
        <v>0</v>
      </c>
      <c r="E16" s="17">
        <v>0</v>
      </c>
      <c r="F16" s="17"/>
      <c r="G16" s="17">
        <v>0</v>
      </c>
      <c r="H16" s="17">
        <v>0</v>
      </c>
      <c r="I16" s="17">
        <v>0</v>
      </c>
      <c r="J16" s="17" t="s">
        <v>256</v>
      </c>
      <c r="K16" s="17"/>
      <c r="L16" s="17">
        <v>0</v>
      </c>
      <c r="M16" s="17">
        <v>0</v>
      </c>
      <c r="N16" s="17">
        <v>0</v>
      </c>
      <c r="O16" s="17">
        <v>0</v>
      </c>
    </row>
    <row r="17" spans="2:15" ht="28.8" x14ac:dyDescent="0.3">
      <c r="B17" s="18" t="s">
        <v>261</v>
      </c>
      <c r="C17" s="19">
        <v>0</v>
      </c>
      <c r="D17" s="19">
        <v>0</v>
      </c>
      <c r="E17" s="19">
        <v>0</v>
      </c>
      <c r="F17" s="19"/>
      <c r="G17" s="19">
        <v>0</v>
      </c>
      <c r="H17" s="19">
        <v>0</v>
      </c>
      <c r="I17" s="19">
        <v>0</v>
      </c>
      <c r="J17" s="19" t="s">
        <v>256</v>
      </c>
      <c r="K17" s="19"/>
      <c r="L17" s="19">
        <v>0</v>
      </c>
      <c r="M17" s="19">
        <v>0</v>
      </c>
      <c r="N17" s="19">
        <v>0</v>
      </c>
      <c r="O17" s="19">
        <v>0</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278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91</v>
      </c>
      <c r="D7" s="10">
        <v>59</v>
      </c>
      <c r="E7" s="10">
        <v>32</v>
      </c>
      <c r="F7" s="10"/>
      <c r="G7" s="10">
        <v>42</v>
      </c>
      <c r="H7" s="10">
        <v>19</v>
      </c>
      <c r="I7" s="10">
        <v>18</v>
      </c>
      <c r="J7" s="10">
        <v>12</v>
      </c>
      <c r="K7" s="10"/>
      <c r="L7" s="10">
        <v>14</v>
      </c>
      <c r="M7" s="10">
        <v>26</v>
      </c>
      <c r="N7" s="10">
        <v>33</v>
      </c>
      <c r="O7" s="10">
        <v>18</v>
      </c>
    </row>
    <row r="8" spans="2:15" ht="30" customHeight="1" x14ac:dyDescent="0.3">
      <c r="B8" s="11" t="s">
        <v>19</v>
      </c>
      <c r="C8" s="11">
        <v>84</v>
      </c>
      <c r="D8" s="11">
        <v>54</v>
      </c>
      <c r="E8" s="11">
        <v>30</v>
      </c>
      <c r="F8" s="11"/>
      <c r="G8" s="11">
        <v>31</v>
      </c>
      <c r="H8" s="11">
        <v>19</v>
      </c>
      <c r="I8" s="11">
        <v>21</v>
      </c>
      <c r="J8" s="11">
        <v>14</v>
      </c>
      <c r="K8" s="11"/>
      <c r="L8" s="11">
        <v>15</v>
      </c>
      <c r="M8" s="11">
        <v>22</v>
      </c>
      <c r="N8" s="11">
        <v>27</v>
      </c>
      <c r="O8" s="11">
        <v>21</v>
      </c>
    </row>
    <row r="9" spans="2:15" x14ac:dyDescent="0.3">
      <c r="B9" s="18" t="s">
        <v>231</v>
      </c>
      <c r="C9" s="17">
        <v>7.6828013471336902E-3</v>
      </c>
      <c r="D9" s="17">
        <v>1.19672801901511E-2</v>
      </c>
      <c r="E9" s="17">
        <v>0</v>
      </c>
      <c r="F9" s="17"/>
      <c r="G9" s="17">
        <v>2.1001385660668399E-2</v>
      </c>
      <c r="H9" s="17">
        <v>0</v>
      </c>
      <c r="I9" s="17">
        <v>0</v>
      </c>
      <c r="J9" s="17">
        <v>0</v>
      </c>
      <c r="K9" s="17"/>
      <c r="L9" s="17">
        <v>4.4097478647921302E-2</v>
      </c>
      <c r="M9" s="17">
        <v>0</v>
      </c>
      <c r="N9" s="17">
        <v>0</v>
      </c>
      <c r="O9" s="17">
        <v>0</v>
      </c>
    </row>
    <row r="10" spans="2:15" x14ac:dyDescent="0.3">
      <c r="B10" s="18" t="s">
        <v>232</v>
      </c>
      <c r="C10" s="17">
        <v>4.2571893724788902E-2</v>
      </c>
      <c r="D10" s="17">
        <v>4.2223021160494298E-2</v>
      </c>
      <c r="E10" s="17">
        <v>4.3197481737974601E-2</v>
      </c>
      <c r="F10" s="17"/>
      <c r="G10" s="17">
        <v>9.0435074803618801E-2</v>
      </c>
      <c r="H10" s="17">
        <v>0</v>
      </c>
      <c r="I10" s="17">
        <v>0</v>
      </c>
      <c r="J10" s="17">
        <v>5.7598244273486303E-2</v>
      </c>
      <c r="K10" s="17"/>
      <c r="L10" s="17">
        <v>6.5666144697970899E-2</v>
      </c>
      <c r="M10" s="17">
        <v>9.1785856580912206E-2</v>
      </c>
      <c r="N10" s="17">
        <v>2.32521682422922E-2</v>
      </c>
      <c r="O10" s="17">
        <v>0</v>
      </c>
    </row>
    <row r="11" spans="2:15" x14ac:dyDescent="0.3">
      <c r="B11" s="18" t="s">
        <v>233</v>
      </c>
      <c r="C11" s="17">
        <v>7.3066487560085394E-2</v>
      </c>
      <c r="D11" s="17">
        <v>6.23662427594509E-2</v>
      </c>
      <c r="E11" s="17">
        <v>9.22538515735528E-2</v>
      </c>
      <c r="F11" s="17"/>
      <c r="G11" s="17">
        <v>5.6199393785630998E-2</v>
      </c>
      <c r="H11" s="17">
        <v>4.73199245754609E-2</v>
      </c>
      <c r="I11" s="17">
        <v>0.16855149252757501</v>
      </c>
      <c r="J11" s="17">
        <v>0</v>
      </c>
      <c r="K11" s="17"/>
      <c r="L11" s="17">
        <v>4.1013811000346498E-2</v>
      </c>
      <c r="M11" s="17">
        <v>6.2577808244633895E-2</v>
      </c>
      <c r="N11" s="17">
        <v>8.2885674108118798E-2</v>
      </c>
      <c r="O11" s="17">
        <v>9.3903023001681393E-2</v>
      </c>
    </row>
    <row r="12" spans="2:15" x14ac:dyDescent="0.3">
      <c r="B12" s="18" t="s">
        <v>234</v>
      </c>
      <c r="C12" s="17">
        <v>0.11987816828407</v>
      </c>
      <c r="D12" s="17">
        <v>0.111864909151831</v>
      </c>
      <c r="E12" s="17">
        <v>0.134247308688727</v>
      </c>
      <c r="F12" s="17"/>
      <c r="G12" s="17">
        <v>0.14895756634104501</v>
      </c>
      <c r="H12" s="17">
        <v>6.8885615160762595E-2</v>
      </c>
      <c r="I12" s="17">
        <v>0.16394522498301001</v>
      </c>
      <c r="J12" s="17">
        <v>5.6421144627408999E-2</v>
      </c>
      <c r="K12" s="17"/>
      <c r="L12" s="17">
        <v>6.11029620487036E-2</v>
      </c>
      <c r="M12" s="17">
        <v>0.110626623867917</v>
      </c>
      <c r="N12" s="17">
        <v>0.15206548236531001</v>
      </c>
      <c r="O12" s="17">
        <v>0.128870185408827</v>
      </c>
    </row>
    <row r="13" spans="2:15" x14ac:dyDescent="0.3">
      <c r="B13" s="18" t="s">
        <v>235</v>
      </c>
      <c r="C13" s="17">
        <v>6.7725470335497598E-2</v>
      </c>
      <c r="D13" s="17">
        <v>7.7313828313585103E-2</v>
      </c>
      <c r="E13" s="17">
        <v>5.0531909043694999E-2</v>
      </c>
      <c r="F13" s="17"/>
      <c r="G13" s="17">
        <v>6.8238416301999005E-2</v>
      </c>
      <c r="H13" s="17">
        <v>4.3300927996400999E-2</v>
      </c>
      <c r="I13" s="17">
        <v>5.8687838086808601E-2</v>
      </c>
      <c r="J13" s="17">
        <v>0.112847185080397</v>
      </c>
      <c r="K13" s="17"/>
      <c r="L13" s="17">
        <v>0.106703440676666</v>
      </c>
      <c r="M13" s="17">
        <v>2.6719612725293201E-2</v>
      </c>
      <c r="N13" s="17">
        <v>0.13059229301752801</v>
      </c>
      <c r="O13" s="17">
        <v>0</v>
      </c>
    </row>
    <row r="14" spans="2:15" x14ac:dyDescent="0.3">
      <c r="B14" s="18" t="s">
        <v>236</v>
      </c>
      <c r="C14" s="17">
        <v>0.109150607146151</v>
      </c>
      <c r="D14" s="17">
        <v>7.1403615427028194E-2</v>
      </c>
      <c r="E14" s="17">
        <v>0.176837401609509</v>
      </c>
      <c r="F14" s="17"/>
      <c r="G14" s="17">
        <v>0.105084197812604</v>
      </c>
      <c r="H14" s="17">
        <v>0.19786536950801401</v>
      </c>
      <c r="I14" s="17">
        <v>0.109114408716425</v>
      </c>
      <c r="J14" s="17">
        <v>0</v>
      </c>
      <c r="K14" s="17"/>
      <c r="L14" s="17">
        <v>6.4635090194157793E-2</v>
      </c>
      <c r="M14" s="17">
        <v>0.13445008051044199</v>
      </c>
      <c r="N14" s="17">
        <v>0.119310959356887</v>
      </c>
      <c r="O14" s="17">
        <v>0.10082568520431601</v>
      </c>
    </row>
    <row r="15" spans="2:15" x14ac:dyDescent="0.3">
      <c r="B15" s="18" t="s">
        <v>237</v>
      </c>
      <c r="C15" s="17">
        <v>2.8424001433818302E-2</v>
      </c>
      <c r="D15" s="17">
        <v>4.4275255068343997E-2</v>
      </c>
      <c r="E15" s="17">
        <v>0</v>
      </c>
      <c r="F15" s="17"/>
      <c r="G15" s="17">
        <v>7.7698666041094502E-2</v>
      </c>
      <c r="H15" s="17">
        <v>0</v>
      </c>
      <c r="I15" s="17">
        <v>0</v>
      </c>
      <c r="J15" s="17">
        <v>0</v>
      </c>
      <c r="K15" s="17"/>
      <c r="L15" s="17">
        <v>7.2357827252869697E-2</v>
      </c>
      <c r="M15" s="17">
        <v>3.3113061364385701E-2</v>
      </c>
      <c r="N15" s="17">
        <v>2.25607646741737E-2</v>
      </c>
      <c r="O15" s="17">
        <v>0</v>
      </c>
    </row>
    <row r="16" spans="2:15" ht="28.8" x14ac:dyDescent="0.3">
      <c r="B16" s="18" t="s">
        <v>238</v>
      </c>
      <c r="C16" s="17">
        <v>3.10195060128764E-2</v>
      </c>
      <c r="D16" s="17">
        <v>4.8318198407494101E-2</v>
      </c>
      <c r="E16" s="17">
        <v>0</v>
      </c>
      <c r="F16" s="17"/>
      <c r="G16" s="17">
        <v>4.26019893976885E-2</v>
      </c>
      <c r="H16" s="17">
        <v>0</v>
      </c>
      <c r="I16" s="17">
        <v>0</v>
      </c>
      <c r="J16" s="17">
        <v>9.3692433706434805E-2</v>
      </c>
      <c r="K16" s="17"/>
      <c r="L16" s="17">
        <v>0.13745498841762699</v>
      </c>
      <c r="M16" s="17">
        <v>0</v>
      </c>
      <c r="N16" s="17">
        <v>2.1851240376076098E-2</v>
      </c>
      <c r="O16" s="17">
        <v>0</v>
      </c>
    </row>
    <row r="17" spans="2:15" ht="28.8" x14ac:dyDescent="0.3">
      <c r="B17" s="18" t="s">
        <v>261</v>
      </c>
      <c r="C17" s="19">
        <v>0.52048106415557804</v>
      </c>
      <c r="D17" s="19">
        <v>0.53026764952162098</v>
      </c>
      <c r="E17" s="19">
        <v>0.50293204734654195</v>
      </c>
      <c r="F17" s="19"/>
      <c r="G17" s="19">
        <v>0.38978330985565102</v>
      </c>
      <c r="H17" s="19">
        <v>0.64262816275936097</v>
      </c>
      <c r="I17" s="19">
        <v>0.49970103568618202</v>
      </c>
      <c r="J17" s="19">
        <v>0.67944099231227295</v>
      </c>
      <c r="K17" s="19"/>
      <c r="L17" s="19">
        <v>0.40696825706373702</v>
      </c>
      <c r="M17" s="19">
        <v>0.54072695670641702</v>
      </c>
      <c r="N17" s="19">
        <v>0.44748141785961498</v>
      </c>
      <c r="O17" s="19">
        <v>0.67640110638517603</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279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104</v>
      </c>
      <c r="D7" s="10">
        <v>67</v>
      </c>
      <c r="E7" s="10">
        <v>36</v>
      </c>
      <c r="F7" s="10"/>
      <c r="G7" s="10">
        <v>49</v>
      </c>
      <c r="H7" s="10">
        <v>18</v>
      </c>
      <c r="I7" s="10">
        <v>18</v>
      </c>
      <c r="J7" s="10">
        <v>19</v>
      </c>
      <c r="K7" s="10"/>
      <c r="L7" s="10">
        <v>22</v>
      </c>
      <c r="M7" s="10">
        <v>30</v>
      </c>
      <c r="N7" s="10">
        <v>26</v>
      </c>
      <c r="O7" s="10">
        <v>26</v>
      </c>
    </row>
    <row r="8" spans="2:15" ht="30" customHeight="1" x14ac:dyDescent="0.3">
      <c r="B8" s="11" t="s">
        <v>19</v>
      </c>
      <c r="C8" s="11">
        <v>98</v>
      </c>
      <c r="D8" s="11">
        <v>62</v>
      </c>
      <c r="E8" s="11">
        <v>35</v>
      </c>
      <c r="F8" s="11"/>
      <c r="G8" s="11">
        <v>36</v>
      </c>
      <c r="H8" s="11">
        <v>18</v>
      </c>
      <c r="I8" s="11">
        <v>22</v>
      </c>
      <c r="J8" s="11">
        <v>22</v>
      </c>
      <c r="K8" s="11"/>
      <c r="L8" s="11">
        <v>24</v>
      </c>
      <c r="M8" s="11">
        <v>25</v>
      </c>
      <c r="N8" s="11">
        <v>21</v>
      </c>
      <c r="O8" s="11">
        <v>28</v>
      </c>
    </row>
    <row r="9" spans="2:15" x14ac:dyDescent="0.3">
      <c r="B9" s="18" t="s">
        <v>231</v>
      </c>
      <c r="C9" s="17">
        <v>2.3440939828466401E-2</v>
      </c>
      <c r="D9" s="17">
        <v>2.4394431546350601E-2</v>
      </c>
      <c r="E9" s="17">
        <v>2.2267670578150399E-2</v>
      </c>
      <c r="F9" s="17"/>
      <c r="G9" s="17">
        <v>2.15214869818567E-2</v>
      </c>
      <c r="H9" s="17">
        <v>0</v>
      </c>
      <c r="I9" s="17">
        <v>6.8694915722724806E-2</v>
      </c>
      <c r="J9" s="17">
        <v>0</v>
      </c>
      <c r="K9" s="17"/>
      <c r="L9" s="17">
        <v>9.6207924186138105E-2</v>
      </c>
      <c r="M9" s="17">
        <v>0</v>
      </c>
      <c r="N9" s="17">
        <v>0</v>
      </c>
      <c r="O9" s="17">
        <v>0</v>
      </c>
    </row>
    <row r="10" spans="2:15" x14ac:dyDescent="0.3">
      <c r="B10" s="18" t="s">
        <v>232</v>
      </c>
      <c r="C10" s="17">
        <v>6.6018952143957005E-2</v>
      </c>
      <c r="D10" s="17">
        <v>7.2986506929973896E-2</v>
      </c>
      <c r="E10" s="17">
        <v>5.5003301209211E-2</v>
      </c>
      <c r="F10" s="17"/>
      <c r="G10" s="17">
        <v>0.119980151761495</v>
      </c>
      <c r="H10" s="17">
        <v>0.123374919654402</v>
      </c>
      <c r="I10" s="17">
        <v>0</v>
      </c>
      <c r="J10" s="17">
        <v>0</v>
      </c>
      <c r="K10" s="17"/>
      <c r="L10" s="17">
        <v>0.105019344030938</v>
      </c>
      <c r="M10" s="17">
        <v>8.3708600459322893E-2</v>
      </c>
      <c r="N10" s="17">
        <v>3.00283629696683E-2</v>
      </c>
      <c r="O10" s="17">
        <v>4.4766472904749097E-2</v>
      </c>
    </row>
    <row r="11" spans="2:15" x14ac:dyDescent="0.3">
      <c r="B11" s="18" t="s">
        <v>233</v>
      </c>
      <c r="C11" s="17">
        <v>5.0133949352536199E-2</v>
      </c>
      <c r="D11" s="17">
        <v>5.0531896790909601E-2</v>
      </c>
      <c r="E11" s="17">
        <v>5.0580313772612399E-2</v>
      </c>
      <c r="F11" s="17"/>
      <c r="G11" s="17">
        <v>0.105610249199309</v>
      </c>
      <c r="H11" s="17">
        <v>6.3979753549135099E-2</v>
      </c>
      <c r="I11" s="17">
        <v>0</v>
      </c>
      <c r="J11" s="17">
        <v>0</v>
      </c>
      <c r="K11" s="17"/>
      <c r="L11" s="17">
        <v>2.5219833871674001E-2</v>
      </c>
      <c r="M11" s="17">
        <v>2.33963065803518E-2</v>
      </c>
      <c r="N11" s="17">
        <v>7.7877156431051295E-2</v>
      </c>
      <c r="O11" s="17">
        <v>7.3486405817755895E-2</v>
      </c>
    </row>
    <row r="12" spans="2:15" x14ac:dyDescent="0.3">
      <c r="B12" s="18" t="s">
        <v>234</v>
      </c>
      <c r="C12" s="17">
        <v>0.14838008321146201</v>
      </c>
      <c r="D12" s="17">
        <v>0.12979864178185299</v>
      </c>
      <c r="E12" s="17">
        <v>0.16208591790705801</v>
      </c>
      <c r="F12" s="17"/>
      <c r="G12" s="17">
        <v>0.13867099897423599</v>
      </c>
      <c r="H12" s="17">
        <v>0.116557320445587</v>
      </c>
      <c r="I12" s="17">
        <v>0.13592461415565199</v>
      </c>
      <c r="J12" s="17">
        <v>0.20122488554860801</v>
      </c>
      <c r="K12" s="17"/>
      <c r="L12" s="17">
        <v>5.3238032928260799E-2</v>
      </c>
      <c r="M12" s="17">
        <v>0.243065150644171</v>
      </c>
      <c r="N12" s="17">
        <v>0.15757333006340499</v>
      </c>
      <c r="O12" s="17">
        <v>0.13976992931889901</v>
      </c>
    </row>
    <row r="13" spans="2:15" x14ac:dyDescent="0.3">
      <c r="B13" s="18" t="s">
        <v>235</v>
      </c>
      <c r="C13" s="17">
        <v>0.14197414542796</v>
      </c>
      <c r="D13" s="17">
        <v>0.12566939463450899</v>
      </c>
      <c r="E13" s="17">
        <v>0.17462909610503399</v>
      </c>
      <c r="F13" s="17"/>
      <c r="G13" s="17">
        <v>0.123296962097106</v>
      </c>
      <c r="H13" s="17">
        <v>0</v>
      </c>
      <c r="I13" s="17">
        <v>0.28259280876682902</v>
      </c>
      <c r="J13" s="17">
        <v>0.14366383096521301</v>
      </c>
      <c r="K13" s="17"/>
      <c r="L13" s="17">
        <v>7.4428250180133299E-2</v>
      </c>
      <c r="M13" s="17">
        <v>0.133942744243051</v>
      </c>
      <c r="N13" s="17">
        <v>0.16098649052061301</v>
      </c>
      <c r="O13" s="17">
        <v>0.19143789654121601</v>
      </c>
    </row>
    <row r="14" spans="2:15" x14ac:dyDescent="0.3">
      <c r="B14" s="18" t="s">
        <v>236</v>
      </c>
      <c r="C14" s="17">
        <v>0.15451437777615501</v>
      </c>
      <c r="D14" s="17">
        <v>0.108544064049738</v>
      </c>
      <c r="E14" s="17">
        <v>0.24088179595492901</v>
      </c>
      <c r="F14" s="17"/>
      <c r="G14" s="17">
        <v>0.25457457778950299</v>
      </c>
      <c r="H14" s="17">
        <v>0.17175805296497601</v>
      </c>
      <c r="I14" s="17">
        <v>5.6183271859518998E-2</v>
      </c>
      <c r="J14" s="17">
        <v>7.7982239164022596E-2</v>
      </c>
      <c r="K14" s="17"/>
      <c r="L14" s="17">
        <v>8.6272469451714406E-2</v>
      </c>
      <c r="M14" s="17">
        <v>0.14537680365427</v>
      </c>
      <c r="N14" s="17">
        <v>0.29620696601517099</v>
      </c>
      <c r="O14" s="17">
        <v>0.114517145519674</v>
      </c>
    </row>
    <row r="15" spans="2:15" x14ac:dyDescent="0.3">
      <c r="B15" s="18" t="s">
        <v>237</v>
      </c>
      <c r="C15" s="17">
        <v>0</v>
      </c>
      <c r="D15" s="17">
        <v>0</v>
      </c>
      <c r="E15" s="17">
        <v>0</v>
      </c>
      <c r="F15" s="17"/>
      <c r="G15" s="17">
        <v>0</v>
      </c>
      <c r="H15" s="17">
        <v>0</v>
      </c>
      <c r="I15" s="17">
        <v>0</v>
      </c>
      <c r="J15" s="17">
        <v>0</v>
      </c>
      <c r="K15" s="17"/>
      <c r="L15" s="17">
        <v>0</v>
      </c>
      <c r="M15" s="17">
        <v>0</v>
      </c>
      <c r="N15" s="17">
        <v>0</v>
      </c>
      <c r="O15" s="17">
        <v>0</v>
      </c>
    </row>
    <row r="16" spans="2:15" ht="28.8" x14ac:dyDescent="0.3">
      <c r="B16" s="18" t="s">
        <v>238</v>
      </c>
      <c r="C16" s="17">
        <v>0.119072747155322</v>
      </c>
      <c r="D16" s="17">
        <v>0.133231233694419</v>
      </c>
      <c r="E16" s="17">
        <v>9.6338429283349999E-2</v>
      </c>
      <c r="F16" s="17"/>
      <c r="G16" s="17">
        <v>0.12187155068156701</v>
      </c>
      <c r="H16" s="17">
        <v>0.133801319059977</v>
      </c>
      <c r="I16" s="17">
        <v>4.0765775526379402E-2</v>
      </c>
      <c r="J16" s="17">
        <v>0.180700131560114</v>
      </c>
      <c r="K16" s="17"/>
      <c r="L16" s="17">
        <v>0.188930637936437</v>
      </c>
      <c r="M16" s="17">
        <v>0.13245202164183001</v>
      </c>
      <c r="N16" s="17">
        <v>4.3322497638404997E-2</v>
      </c>
      <c r="O16" s="17">
        <v>0.105147560215982</v>
      </c>
    </row>
    <row r="17" spans="2:15" ht="28.8" x14ac:dyDescent="0.3">
      <c r="B17" s="18" t="s">
        <v>261</v>
      </c>
      <c r="C17" s="19">
        <v>0.29646480510414203</v>
      </c>
      <c r="D17" s="19">
        <v>0.354843830572247</v>
      </c>
      <c r="E17" s="19">
        <v>0.19821347518965499</v>
      </c>
      <c r="F17" s="19"/>
      <c r="G17" s="19">
        <v>0.114474022514928</v>
      </c>
      <c r="H17" s="19">
        <v>0.390528634325922</v>
      </c>
      <c r="I17" s="19">
        <v>0.41583861396889499</v>
      </c>
      <c r="J17" s="19">
        <v>0.39642891276204301</v>
      </c>
      <c r="K17" s="19"/>
      <c r="L17" s="19">
        <v>0.37068350741470502</v>
      </c>
      <c r="M17" s="19">
        <v>0.23805837277700501</v>
      </c>
      <c r="N17" s="19">
        <v>0.23400519636168701</v>
      </c>
      <c r="O17" s="19">
        <v>0.33087458968172401</v>
      </c>
    </row>
    <row r="18" spans="2:15" x14ac:dyDescent="0.3">
      <c r="B18" s="16" t="s">
        <v>241</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O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282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280</v>
      </c>
      <c r="C9" s="17">
        <v>0.53286977188137796</v>
      </c>
      <c r="D9" s="17">
        <v>0.63190070566637002</v>
      </c>
      <c r="E9" s="17">
        <v>0.43489302761425402</v>
      </c>
      <c r="F9" s="17"/>
      <c r="G9" s="17">
        <v>0.64057909340237795</v>
      </c>
      <c r="H9" s="17">
        <v>0.46059565071213598</v>
      </c>
      <c r="I9" s="17">
        <v>0.59508406354438104</v>
      </c>
      <c r="J9" s="17">
        <v>0.41422756270696598</v>
      </c>
      <c r="K9" s="17"/>
      <c r="L9" s="17">
        <v>0.53195603767991095</v>
      </c>
      <c r="M9" s="17">
        <v>0.58207630071757899</v>
      </c>
      <c r="N9" s="17">
        <v>0.60831383968353803</v>
      </c>
      <c r="O9" s="17">
        <v>0.39911813645823002</v>
      </c>
    </row>
    <row r="10" spans="2:15" x14ac:dyDescent="0.3">
      <c r="B10" s="18" t="s">
        <v>281</v>
      </c>
      <c r="C10" s="17">
        <v>0.39784086663500601</v>
      </c>
      <c r="D10" s="17">
        <v>0.30424239598577801</v>
      </c>
      <c r="E10" s="17">
        <v>0.48988639861865302</v>
      </c>
      <c r="F10" s="17"/>
      <c r="G10" s="17">
        <v>0.27911838709047398</v>
      </c>
      <c r="H10" s="17">
        <v>0.463265961208078</v>
      </c>
      <c r="I10" s="17">
        <v>0.364796126211546</v>
      </c>
      <c r="J10" s="17">
        <v>0.51142124352034901</v>
      </c>
      <c r="K10" s="17"/>
      <c r="L10" s="17">
        <v>0.42868027461528002</v>
      </c>
      <c r="M10" s="17">
        <v>0.36331984022691999</v>
      </c>
      <c r="N10" s="17">
        <v>0.31217676340114198</v>
      </c>
      <c r="O10" s="17">
        <v>0.49694049283951203</v>
      </c>
    </row>
    <row r="11" spans="2:15" x14ac:dyDescent="0.3">
      <c r="B11" s="18" t="s">
        <v>107</v>
      </c>
      <c r="C11" s="19">
        <v>6.9289361483615294E-2</v>
      </c>
      <c r="D11" s="19">
        <v>6.3856898347852603E-2</v>
      </c>
      <c r="E11" s="19">
        <v>7.5220573767093096E-2</v>
      </c>
      <c r="F11" s="19"/>
      <c r="G11" s="19">
        <v>8.0302519507147702E-2</v>
      </c>
      <c r="H11" s="19">
        <v>7.6138388079786595E-2</v>
      </c>
      <c r="I11" s="19">
        <v>4.0119810244072698E-2</v>
      </c>
      <c r="J11" s="19">
        <v>7.4351193772684995E-2</v>
      </c>
      <c r="K11" s="19"/>
      <c r="L11" s="19">
        <v>3.9363687704809303E-2</v>
      </c>
      <c r="M11" s="19">
        <v>5.4603859055502003E-2</v>
      </c>
      <c r="N11" s="19">
        <v>7.9509396915319205E-2</v>
      </c>
      <c r="O11" s="19">
        <v>0.10394137070225801</v>
      </c>
    </row>
    <row r="12" spans="2:15" x14ac:dyDescent="0.3">
      <c r="B12" s="16"/>
    </row>
    <row r="13" spans="2:15" x14ac:dyDescent="0.3">
      <c r="B13" t="s">
        <v>47</v>
      </c>
    </row>
    <row r="14" spans="2:15" x14ac:dyDescent="0.3">
      <c r="B14" t="s">
        <v>48</v>
      </c>
    </row>
    <row r="16" spans="2:15" x14ac:dyDescent="0.3">
      <c r="B16"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O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285</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432</v>
      </c>
      <c r="D7" s="10">
        <v>229</v>
      </c>
      <c r="E7" s="10">
        <v>201</v>
      </c>
      <c r="F7" s="10"/>
      <c r="G7" s="10">
        <v>163</v>
      </c>
      <c r="H7" s="10">
        <v>113</v>
      </c>
      <c r="I7" s="10">
        <v>78</v>
      </c>
      <c r="J7" s="10">
        <v>77</v>
      </c>
      <c r="K7" s="10"/>
      <c r="L7" s="10" t="s">
        <v>255</v>
      </c>
      <c r="M7" s="10">
        <v>151</v>
      </c>
      <c r="N7" s="10">
        <v>167</v>
      </c>
      <c r="O7" s="10">
        <v>114</v>
      </c>
    </row>
    <row r="8" spans="2:15" ht="30" customHeight="1" x14ac:dyDescent="0.3">
      <c r="B8" s="11" t="s">
        <v>19</v>
      </c>
      <c r="C8" s="11">
        <v>417</v>
      </c>
      <c r="D8" s="11">
        <v>215</v>
      </c>
      <c r="E8" s="11">
        <v>201</v>
      </c>
      <c r="F8" s="11"/>
      <c r="G8" s="11">
        <v>123</v>
      </c>
      <c r="H8" s="11">
        <v>108</v>
      </c>
      <c r="I8" s="11">
        <v>93</v>
      </c>
      <c r="J8" s="11">
        <v>93</v>
      </c>
      <c r="K8" s="11"/>
      <c r="L8" s="11" t="s">
        <v>255</v>
      </c>
      <c r="M8" s="11">
        <v>142</v>
      </c>
      <c r="N8" s="11">
        <v>143</v>
      </c>
      <c r="O8" s="11">
        <v>132</v>
      </c>
    </row>
    <row r="9" spans="2:15" ht="28.8" x14ac:dyDescent="0.3">
      <c r="B9" s="18" t="s">
        <v>283</v>
      </c>
      <c r="C9" s="17">
        <v>0.266012874456445</v>
      </c>
      <c r="D9" s="17">
        <v>0.318668705499209</v>
      </c>
      <c r="E9" s="17">
        <v>0.212326721758861</v>
      </c>
      <c r="F9" s="17"/>
      <c r="G9" s="17">
        <v>0.31921816018427801</v>
      </c>
      <c r="H9" s="17">
        <v>0.244209285528178</v>
      </c>
      <c r="I9" s="17">
        <v>0.24284523410150399</v>
      </c>
      <c r="J9" s="17">
        <v>0.23615980965896199</v>
      </c>
      <c r="K9" s="17"/>
      <c r="L9" s="17" t="s">
        <v>256</v>
      </c>
      <c r="M9" s="17">
        <v>0.35004136693071303</v>
      </c>
      <c r="N9" s="17">
        <v>0.25869887449602502</v>
      </c>
      <c r="O9" s="17">
        <v>0.18354208705488601</v>
      </c>
    </row>
    <row r="10" spans="2:15" x14ac:dyDescent="0.3">
      <c r="B10" s="18" t="s">
        <v>280</v>
      </c>
      <c r="C10" s="17">
        <v>0.337742960558778</v>
      </c>
      <c r="D10" s="17">
        <v>0.34861215881000701</v>
      </c>
      <c r="E10" s="17">
        <v>0.325459211353959</v>
      </c>
      <c r="F10" s="17"/>
      <c r="G10" s="17">
        <v>0.39858354173930399</v>
      </c>
      <c r="H10" s="17">
        <v>0.32997048280407099</v>
      </c>
      <c r="I10" s="17">
        <v>0.29669334731723501</v>
      </c>
      <c r="J10" s="17">
        <v>0.31092350330025198</v>
      </c>
      <c r="K10" s="17"/>
      <c r="L10" s="17" t="s">
        <v>256</v>
      </c>
      <c r="M10" s="17">
        <v>0.319993880924062</v>
      </c>
      <c r="N10" s="17">
        <v>0.392507646636787</v>
      </c>
      <c r="O10" s="17">
        <v>0.29750825752070498</v>
      </c>
    </row>
    <row r="11" spans="2:15" ht="28.8" x14ac:dyDescent="0.3">
      <c r="B11" s="18" t="s">
        <v>284</v>
      </c>
      <c r="C11" s="17">
        <v>0.29959068842015601</v>
      </c>
      <c r="D11" s="17">
        <v>0.23235521409031301</v>
      </c>
      <c r="E11" s="17">
        <v>0.36856875353655999</v>
      </c>
      <c r="F11" s="17"/>
      <c r="G11" s="17">
        <v>0.229108063391364</v>
      </c>
      <c r="H11" s="17">
        <v>0.30045776107407801</v>
      </c>
      <c r="I11" s="17">
        <v>0.37558339997457302</v>
      </c>
      <c r="J11" s="17">
        <v>0.31908540047310002</v>
      </c>
      <c r="K11" s="17"/>
      <c r="L11" s="17" t="s">
        <v>256</v>
      </c>
      <c r="M11" s="17">
        <v>0.245388412417746</v>
      </c>
      <c r="N11" s="17">
        <v>0.24554767724589099</v>
      </c>
      <c r="O11" s="17">
        <v>0.41644579289183897</v>
      </c>
    </row>
    <row r="12" spans="2:15" x14ac:dyDescent="0.3">
      <c r="B12" s="18" t="s">
        <v>107</v>
      </c>
      <c r="C12" s="19">
        <v>9.6653476564620505E-2</v>
      </c>
      <c r="D12" s="19">
        <v>0.100363921600471</v>
      </c>
      <c r="E12" s="19">
        <v>9.3645313350619402E-2</v>
      </c>
      <c r="F12" s="19"/>
      <c r="G12" s="19">
        <v>5.3090234685054499E-2</v>
      </c>
      <c r="H12" s="19">
        <v>0.125362470593673</v>
      </c>
      <c r="I12" s="19">
        <v>8.4878018606687797E-2</v>
      </c>
      <c r="J12" s="19">
        <v>0.133831286567687</v>
      </c>
      <c r="K12" s="19"/>
      <c r="L12" s="19" t="s">
        <v>256</v>
      </c>
      <c r="M12" s="19">
        <v>8.4576339727479605E-2</v>
      </c>
      <c r="N12" s="19">
        <v>0.103245801621296</v>
      </c>
      <c r="O12" s="19">
        <v>0.102503862532571</v>
      </c>
    </row>
    <row r="13" spans="2:15" x14ac:dyDescent="0.3">
      <c r="B13" s="16" t="s">
        <v>286</v>
      </c>
    </row>
    <row r="14" spans="2:15" x14ac:dyDescent="0.3">
      <c r="B14" t="s">
        <v>47</v>
      </c>
    </row>
    <row r="15" spans="2:15" x14ac:dyDescent="0.3">
      <c r="B15" t="s">
        <v>48</v>
      </c>
    </row>
    <row r="17" spans="2:2" x14ac:dyDescent="0.3">
      <c r="B17"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293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ht="28.8" x14ac:dyDescent="0.3">
      <c r="B9" s="18" t="s">
        <v>287</v>
      </c>
      <c r="C9" s="17">
        <v>0.48512299295698702</v>
      </c>
      <c r="D9" s="17">
        <v>0.58221743116395397</v>
      </c>
      <c r="E9" s="17">
        <v>0.39167426330899002</v>
      </c>
      <c r="F9" s="17"/>
      <c r="G9" s="17">
        <v>0.54769039708008904</v>
      </c>
      <c r="H9" s="17">
        <v>0.40552769557787</v>
      </c>
      <c r="I9" s="17">
        <v>0.44509122339161</v>
      </c>
      <c r="J9" s="17">
        <v>0.53440556787874705</v>
      </c>
      <c r="K9" s="17"/>
      <c r="L9" s="17">
        <v>0.47661859719199101</v>
      </c>
      <c r="M9" s="17">
        <v>0.58337194012175497</v>
      </c>
      <c r="N9" s="17">
        <v>0.49144611181940401</v>
      </c>
      <c r="O9" s="17">
        <v>0.38108529406499297</v>
      </c>
    </row>
    <row r="10" spans="2:15" ht="43.2" x14ac:dyDescent="0.3">
      <c r="B10" s="18" t="s">
        <v>288</v>
      </c>
      <c r="C10" s="17">
        <v>0.41675314041649703</v>
      </c>
      <c r="D10" s="17">
        <v>0.39967310121736399</v>
      </c>
      <c r="E10" s="17">
        <v>0.43250512985705097</v>
      </c>
      <c r="F10" s="17"/>
      <c r="G10" s="17">
        <v>0.471683921286635</v>
      </c>
      <c r="H10" s="17">
        <v>0.39935639163159398</v>
      </c>
      <c r="I10" s="17">
        <v>0.324080994917819</v>
      </c>
      <c r="J10" s="17">
        <v>0.44494777371968802</v>
      </c>
      <c r="K10" s="17"/>
      <c r="L10" s="17">
        <v>0.25431596845062499</v>
      </c>
      <c r="M10" s="17">
        <v>0.28342023944342098</v>
      </c>
      <c r="N10" s="17">
        <v>0.50228760378752602</v>
      </c>
      <c r="O10" s="17">
        <v>0.62996185538327698</v>
      </c>
    </row>
    <row r="11" spans="2:15" ht="28.8" x14ac:dyDescent="0.3">
      <c r="B11" s="18" t="s">
        <v>289</v>
      </c>
      <c r="C11" s="17">
        <v>0.27319603515496299</v>
      </c>
      <c r="D11" s="17">
        <v>0.381785729509029</v>
      </c>
      <c r="E11" s="17">
        <v>0.163779092922267</v>
      </c>
      <c r="F11" s="17"/>
      <c r="G11" s="17">
        <v>0.36372605776633499</v>
      </c>
      <c r="H11" s="17">
        <v>0.21697318018396899</v>
      </c>
      <c r="I11" s="17">
        <v>0.27548977868931601</v>
      </c>
      <c r="J11" s="17">
        <v>0.21925073282223201</v>
      </c>
      <c r="K11" s="17"/>
      <c r="L11" s="17">
        <v>0.272547899915902</v>
      </c>
      <c r="M11" s="17">
        <v>0.35310113734925902</v>
      </c>
      <c r="N11" s="17">
        <v>0.27612699747763703</v>
      </c>
      <c r="O11" s="17">
        <v>0.18471044218393001</v>
      </c>
    </row>
    <row r="12" spans="2:15" ht="28.8" x14ac:dyDescent="0.3">
      <c r="B12" s="18" t="s">
        <v>290</v>
      </c>
      <c r="C12" s="17">
        <v>0.21894869405160799</v>
      </c>
      <c r="D12" s="17">
        <v>0.143122126049258</v>
      </c>
      <c r="E12" s="17">
        <v>0.29334285246479702</v>
      </c>
      <c r="F12" s="17"/>
      <c r="G12" s="17">
        <v>0.25696721926555799</v>
      </c>
      <c r="H12" s="17">
        <v>0.26581099544209702</v>
      </c>
      <c r="I12" s="17">
        <v>0.15226819759628701</v>
      </c>
      <c r="J12" s="17">
        <v>0.178867614294555</v>
      </c>
      <c r="K12" s="17"/>
      <c r="L12" s="17">
        <v>0.27261971283610398</v>
      </c>
      <c r="M12" s="17">
        <v>0.17969306093613499</v>
      </c>
      <c r="N12" s="17">
        <v>0.197600812114816</v>
      </c>
      <c r="O12" s="17">
        <v>0.23063409208043201</v>
      </c>
    </row>
    <row r="13" spans="2:15" ht="28.8" x14ac:dyDescent="0.3">
      <c r="B13" s="18" t="s">
        <v>291</v>
      </c>
      <c r="C13" s="17">
        <v>0.19575934734786599</v>
      </c>
      <c r="D13" s="17">
        <v>0.18954864987947501</v>
      </c>
      <c r="E13" s="17">
        <v>0.203389530143335</v>
      </c>
      <c r="F13" s="17"/>
      <c r="G13" s="17">
        <v>0.26470318901338102</v>
      </c>
      <c r="H13" s="17">
        <v>0.18510904687828</v>
      </c>
      <c r="I13" s="17">
        <v>0.16238600666674499</v>
      </c>
      <c r="J13" s="17">
        <v>0.15012193334297999</v>
      </c>
      <c r="K13" s="17"/>
      <c r="L13" s="17">
        <v>0.22671574150916901</v>
      </c>
      <c r="M13" s="17">
        <v>0.23937600649341101</v>
      </c>
      <c r="N13" s="17">
        <v>0.19289454890532401</v>
      </c>
      <c r="O13" s="17">
        <v>0.120985533327595</v>
      </c>
    </row>
    <row r="14" spans="2:15" ht="28.8" x14ac:dyDescent="0.3">
      <c r="B14" s="18" t="s">
        <v>292</v>
      </c>
      <c r="C14" s="19">
        <v>0.14568589143493399</v>
      </c>
      <c r="D14" s="19">
        <v>0.142076967902977</v>
      </c>
      <c r="E14" s="19">
        <v>0.15035236173198099</v>
      </c>
      <c r="F14" s="19"/>
      <c r="G14" s="19">
        <v>0.21645928923639199</v>
      </c>
      <c r="H14" s="19">
        <v>0.128797817472728</v>
      </c>
      <c r="I14" s="19">
        <v>0.122726373498404</v>
      </c>
      <c r="J14" s="19">
        <v>9.4846121505195294E-2</v>
      </c>
      <c r="K14" s="19"/>
      <c r="L14" s="19">
        <v>0.172125313164539</v>
      </c>
      <c r="M14" s="19">
        <v>0.17383277280475301</v>
      </c>
      <c r="N14" s="19">
        <v>0.14588652582275899</v>
      </c>
      <c r="O14" s="19">
        <v>8.8749894917652006E-2</v>
      </c>
    </row>
    <row r="15" spans="2:15" x14ac:dyDescent="0.3">
      <c r="B15" s="16"/>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O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301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432</v>
      </c>
      <c r="D7" s="10">
        <v>229</v>
      </c>
      <c r="E7" s="10">
        <v>201</v>
      </c>
      <c r="F7" s="10"/>
      <c r="G7" s="10">
        <v>163</v>
      </c>
      <c r="H7" s="10">
        <v>113</v>
      </c>
      <c r="I7" s="10">
        <v>78</v>
      </c>
      <c r="J7" s="10">
        <v>77</v>
      </c>
      <c r="K7" s="10"/>
      <c r="L7" s="10" t="s">
        <v>255</v>
      </c>
      <c r="M7" s="10">
        <v>151</v>
      </c>
      <c r="N7" s="10">
        <v>167</v>
      </c>
      <c r="O7" s="10">
        <v>114</v>
      </c>
    </row>
    <row r="8" spans="2:15" ht="30" customHeight="1" x14ac:dyDescent="0.3">
      <c r="B8" s="11" t="s">
        <v>19</v>
      </c>
      <c r="C8" s="11">
        <v>417</v>
      </c>
      <c r="D8" s="11">
        <v>215</v>
      </c>
      <c r="E8" s="11">
        <v>201</v>
      </c>
      <c r="F8" s="11"/>
      <c r="G8" s="11">
        <v>123</v>
      </c>
      <c r="H8" s="11">
        <v>108</v>
      </c>
      <c r="I8" s="11">
        <v>93</v>
      </c>
      <c r="J8" s="11">
        <v>93</v>
      </c>
      <c r="K8" s="11"/>
      <c r="L8" s="11" t="s">
        <v>255</v>
      </c>
      <c r="M8" s="11">
        <v>142</v>
      </c>
      <c r="N8" s="11">
        <v>143</v>
      </c>
      <c r="O8" s="11">
        <v>132</v>
      </c>
    </row>
    <row r="9" spans="2:15" ht="28.8" x14ac:dyDescent="0.3">
      <c r="B9" s="18" t="s">
        <v>294</v>
      </c>
      <c r="C9" s="17">
        <v>0.177282004608625</v>
      </c>
      <c r="D9" s="17">
        <v>0.221844481531695</v>
      </c>
      <c r="E9" s="17">
        <v>0.13137171056232699</v>
      </c>
      <c r="F9" s="17"/>
      <c r="G9" s="17">
        <v>0.187544636051448</v>
      </c>
      <c r="H9" s="17">
        <v>0.22040399648654599</v>
      </c>
      <c r="I9" s="17">
        <v>0.19406328703752301</v>
      </c>
      <c r="J9" s="17">
        <v>9.8570684117904303E-2</v>
      </c>
      <c r="K9" s="17"/>
      <c r="L9" s="17" t="s">
        <v>256</v>
      </c>
      <c r="M9" s="17">
        <v>0.20804303159349399</v>
      </c>
      <c r="N9" s="17">
        <v>0.18541204242798301</v>
      </c>
      <c r="O9" s="17">
        <v>0.13538305582059901</v>
      </c>
    </row>
    <row r="10" spans="2:15" ht="57.6" x14ac:dyDescent="0.3">
      <c r="B10" s="18" t="s">
        <v>295</v>
      </c>
      <c r="C10" s="17">
        <v>0.159905126927291</v>
      </c>
      <c r="D10" s="17">
        <v>0.16663987098918201</v>
      </c>
      <c r="E10" s="17">
        <v>0.15429063211772001</v>
      </c>
      <c r="F10" s="17"/>
      <c r="G10" s="17">
        <v>0.15224790017366999</v>
      </c>
      <c r="H10" s="17">
        <v>0.14102369526720099</v>
      </c>
      <c r="I10" s="17">
        <v>0.181518296460939</v>
      </c>
      <c r="J10" s="17">
        <v>0.17209897945669</v>
      </c>
      <c r="K10" s="17"/>
      <c r="L10" s="17" t="s">
        <v>256</v>
      </c>
      <c r="M10" s="17">
        <v>0.13818162223643199</v>
      </c>
      <c r="N10" s="17">
        <v>0.18466425934689401</v>
      </c>
      <c r="O10" s="17">
        <v>0.15645195821591701</v>
      </c>
    </row>
    <row r="11" spans="2:15" ht="43.2" x14ac:dyDescent="0.3">
      <c r="B11" s="18" t="s">
        <v>296</v>
      </c>
      <c r="C11" s="17">
        <v>0.14235213083124801</v>
      </c>
      <c r="D11" s="17">
        <v>0.15193653238674901</v>
      </c>
      <c r="E11" s="17">
        <v>0.12949950426786799</v>
      </c>
      <c r="F11" s="17"/>
      <c r="G11" s="17">
        <v>0.19749233411511499</v>
      </c>
      <c r="H11" s="17">
        <v>0.13017923296757</v>
      </c>
      <c r="I11" s="17">
        <v>9.5495328191809906E-2</v>
      </c>
      <c r="J11" s="17">
        <v>0.13192435268241701</v>
      </c>
      <c r="K11" s="17"/>
      <c r="L11" s="17" t="s">
        <v>256</v>
      </c>
      <c r="M11" s="17">
        <v>0.14723193861915801</v>
      </c>
      <c r="N11" s="17">
        <v>0.157231346575047</v>
      </c>
      <c r="O11" s="17">
        <v>0.120983490246047</v>
      </c>
    </row>
    <row r="12" spans="2:15" ht="43.2" x14ac:dyDescent="0.3">
      <c r="B12" s="18" t="s">
        <v>297</v>
      </c>
      <c r="C12" s="17">
        <v>9.8459894227362205E-2</v>
      </c>
      <c r="D12" s="17">
        <v>9.2965927762958298E-2</v>
      </c>
      <c r="E12" s="17">
        <v>0.10531670426406201</v>
      </c>
      <c r="F12" s="17"/>
      <c r="G12" s="17">
        <v>0.159577973768007</v>
      </c>
      <c r="H12" s="17">
        <v>7.35194298026874E-2</v>
      </c>
      <c r="I12" s="17">
        <v>7.5668706192913895E-2</v>
      </c>
      <c r="J12" s="17">
        <v>7.0374903855306106E-2</v>
      </c>
      <c r="K12" s="17"/>
      <c r="L12" s="17" t="s">
        <v>256</v>
      </c>
      <c r="M12" s="17">
        <v>7.1454412460934702E-2</v>
      </c>
      <c r="N12" s="17">
        <v>9.19292069033181E-2</v>
      </c>
      <c r="O12" s="17">
        <v>0.13458615709229399</v>
      </c>
    </row>
    <row r="13" spans="2:15" ht="28.8" x14ac:dyDescent="0.3">
      <c r="B13" s="18" t="s">
        <v>298</v>
      </c>
      <c r="C13" s="17">
        <v>7.4826047340966498E-2</v>
      </c>
      <c r="D13" s="17">
        <v>7.8215598317749796E-2</v>
      </c>
      <c r="E13" s="17">
        <v>7.1944083912562795E-2</v>
      </c>
      <c r="F13" s="17"/>
      <c r="G13" s="17">
        <v>7.4091730443037296E-2</v>
      </c>
      <c r="H13" s="17">
        <v>6.99994561357139E-2</v>
      </c>
      <c r="I13" s="17">
        <v>6.7400692205586199E-2</v>
      </c>
      <c r="J13" s="17">
        <v>7.8876291233709095E-2</v>
      </c>
      <c r="K13" s="17"/>
      <c r="L13" s="17" t="s">
        <v>256</v>
      </c>
      <c r="M13" s="17">
        <v>6.7632929116235099E-2</v>
      </c>
      <c r="N13" s="17">
        <v>8.1427089853304296E-2</v>
      </c>
      <c r="O13" s="17">
        <v>7.5412969376175198E-2</v>
      </c>
    </row>
    <row r="14" spans="2:15" ht="43.2" x14ac:dyDescent="0.3">
      <c r="B14" s="18" t="s">
        <v>299</v>
      </c>
      <c r="C14" s="17">
        <v>8.9216020424947307E-2</v>
      </c>
      <c r="D14" s="17">
        <v>6.3617392671682094E-2</v>
      </c>
      <c r="E14" s="17">
        <v>0.11748913446494499</v>
      </c>
      <c r="F14" s="17"/>
      <c r="G14" s="17">
        <v>0.100102794872398</v>
      </c>
      <c r="H14" s="17">
        <v>0.100525358526252</v>
      </c>
      <c r="I14" s="17">
        <v>4.9524577014431199E-2</v>
      </c>
      <c r="J14" s="17">
        <v>0.102364269805376</v>
      </c>
      <c r="K14" s="17"/>
      <c r="L14" s="17" t="s">
        <v>256</v>
      </c>
      <c r="M14" s="17">
        <v>9.1766522067195003E-2</v>
      </c>
      <c r="N14" s="17">
        <v>7.8786290228213401E-2</v>
      </c>
      <c r="O14" s="17">
        <v>9.7771173341112197E-2</v>
      </c>
    </row>
    <row r="15" spans="2:15" ht="43.2" x14ac:dyDescent="0.3">
      <c r="B15" s="18" t="s">
        <v>300</v>
      </c>
      <c r="C15" s="17">
        <v>0.17939626170082101</v>
      </c>
      <c r="D15" s="17">
        <v>0.13927445532499999</v>
      </c>
      <c r="E15" s="17">
        <v>0.21817228849930601</v>
      </c>
      <c r="F15" s="17"/>
      <c r="G15" s="17">
        <v>8.5466638728234998E-2</v>
      </c>
      <c r="H15" s="17">
        <v>0.163126181722896</v>
      </c>
      <c r="I15" s="17">
        <v>0.27435551118511198</v>
      </c>
      <c r="J15" s="17">
        <v>0.22961696372646401</v>
      </c>
      <c r="K15" s="17"/>
      <c r="L15" s="17" t="s">
        <v>256</v>
      </c>
      <c r="M15" s="17">
        <v>0.224479258058214</v>
      </c>
      <c r="N15" s="17">
        <v>0.14117139252194799</v>
      </c>
      <c r="O15" s="17">
        <v>0.17230816177528499</v>
      </c>
    </row>
    <row r="16" spans="2:15" x14ac:dyDescent="0.3">
      <c r="B16" s="18" t="s">
        <v>44</v>
      </c>
      <c r="C16" s="17">
        <v>0</v>
      </c>
      <c r="D16" s="17">
        <v>0</v>
      </c>
      <c r="E16" s="17">
        <v>0</v>
      </c>
      <c r="F16" s="17"/>
      <c r="G16" s="17">
        <v>0</v>
      </c>
      <c r="H16" s="17">
        <v>0</v>
      </c>
      <c r="I16" s="17">
        <v>0</v>
      </c>
      <c r="J16" s="17">
        <v>0</v>
      </c>
      <c r="K16" s="17"/>
      <c r="L16" s="17" t="s">
        <v>256</v>
      </c>
      <c r="M16" s="17">
        <v>0</v>
      </c>
      <c r="N16" s="17">
        <v>0</v>
      </c>
      <c r="O16" s="17">
        <v>0</v>
      </c>
    </row>
    <row r="17" spans="2:15" x14ac:dyDescent="0.3">
      <c r="B17" s="18" t="s">
        <v>107</v>
      </c>
      <c r="C17" s="19">
        <v>7.8562513938738796E-2</v>
      </c>
      <c r="D17" s="19">
        <v>8.5505741014983802E-2</v>
      </c>
      <c r="E17" s="19">
        <v>7.1915941911209105E-2</v>
      </c>
      <c r="F17" s="19"/>
      <c r="G17" s="19">
        <v>4.347599184809E-2</v>
      </c>
      <c r="H17" s="19">
        <v>0.101222649091134</v>
      </c>
      <c r="I17" s="19">
        <v>6.19736017116847E-2</v>
      </c>
      <c r="J17" s="19">
        <v>0.116173555122133</v>
      </c>
      <c r="K17" s="19"/>
      <c r="L17" s="19" t="s">
        <v>256</v>
      </c>
      <c r="M17" s="19">
        <v>5.1210285848338297E-2</v>
      </c>
      <c r="N17" s="19">
        <v>7.9378372143292505E-2</v>
      </c>
      <c r="O17" s="19">
        <v>0.10710303413257</v>
      </c>
    </row>
    <row r="18" spans="2:15" x14ac:dyDescent="0.3">
      <c r="B18" s="16" t="s">
        <v>286</v>
      </c>
    </row>
    <row r="19" spans="2:15" x14ac:dyDescent="0.3">
      <c r="B19" t="s">
        <v>47</v>
      </c>
    </row>
    <row r="20" spans="2:15" x14ac:dyDescent="0.3">
      <c r="B20" t="s">
        <v>48</v>
      </c>
    </row>
    <row r="22" spans="2:15" x14ac:dyDescent="0.3">
      <c r="B2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O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307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432</v>
      </c>
      <c r="D7" s="10">
        <v>229</v>
      </c>
      <c r="E7" s="10">
        <v>201</v>
      </c>
      <c r="F7" s="10"/>
      <c r="G7" s="10">
        <v>163</v>
      </c>
      <c r="H7" s="10">
        <v>113</v>
      </c>
      <c r="I7" s="10">
        <v>78</v>
      </c>
      <c r="J7" s="10">
        <v>77</v>
      </c>
      <c r="K7" s="10"/>
      <c r="L7" s="10" t="s">
        <v>255</v>
      </c>
      <c r="M7" s="10">
        <v>151</v>
      </c>
      <c r="N7" s="10">
        <v>167</v>
      </c>
      <c r="O7" s="10">
        <v>114</v>
      </c>
    </row>
    <row r="8" spans="2:15" ht="30" customHeight="1" x14ac:dyDescent="0.3">
      <c r="B8" s="11" t="s">
        <v>19</v>
      </c>
      <c r="C8" s="11">
        <v>417</v>
      </c>
      <c r="D8" s="11">
        <v>215</v>
      </c>
      <c r="E8" s="11">
        <v>201</v>
      </c>
      <c r="F8" s="11"/>
      <c r="G8" s="11">
        <v>123</v>
      </c>
      <c r="H8" s="11">
        <v>108</v>
      </c>
      <c r="I8" s="11">
        <v>93</v>
      </c>
      <c r="J8" s="11">
        <v>93</v>
      </c>
      <c r="K8" s="11"/>
      <c r="L8" s="11" t="s">
        <v>255</v>
      </c>
      <c r="M8" s="11">
        <v>142</v>
      </c>
      <c r="N8" s="11">
        <v>143</v>
      </c>
      <c r="O8" s="11">
        <v>132</v>
      </c>
    </row>
    <row r="9" spans="2:15" x14ac:dyDescent="0.3">
      <c r="B9" s="18" t="s">
        <v>58</v>
      </c>
      <c r="C9" s="17">
        <v>1.1122667998568401E-2</v>
      </c>
      <c r="D9" s="17">
        <v>1.1978831978909799E-2</v>
      </c>
      <c r="E9" s="17">
        <v>1.0317358771633801E-2</v>
      </c>
      <c r="F9" s="17"/>
      <c r="G9" s="17">
        <v>7.4523752811353596E-3</v>
      </c>
      <c r="H9" s="17">
        <v>6.89839989140195E-3</v>
      </c>
      <c r="I9" s="17">
        <v>0</v>
      </c>
      <c r="J9" s="17">
        <v>3.2174496152573798E-2</v>
      </c>
      <c r="K9" s="17"/>
      <c r="L9" s="17" t="s">
        <v>256</v>
      </c>
      <c r="M9" s="17">
        <v>0</v>
      </c>
      <c r="N9" s="17">
        <v>2.08642959788909E-2</v>
      </c>
      <c r="O9" s="17">
        <v>1.2534532048648701E-2</v>
      </c>
    </row>
    <row r="10" spans="2:15" x14ac:dyDescent="0.3">
      <c r="B10" s="18" t="s">
        <v>59</v>
      </c>
      <c r="C10" s="17">
        <v>1.2268154960561099E-2</v>
      </c>
      <c r="D10" s="17">
        <v>1.33882525405974E-2</v>
      </c>
      <c r="E10" s="17">
        <v>1.11918790168081E-2</v>
      </c>
      <c r="F10" s="17"/>
      <c r="G10" s="17">
        <v>1.6260159727760799E-2</v>
      </c>
      <c r="H10" s="17">
        <v>1.8521084875447801E-2</v>
      </c>
      <c r="I10" s="17">
        <v>0</v>
      </c>
      <c r="J10" s="17">
        <v>1.2125785964322301E-2</v>
      </c>
      <c r="K10" s="17"/>
      <c r="L10" s="17" t="s">
        <v>256</v>
      </c>
      <c r="M10" s="17">
        <v>2.3898382049683999E-2</v>
      </c>
      <c r="N10" s="17">
        <v>0</v>
      </c>
      <c r="O10" s="17">
        <v>1.30473512689305E-2</v>
      </c>
    </row>
    <row r="11" spans="2:15" x14ac:dyDescent="0.3">
      <c r="B11" s="18" t="s">
        <v>60</v>
      </c>
      <c r="C11" s="17">
        <v>3.5884043862085498E-2</v>
      </c>
      <c r="D11" s="17">
        <v>4.1823040738347902E-2</v>
      </c>
      <c r="E11" s="17">
        <v>2.9887328174432098E-2</v>
      </c>
      <c r="F11" s="17"/>
      <c r="G11" s="17">
        <v>4.7814777636214903E-2</v>
      </c>
      <c r="H11" s="17">
        <v>3.9064845761990603E-2</v>
      </c>
      <c r="I11" s="17">
        <v>1.02318187166944E-2</v>
      </c>
      <c r="J11" s="17">
        <v>4.2463484873814801E-2</v>
      </c>
      <c r="K11" s="17"/>
      <c r="L11" s="17" t="s">
        <v>256</v>
      </c>
      <c r="M11" s="17">
        <v>3.8952919223113898E-2</v>
      </c>
      <c r="N11" s="17">
        <v>6.5960361963688693E-2</v>
      </c>
      <c r="O11" s="17">
        <v>0</v>
      </c>
    </row>
    <row r="12" spans="2:15" x14ac:dyDescent="0.3">
      <c r="B12" s="18" t="s">
        <v>61</v>
      </c>
      <c r="C12" s="17">
        <v>9.4709025577801503E-2</v>
      </c>
      <c r="D12" s="17">
        <v>9.1233325083802705E-2</v>
      </c>
      <c r="E12" s="17">
        <v>9.9369360418718397E-2</v>
      </c>
      <c r="F12" s="17"/>
      <c r="G12" s="17">
        <v>9.1700840169392797E-2</v>
      </c>
      <c r="H12" s="17">
        <v>8.1555687952424294E-2</v>
      </c>
      <c r="I12" s="17">
        <v>0.124464035068684</v>
      </c>
      <c r="J12" s="17">
        <v>7.4414978894719402E-2</v>
      </c>
      <c r="K12" s="17"/>
      <c r="L12" s="17" t="s">
        <v>256</v>
      </c>
      <c r="M12" s="17">
        <v>7.4417165073834099E-2</v>
      </c>
      <c r="N12" s="17">
        <v>8.6578372651334307E-2</v>
      </c>
      <c r="O12" s="17">
        <v>0.12534635557816601</v>
      </c>
    </row>
    <row r="13" spans="2:15" x14ac:dyDescent="0.3">
      <c r="B13" s="18" t="s">
        <v>62</v>
      </c>
      <c r="C13" s="17">
        <v>0.18413257203186301</v>
      </c>
      <c r="D13" s="17">
        <v>0.22168072194066299</v>
      </c>
      <c r="E13" s="17">
        <v>0.14177949255532901</v>
      </c>
      <c r="F13" s="17"/>
      <c r="G13" s="17">
        <v>0.20726412194206101</v>
      </c>
      <c r="H13" s="17">
        <v>0.149871509756204</v>
      </c>
      <c r="I13" s="17">
        <v>0.24398024590515499</v>
      </c>
      <c r="J13" s="17">
        <v>0.13535110717170501</v>
      </c>
      <c r="K13" s="17"/>
      <c r="L13" s="17" t="s">
        <v>256</v>
      </c>
      <c r="M13" s="17">
        <v>0.21121601738718601</v>
      </c>
      <c r="N13" s="17">
        <v>0.20406638055545401</v>
      </c>
      <c r="O13" s="17">
        <v>0.13340239127936601</v>
      </c>
    </row>
    <row r="14" spans="2:15" x14ac:dyDescent="0.3">
      <c r="B14" s="18" t="s">
        <v>302</v>
      </c>
      <c r="C14" s="17">
        <v>0.247868225580584</v>
      </c>
      <c r="D14" s="17">
        <v>0.27222504799487202</v>
      </c>
      <c r="E14" s="17">
        <v>0.22427627507952899</v>
      </c>
      <c r="F14" s="17"/>
      <c r="G14" s="17">
        <v>0.33080832777183</v>
      </c>
      <c r="H14" s="17">
        <v>0.19580061798928799</v>
      </c>
      <c r="I14" s="17">
        <v>0.19652357785285501</v>
      </c>
      <c r="J14" s="17">
        <v>0.25266471534575202</v>
      </c>
      <c r="K14" s="17"/>
      <c r="L14" s="17" t="s">
        <v>256</v>
      </c>
      <c r="M14" s="17">
        <v>0.216373150147492</v>
      </c>
      <c r="N14" s="17">
        <v>0.26060907358447</v>
      </c>
      <c r="O14" s="17">
        <v>0.26794670623924699</v>
      </c>
    </row>
    <row r="15" spans="2:15" x14ac:dyDescent="0.3">
      <c r="B15" s="18" t="s">
        <v>303</v>
      </c>
      <c r="C15" s="17">
        <v>0.16559428954041899</v>
      </c>
      <c r="D15" s="17">
        <v>0.15928383028529</v>
      </c>
      <c r="E15" s="17">
        <v>0.173992318139819</v>
      </c>
      <c r="F15" s="17"/>
      <c r="G15" s="17">
        <v>0.151182146709788</v>
      </c>
      <c r="H15" s="17">
        <v>0.19482138320165901</v>
      </c>
      <c r="I15" s="17">
        <v>0.19683075891648399</v>
      </c>
      <c r="J15" s="17">
        <v>0.121155119941126</v>
      </c>
      <c r="K15" s="17"/>
      <c r="L15" s="17" t="s">
        <v>256</v>
      </c>
      <c r="M15" s="17">
        <v>0.178563231346336</v>
      </c>
      <c r="N15" s="17">
        <v>0.178179063680694</v>
      </c>
      <c r="O15" s="17">
        <v>0.13800934682451199</v>
      </c>
    </row>
    <row r="16" spans="2:15" x14ac:dyDescent="0.3">
      <c r="B16" s="18" t="s">
        <v>304</v>
      </c>
      <c r="C16" s="17">
        <v>4.7664646171409003E-2</v>
      </c>
      <c r="D16" s="17">
        <v>3.3453537144182498E-2</v>
      </c>
      <c r="E16" s="17">
        <v>6.3341962645396599E-2</v>
      </c>
      <c r="F16" s="17"/>
      <c r="G16" s="17">
        <v>6.4215471038318997E-2</v>
      </c>
      <c r="H16" s="17">
        <v>5.7346896724110502E-2</v>
      </c>
      <c r="I16" s="17">
        <v>2.2843920373346999E-2</v>
      </c>
      <c r="J16" s="17">
        <v>3.9844425278725101E-2</v>
      </c>
      <c r="K16" s="17"/>
      <c r="L16" s="17" t="s">
        <v>256</v>
      </c>
      <c r="M16" s="17">
        <v>5.8798292953313298E-2</v>
      </c>
      <c r="N16" s="17">
        <v>2.3182829651851301E-2</v>
      </c>
      <c r="O16" s="17">
        <v>6.2209509196153999E-2</v>
      </c>
    </row>
    <row r="17" spans="2:15" ht="28.8" x14ac:dyDescent="0.3">
      <c r="B17" s="18" t="s">
        <v>305</v>
      </c>
      <c r="C17" s="17">
        <v>4.4089225304379698E-2</v>
      </c>
      <c r="D17" s="17">
        <v>2.4816557040050601E-2</v>
      </c>
      <c r="E17" s="17">
        <v>6.5145906347470403E-2</v>
      </c>
      <c r="F17" s="17"/>
      <c r="G17" s="17">
        <v>2.9822396163228699E-2</v>
      </c>
      <c r="H17" s="17">
        <v>7.1026510453843894E-2</v>
      </c>
      <c r="I17" s="17">
        <v>2.31721705668924E-2</v>
      </c>
      <c r="J17" s="17">
        <v>5.3086306697079998E-2</v>
      </c>
      <c r="K17" s="17"/>
      <c r="L17" s="17" t="s">
        <v>256</v>
      </c>
      <c r="M17" s="17">
        <v>5.1639425587715698E-2</v>
      </c>
      <c r="N17" s="17">
        <v>1.8996839592035498E-2</v>
      </c>
      <c r="O17" s="17">
        <v>6.3150458006133503E-2</v>
      </c>
    </row>
    <row r="18" spans="2:15" ht="28.8" x14ac:dyDescent="0.3">
      <c r="B18" s="18" t="s">
        <v>306</v>
      </c>
      <c r="C18" s="17">
        <v>9.5123268732529603E-2</v>
      </c>
      <c r="D18" s="17">
        <v>7.5467854441586102E-2</v>
      </c>
      <c r="E18" s="17">
        <v>0.11116588175365601</v>
      </c>
      <c r="F18" s="17"/>
      <c r="G18" s="17">
        <v>2.9936723275521399E-2</v>
      </c>
      <c r="H18" s="17">
        <v>0.12871961959414199</v>
      </c>
      <c r="I18" s="17">
        <v>0.102363464230674</v>
      </c>
      <c r="J18" s="17">
        <v>0.13620169545251801</v>
      </c>
      <c r="K18" s="17"/>
      <c r="L18" s="17" t="s">
        <v>256</v>
      </c>
      <c r="M18" s="17">
        <v>9.3654682626536895E-2</v>
      </c>
      <c r="N18" s="17">
        <v>8.4990376885030194E-2</v>
      </c>
      <c r="O18" s="17">
        <v>0.10768041086316101</v>
      </c>
    </row>
    <row r="19" spans="2:15" x14ac:dyDescent="0.3">
      <c r="B19" s="18" t="s">
        <v>66</v>
      </c>
      <c r="C19" s="19">
        <v>6.1543880239799703E-2</v>
      </c>
      <c r="D19" s="19">
        <v>5.4649000811698503E-2</v>
      </c>
      <c r="E19" s="19">
        <v>6.9532237097208002E-2</v>
      </c>
      <c r="F19" s="19"/>
      <c r="G19" s="19">
        <v>2.3542660284747101E-2</v>
      </c>
      <c r="H19" s="19">
        <v>5.6373443799487999E-2</v>
      </c>
      <c r="I19" s="19">
        <v>7.9590008369214704E-2</v>
      </c>
      <c r="J19" s="19">
        <v>0.100517884227664</v>
      </c>
      <c r="K19" s="19"/>
      <c r="L19" s="19" t="s">
        <v>256</v>
      </c>
      <c r="M19" s="19">
        <v>5.2486733604788303E-2</v>
      </c>
      <c r="N19" s="19">
        <v>5.6572405456550998E-2</v>
      </c>
      <c r="O19" s="19">
        <v>7.6672938695679996E-2</v>
      </c>
    </row>
    <row r="20" spans="2:15" x14ac:dyDescent="0.3">
      <c r="B20" s="16" t="s">
        <v>286</v>
      </c>
    </row>
    <row r="21" spans="2:15" x14ac:dyDescent="0.3">
      <c r="B21" t="s">
        <v>47</v>
      </c>
    </row>
    <row r="22" spans="2:15" x14ac:dyDescent="0.3">
      <c r="B22" t="s">
        <v>48</v>
      </c>
    </row>
    <row r="24" spans="2:15" x14ac:dyDescent="0.3">
      <c r="B24"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O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308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432</v>
      </c>
      <c r="D7" s="10">
        <v>229</v>
      </c>
      <c r="E7" s="10">
        <v>201</v>
      </c>
      <c r="F7" s="10"/>
      <c r="G7" s="10">
        <v>163</v>
      </c>
      <c r="H7" s="10">
        <v>113</v>
      </c>
      <c r="I7" s="10">
        <v>78</v>
      </c>
      <c r="J7" s="10">
        <v>77</v>
      </c>
      <c r="K7" s="10"/>
      <c r="L7" s="10" t="s">
        <v>255</v>
      </c>
      <c r="M7" s="10">
        <v>151</v>
      </c>
      <c r="N7" s="10">
        <v>167</v>
      </c>
      <c r="O7" s="10">
        <v>114</v>
      </c>
    </row>
    <row r="8" spans="2:15" ht="30" customHeight="1" x14ac:dyDescent="0.3">
      <c r="B8" s="11" t="s">
        <v>19</v>
      </c>
      <c r="C8" s="11">
        <v>417</v>
      </c>
      <c r="D8" s="11">
        <v>215</v>
      </c>
      <c r="E8" s="11">
        <v>201</v>
      </c>
      <c r="F8" s="11"/>
      <c r="G8" s="11">
        <v>123</v>
      </c>
      <c r="H8" s="11">
        <v>108</v>
      </c>
      <c r="I8" s="11">
        <v>93</v>
      </c>
      <c r="J8" s="11">
        <v>93</v>
      </c>
      <c r="K8" s="11"/>
      <c r="L8" s="11" t="s">
        <v>255</v>
      </c>
      <c r="M8" s="11">
        <v>142</v>
      </c>
      <c r="N8" s="11">
        <v>143</v>
      </c>
      <c r="O8" s="11">
        <v>132</v>
      </c>
    </row>
    <row r="9" spans="2:15" x14ac:dyDescent="0.3">
      <c r="B9" s="18" t="s">
        <v>58</v>
      </c>
      <c r="C9" s="17">
        <v>5.7529769056550197E-3</v>
      </c>
      <c r="D9" s="17">
        <v>5.0069340538869698E-3</v>
      </c>
      <c r="E9" s="17">
        <v>6.6083233512514404E-3</v>
      </c>
      <c r="F9" s="17"/>
      <c r="G9" s="17">
        <v>8.7480825172914604E-3</v>
      </c>
      <c r="H9" s="17">
        <v>0</v>
      </c>
      <c r="I9" s="17">
        <v>0</v>
      </c>
      <c r="J9" s="17">
        <v>1.43078636634254E-2</v>
      </c>
      <c r="K9" s="17"/>
      <c r="L9" s="17" t="s">
        <v>256</v>
      </c>
      <c r="M9" s="17">
        <v>0</v>
      </c>
      <c r="N9" s="17">
        <v>1.25722759222275E-2</v>
      </c>
      <c r="O9" s="17">
        <v>4.5542114604515804E-3</v>
      </c>
    </row>
    <row r="10" spans="2:15" x14ac:dyDescent="0.3">
      <c r="B10" s="18" t="s">
        <v>59</v>
      </c>
      <c r="C10" s="17">
        <v>6.5759054720208399E-3</v>
      </c>
      <c r="D10" s="17">
        <v>4.0818076937814999E-3</v>
      </c>
      <c r="E10" s="17">
        <v>9.3095301151385097E-3</v>
      </c>
      <c r="F10" s="17"/>
      <c r="G10" s="17">
        <v>0</v>
      </c>
      <c r="H10" s="17">
        <v>1.50201219599954E-2</v>
      </c>
      <c r="I10" s="17">
        <v>0</v>
      </c>
      <c r="J10" s="17">
        <v>1.2125785964322301E-2</v>
      </c>
      <c r="K10" s="17"/>
      <c r="L10" s="17" t="s">
        <v>256</v>
      </c>
      <c r="M10" s="17">
        <v>1.4073777844692799E-2</v>
      </c>
      <c r="N10" s="17">
        <v>5.2005323628413697E-3</v>
      </c>
      <c r="O10" s="17">
        <v>0</v>
      </c>
    </row>
    <row r="11" spans="2:15" x14ac:dyDescent="0.3">
      <c r="B11" s="18" t="s">
        <v>60</v>
      </c>
      <c r="C11" s="17">
        <v>5.6868172706655201E-2</v>
      </c>
      <c r="D11" s="17">
        <v>5.5546388017603997E-2</v>
      </c>
      <c r="E11" s="17">
        <v>5.8847850963548103E-2</v>
      </c>
      <c r="F11" s="17"/>
      <c r="G11" s="17">
        <v>7.8432215203625505E-2</v>
      </c>
      <c r="H11" s="17">
        <v>5.7744940141894199E-2</v>
      </c>
      <c r="I11" s="17">
        <v>3.2896620757343203E-2</v>
      </c>
      <c r="J11" s="17">
        <v>5.1900626582508803E-2</v>
      </c>
      <c r="K11" s="17"/>
      <c r="L11" s="17" t="s">
        <v>256</v>
      </c>
      <c r="M11" s="17">
        <v>6.2477027804838103E-2</v>
      </c>
      <c r="N11" s="17">
        <v>6.7542464566743302E-2</v>
      </c>
      <c r="O11" s="17">
        <v>3.92705881616962E-2</v>
      </c>
    </row>
    <row r="12" spans="2:15" x14ac:dyDescent="0.3">
      <c r="B12" s="18" t="s">
        <v>61</v>
      </c>
      <c r="C12" s="17">
        <v>0.115453951260827</v>
      </c>
      <c r="D12" s="17">
        <v>0.11705267268231399</v>
      </c>
      <c r="E12" s="17">
        <v>0.11489192993489</v>
      </c>
      <c r="F12" s="17"/>
      <c r="G12" s="17">
        <v>0.136908769041787</v>
      </c>
      <c r="H12" s="17">
        <v>0.105763829286145</v>
      </c>
      <c r="I12" s="17">
        <v>0.113527530915509</v>
      </c>
      <c r="J12" s="17">
        <v>9.0676162756776896E-2</v>
      </c>
      <c r="K12" s="17"/>
      <c r="L12" s="17" t="s">
        <v>256</v>
      </c>
      <c r="M12" s="17">
        <v>0.101470563067658</v>
      </c>
      <c r="N12" s="17">
        <v>0.15466993840267401</v>
      </c>
      <c r="O12" s="17">
        <v>8.8012700974055003E-2</v>
      </c>
    </row>
    <row r="13" spans="2:15" x14ac:dyDescent="0.3">
      <c r="B13" s="18" t="s">
        <v>62</v>
      </c>
      <c r="C13" s="17">
        <v>0.20572155696216199</v>
      </c>
      <c r="D13" s="17">
        <v>0.22657842949909099</v>
      </c>
      <c r="E13" s="17">
        <v>0.18545470750088899</v>
      </c>
      <c r="F13" s="17"/>
      <c r="G13" s="17">
        <v>0.26249392572055502</v>
      </c>
      <c r="H13" s="17">
        <v>0.17834240942968499</v>
      </c>
      <c r="I13" s="17">
        <v>0.19871785912862899</v>
      </c>
      <c r="J13" s="17">
        <v>0.171570096308926</v>
      </c>
      <c r="K13" s="17"/>
      <c r="L13" s="17" t="s">
        <v>256</v>
      </c>
      <c r="M13" s="17">
        <v>0.20993288359516801</v>
      </c>
      <c r="N13" s="17">
        <v>0.20065482393081199</v>
      </c>
      <c r="O13" s="17">
        <v>0.20668015121668001</v>
      </c>
    </row>
    <row r="14" spans="2:15" x14ac:dyDescent="0.3">
      <c r="B14" s="18" t="s">
        <v>302</v>
      </c>
      <c r="C14" s="17">
        <v>0.243770750490198</v>
      </c>
      <c r="D14" s="17">
        <v>0.24559772578632599</v>
      </c>
      <c r="E14" s="17">
        <v>0.23429471908360699</v>
      </c>
      <c r="F14" s="17"/>
      <c r="G14" s="17">
        <v>0.235289497070231</v>
      </c>
      <c r="H14" s="17">
        <v>0.21860159446696001</v>
      </c>
      <c r="I14" s="17">
        <v>0.24170485871904199</v>
      </c>
      <c r="J14" s="17">
        <v>0.28901577871067602</v>
      </c>
      <c r="K14" s="17"/>
      <c r="L14" s="17" t="s">
        <v>256</v>
      </c>
      <c r="M14" s="17">
        <v>0.188912215204011</v>
      </c>
      <c r="N14" s="17">
        <v>0.25052051896807498</v>
      </c>
      <c r="O14" s="17">
        <v>0.29547298623491303</v>
      </c>
    </row>
    <row r="15" spans="2:15" x14ac:dyDescent="0.3">
      <c r="B15" s="18" t="s">
        <v>303</v>
      </c>
      <c r="C15" s="17">
        <v>0.15672645921035799</v>
      </c>
      <c r="D15" s="17">
        <v>0.15231494737528301</v>
      </c>
      <c r="E15" s="17">
        <v>0.163004767594395</v>
      </c>
      <c r="F15" s="17"/>
      <c r="G15" s="17">
        <v>0.149698690229774</v>
      </c>
      <c r="H15" s="17">
        <v>0.19239077581251601</v>
      </c>
      <c r="I15" s="17">
        <v>0.200336051467423</v>
      </c>
      <c r="J15" s="17">
        <v>8.2506483852787194E-2</v>
      </c>
      <c r="K15" s="17"/>
      <c r="L15" s="17" t="s">
        <v>256</v>
      </c>
      <c r="M15" s="17">
        <v>0.17275209025791899</v>
      </c>
      <c r="N15" s="17">
        <v>0.15395221210825999</v>
      </c>
      <c r="O15" s="17">
        <v>0.142492199565253</v>
      </c>
    </row>
    <row r="16" spans="2:15" x14ac:dyDescent="0.3">
      <c r="B16" s="18" t="s">
        <v>304</v>
      </c>
      <c r="C16" s="17">
        <v>5.6919918004592097E-2</v>
      </c>
      <c r="D16" s="17">
        <v>4.0380540862537603E-2</v>
      </c>
      <c r="E16" s="17">
        <v>7.5180101420079595E-2</v>
      </c>
      <c r="F16" s="17"/>
      <c r="G16" s="17">
        <v>4.7681376596743603E-2</v>
      </c>
      <c r="H16" s="17">
        <v>7.2325051764648499E-2</v>
      </c>
      <c r="I16" s="17">
        <v>4.5587091463677502E-2</v>
      </c>
      <c r="J16" s="17">
        <v>6.32076665465965E-2</v>
      </c>
      <c r="K16" s="17"/>
      <c r="L16" s="17" t="s">
        <v>256</v>
      </c>
      <c r="M16" s="17">
        <v>7.4117119526379199E-2</v>
      </c>
      <c r="N16" s="17">
        <v>3.6125860557254703E-2</v>
      </c>
      <c r="O16" s="17">
        <v>6.0946793753648899E-2</v>
      </c>
    </row>
    <row r="17" spans="2:15" ht="28.8" x14ac:dyDescent="0.3">
      <c r="B17" s="18" t="s">
        <v>305</v>
      </c>
      <c r="C17" s="17">
        <v>3.7277948249713803E-2</v>
      </c>
      <c r="D17" s="17">
        <v>4.2873257343652001E-2</v>
      </c>
      <c r="E17" s="17">
        <v>3.1662778365150399E-2</v>
      </c>
      <c r="F17" s="17"/>
      <c r="G17" s="17">
        <v>3.3467074049595202E-2</v>
      </c>
      <c r="H17" s="17">
        <v>2.9519321450009701E-2</v>
      </c>
      <c r="I17" s="17">
        <v>3.5959036157616101E-2</v>
      </c>
      <c r="J17" s="17">
        <v>5.3086306697079998E-2</v>
      </c>
      <c r="K17" s="17"/>
      <c r="L17" s="17" t="s">
        <v>256</v>
      </c>
      <c r="M17" s="17">
        <v>5.7424638669615502E-2</v>
      </c>
      <c r="N17" s="17">
        <v>1.0782672045124101E-2</v>
      </c>
      <c r="O17" s="17">
        <v>4.4308209292367402E-2</v>
      </c>
    </row>
    <row r="18" spans="2:15" ht="28.8" x14ac:dyDescent="0.3">
      <c r="B18" s="18" t="s">
        <v>306</v>
      </c>
      <c r="C18" s="17">
        <v>6.1538117470917301E-2</v>
      </c>
      <c r="D18" s="17">
        <v>6.1433923037126401E-2</v>
      </c>
      <c r="E18" s="17">
        <v>6.22616484541028E-2</v>
      </c>
      <c r="F18" s="17"/>
      <c r="G18" s="17">
        <v>1.4529102549560901E-2</v>
      </c>
      <c r="H18" s="17">
        <v>9.5727701982041696E-2</v>
      </c>
      <c r="I18" s="17">
        <v>5.1680943021546299E-2</v>
      </c>
      <c r="J18" s="17">
        <v>9.4602300821161694E-2</v>
      </c>
      <c r="K18" s="17"/>
      <c r="L18" s="17" t="s">
        <v>256</v>
      </c>
      <c r="M18" s="17">
        <v>5.1050501306531403E-2</v>
      </c>
      <c r="N18" s="17">
        <v>6.3668709958349404E-2</v>
      </c>
      <c r="O18" s="17">
        <v>7.0512108150008093E-2</v>
      </c>
    </row>
    <row r="19" spans="2:15" x14ac:dyDescent="0.3">
      <c r="B19" s="18" t="s">
        <v>66</v>
      </c>
      <c r="C19" s="19">
        <v>5.3394243266900003E-2</v>
      </c>
      <c r="D19" s="19">
        <v>4.91333736483981E-2</v>
      </c>
      <c r="E19" s="19">
        <v>5.8483643216947198E-2</v>
      </c>
      <c r="F19" s="19"/>
      <c r="G19" s="19">
        <v>3.2751267020836097E-2</v>
      </c>
      <c r="H19" s="19">
        <v>3.4564253706104102E-2</v>
      </c>
      <c r="I19" s="19">
        <v>7.9590008369214704E-2</v>
      </c>
      <c r="J19" s="19">
        <v>7.7000928095739093E-2</v>
      </c>
      <c r="K19" s="19"/>
      <c r="L19" s="19" t="s">
        <v>256</v>
      </c>
      <c r="M19" s="19">
        <v>6.7789182723187999E-2</v>
      </c>
      <c r="N19" s="19">
        <v>4.43099911776383E-2</v>
      </c>
      <c r="O19" s="19">
        <v>4.77500511909267E-2</v>
      </c>
    </row>
    <row r="20" spans="2:15" x14ac:dyDescent="0.3">
      <c r="B20" s="16" t="s">
        <v>286</v>
      </c>
    </row>
    <row r="21" spans="2:15" x14ac:dyDescent="0.3">
      <c r="B21" t="s">
        <v>47</v>
      </c>
    </row>
    <row r="22" spans="2:15" x14ac:dyDescent="0.3">
      <c r="B22" t="s">
        <v>48</v>
      </c>
    </row>
    <row r="24" spans="2:15" x14ac:dyDescent="0.3">
      <c r="B24"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O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315</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309</v>
      </c>
      <c r="C9" s="17">
        <v>0.19181150634538099</v>
      </c>
      <c r="D9" s="17">
        <v>0.204550748818801</v>
      </c>
      <c r="E9" s="17">
        <v>0.18048454323341401</v>
      </c>
      <c r="F9" s="17"/>
      <c r="G9" s="17">
        <v>0.13751972329110501</v>
      </c>
      <c r="H9" s="17">
        <v>0.19388837942279399</v>
      </c>
      <c r="I9" s="17">
        <v>0.26003456069590902</v>
      </c>
      <c r="J9" s="17">
        <v>0.19937968951582799</v>
      </c>
      <c r="K9" s="17"/>
      <c r="L9" s="17">
        <v>0.228572568651771</v>
      </c>
      <c r="M9" s="17">
        <v>0.21965037873416601</v>
      </c>
      <c r="N9" s="17">
        <v>0.169550697635554</v>
      </c>
      <c r="O9" s="17">
        <v>0.14921844226851999</v>
      </c>
    </row>
    <row r="10" spans="2:15" ht="43.2" x14ac:dyDescent="0.3">
      <c r="B10" s="18" t="s">
        <v>310</v>
      </c>
      <c r="C10" s="17">
        <v>0.23333329829924501</v>
      </c>
      <c r="D10" s="17">
        <v>0.29329393355298</v>
      </c>
      <c r="E10" s="17">
        <v>0.17514125616479101</v>
      </c>
      <c r="F10" s="17"/>
      <c r="G10" s="17">
        <v>0.30566549421544598</v>
      </c>
      <c r="H10" s="17">
        <v>0.190334645490953</v>
      </c>
      <c r="I10" s="17">
        <v>0.19427565748025999</v>
      </c>
      <c r="J10" s="17">
        <v>0.225485029856551</v>
      </c>
      <c r="K10" s="17"/>
      <c r="L10" s="17">
        <v>0.25415456214364002</v>
      </c>
      <c r="M10" s="17">
        <v>0.280679273163081</v>
      </c>
      <c r="N10" s="17">
        <v>0.236159603295517</v>
      </c>
      <c r="O10" s="17">
        <v>0.158517412900824</v>
      </c>
    </row>
    <row r="11" spans="2:15" ht="28.8" x14ac:dyDescent="0.3">
      <c r="B11" s="18" t="s">
        <v>311</v>
      </c>
      <c r="C11" s="17">
        <v>0.157766674880536</v>
      </c>
      <c r="D11" s="17">
        <v>0.163831287047047</v>
      </c>
      <c r="E11" s="17">
        <v>0.149916986414592</v>
      </c>
      <c r="F11" s="17"/>
      <c r="G11" s="17">
        <v>0.18700274722410201</v>
      </c>
      <c r="H11" s="17">
        <v>0.13560546217022901</v>
      </c>
      <c r="I11" s="17">
        <v>0.13018779582925599</v>
      </c>
      <c r="J11" s="17">
        <v>0.17128587120136299</v>
      </c>
      <c r="K11" s="17"/>
      <c r="L11" s="17">
        <v>0.16492503363615901</v>
      </c>
      <c r="M11" s="17">
        <v>0.196085033045267</v>
      </c>
      <c r="N11" s="17">
        <v>0.18075062224438199</v>
      </c>
      <c r="O11" s="17">
        <v>8.4487775727777395E-2</v>
      </c>
    </row>
    <row r="12" spans="2:15" x14ac:dyDescent="0.3">
      <c r="B12" s="18" t="s">
        <v>312</v>
      </c>
      <c r="C12" s="17">
        <v>0.13058656842630101</v>
      </c>
      <c r="D12" s="17">
        <v>0.120341143598388</v>
      </c>
      <c r="E12" s="17">
        <v>0.14177195543903101</v>
      </c>
      <c r="F12" s="17"/>
      <c r="G12" s="17">
        <v>0.16970112337718901</v>
      </c>
      <c r="H12" s="17">
        <v>0.13045587682759399</v>
      </c>
      <c r="I12" s="17">
        <v>7.36385963668999E-2</v>
      </c>
      <c r="J12" s="17">
        <v>0.124899495596733</v>
      </c>
      <c r="K12" s="17"/>
      <c r="L12" s="17">
        <v>0.12077616031616401</v>
      </c>
      <c r="M12" s="17">
        <v>8.3559623889823395E-2</v>
      </c>
      <c r="N12" s="17">
        <v>0.144603845209829</v>
      </c>
      <c r="O12" s="17">
        <v>0.17580118520412899</v>
      </c>
    </row>
    <row r="13" spans="2:15" x14ac:dyDescent="0.3">
      <c r="B13" s="18" t="s">
        <v>313</v>
      </c>
      <c r="C13" s="17">
        <v>7.3543745359796006E-2</v>
      </c>
      <c r="D13" s="17">
        <v>4.46848984306394E-2</v>
      </c>
      <c r="E13" s="17">
        <v>0.102905687541696</v>
      </c>
      <c r="F13" s="17"/>
      <c r="G13" s="17">
        <v>5.9320418619408302E-2</v>
      </c>
      <c r="H13" s="17">
        <v>0.10726752026632499</v>
      </c>
      <c r="I13" s="17">
        <v>9.3420498110109898E-2</v>
      </c>
      <c r="J13" s="17">
        <v>3.6225307841461399E-2</v>
      </c>
      <c r="K13" s="17"/>
      <c r="L13" s="17">
        <v>6.2419820314353301E-2</v>
      </c>
      <c r="M13" s="17">
        <v>5.0098387706862701E-2</v>
      </c>
      <c r="N13" s="17">
        <v>8.2265283330966096E-2</v>
      </c>
      <c r="O13" s="17">
        <v>0.100440858714627</v>
      </c>
    </row>
    <row r="14" spans="2:15" x14ac:dyDescent="0.3">
      <c r="B14" s="18" t="s">
        <v>314</v>
      </c>
      <c r="C14" s="17">
        <v>0.182706376809747</v>
      </c>
      <c r="D14" s="17">
        <v>0.153837165018855</v>
      </c>
      <c r="E14" s="17">
        <v>0.20852856057190799</v>
      </c>
      <c r="F14" s="17"/>
      <c r="G14" s="17">
        <v>0.121713953523576</v>
      </c>
      <c r="H14" s="17">
        <v>0.213140142983229</v>
      </c>
      <c r="I14" s="17">
        <v>0.22518268324842799</v>
      </c>
      <c r="J14" s="17">
        <v>0.19023596525603501</v>
      </c>
      <c r="K14" s="17"/>
      <c r="L14" s="17">
        <v>0.13067628951323301</v>
      </c>
      <c r="M14" s="17">
        <v>0.145087439245419</v>
      </c>
      <c r="N14" s="17">
        <v>0.157915846001808</v>
      </c>
      <c r="O14" s="17">
        <v>0.30206172955830302</v>
      </c>
    </row>
    <row r="15" spans="2:15" x14ac:dyDescent="0.3">
      <c r="B15" s="18" t="s">
        <v>107</v>
      </c>
      <c r="C15" s="19">
        <v>3.0251829878994298E-2</v>
      </c>
      <c r="D15" s="19">
        <v>1.9460823533290001E-2</v>
      </c>
      <c r="E15" s="19">
        <v>4.12510106345675E-2</v>
      </c>
      <c r="F15" s="19"/>
      <c r="G15" s="19">
        <v>1.9076539749174001E-2</v>
      </c>
      <c r="H15" s="19">
        <v>2.9307972838875401E-2</v>
      </c>
      <c r="I15" s="19">
        <v>2.32602082691379E-2</v>
      </c>
      <c r="J15" s="19">
        <v>5.24886407320291E-2</v>
      </c>
      <c r="K15" s="19"/>
      <c r="L15" s="19">
        <v>3.8475565424679101E-2</v>
      </c>
      <c r="M15" s="19">
        <v>2.4839864215381299E-2</v>
      </c>
      <c r="N15" s="19">
        <v>2.8754102281943101E-2</v>
      </c>
      <c r="O15" s="19">
        <v>2.9472595625819799E-2</v>
      </c>
    </row>
    <row r="16" spans="2:15" x14ac:dyDescent="0.3">
      <c r="B16" s="16"/>
    </row>
    <row r="17" spans="2:2" x14ac:dyDescent="0.3">
      <c r="B17" t="s">
        <v>47</v>
      </c>
    </row>
    <row r="18" spans="2:2" x14ac:dyDescent="0.3">
      <c r="B18" t="s">
        <v>48</v>
      </c>
    </row>
    <row r="20" spans="2:2" x14ac:dyDescent="0.3">
      <c r="B20"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O32"/>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317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441</v>
      </c>
      <c r="D7" s="10">
        <v>238</v>
      </c>
      <c r="E7" s="10">
        <v>202</v>
      </c>
      <c r="F7" s="10"/>
      <c r="G7" s="10">
        <v>183</v>
      </c>
      <c r="H7" s="10">
        <v>110</v>
      </c>
      <c r="I7" s="10">
        <v>70</v>
      </c>
      <c r="J7" s="10">
        <v>77</v>
      </c>
      <c r="K7" s="10"/>
      <c r="L7" s="10">
        <v>97</v>
      </c>
      <c r="M7" s="10">
        <v>128</v>
      </c>
      <c r="N7" s="10">
        <v>139</v>
      </c>
      <c r="O7" s="10">
        <v>77</v>
      </c>
    </row>
    <row r="8" spans="2:15" ht="30" customHeight="1" x14ac:dyDescent="0.3">
      <c r="B8" s="11" t="s">
        <v>19</v>
      </c>
      <c r="C8" s="11">
        <v>432</v>
      </c>
      <c r="D8" s="11">
        <v>226</v>
      </c>
      <c r="E8" s="11">
        <v>205</v>
      </c>
      <c r="F8" s="11"/>
      <c r="G8" s="11">
        <v>141</v>
      </c>
      <c r="H8" s="11">
        <v>108</v>
      </c>
      <c r="I8" s="11">
        <v>86</v>
      </c>
      <c r="J8" s="11">
        <v>95</v>
      </c>
      <c r="K8" s="11"/>
      <c r="L8" s="11">
        <v>110</v>
      </c>
      <c r="M8" s="11">
        <v>118</v>
      </c>
      <c r="N8" s="11">
        <v>116</v>
      </c>
      <c r="O8" s="11">
        <v>88</v>
      </c>
    </row>
    <row r="9" spans="2:15" x14ac:dyDescent="0.3">
      <c r="B9" s="18" t="s">
        <v>195</v>
      </c>
      <c r="C9" s="17">
        <v>0.58219683927221599</v>
      </c>
      <c r="D9" s="17">
        <v>0.77186056588949004</v>
      </c>
      <c r="E9" s="17">
        <v>0.37179733650673202</v>
      </c>
      <c r="F9" s="17"/>
      <c r="G9" s="17">
        <v>0.64288762807115196</v>
      </c>
      <c r="H9" s="17">
        <v>0.50048149918836005</v>
      </c>
      <c r="I9" s="17">
        <v>0.58846247405515895</v>
      </c>
      <c r="J9" s="17">
        <v>0.58577196830328704</v>
      </c>
      <c r="K9" s="17"/>
      <c r="L9" s="17">
        <v>0.51560955117130702</v>
      </c>
      <c r="M9" s="17">
        <v>0.65900268917751703</v>
      </c>
      <c r="N9" s="17">
        <v>0.65312586925262806</v>
      </c>
      <c r="O9" s="17">
        <v>0.46886790857780802</v>
      </c>
    </row>
    <row r="10" spans="2:15" x14ac:dyDescent="0.3">
      <c r="B10" s="18" t="s">
        <v>201</v>
      </c>
      <c r="C10" s="17">
        <v>0.204959077246396</v>
      </c>
      <c r="D10" s="17">
        <v>0.13751690556002399</v>
      </c>
      <c r="E10" s="17">
        <v>0.27607469714108102</v>
      </c>
      <c r="F10" s="17"/>
      <c r="G10" s="17">
        <v>0.22890916709512901</v>
      </c>
      <c r="H10" s="17">
        <v>0.27586951122800302</v>
      </c>
      <c r="I10" s="17">
        <v>0.176664121907397</v>
      </c>
      <c r="J10" s="17">
        <v>0.116854924136732</v>
      </c>
      <c r="K10" s="17"/>
      <c r="L10" s="17">
        <v>0.25471705712629999</v>
      </c>
      <c r="M10" s="17">
        <v>0.185627636540494</v>
      </c>
      <c r="N10" s="17">
        <v>0.168970512190704</v>
      </c>
      <c r="O10" s="17">
        <v>0.21637419808491601</v>
      </c>
    </row>
    <row r="11" spans="2:15" x14ac:dyDescent="0.3">
      <c r="B11" s="18" t="s">
        <v>196</v>
      </c>
      <c r="C11" s="17">
        <v>0.132689349145897</v>
      </c>
      <c r="D11" s="17">
        <v>0.11635969999859801</v>
      </c>
      <c r="E11" s="17">
        <v>0.15118354069222401</v>
      </c>
      <c r="F11" s="17"/>
      <c r="G11" s="17">
        <v>0.110801873192216</v>
      </c>
      <c r="H11" s="17">
        <v>0.135211595421105</v>
      </c>
      <c r="I11" s="17">
        <v>0.10379615653155901</v>
      </c>
      <c r="J11" s="17">
        <v>0.17923219923404701</v>
      </c>
      <c r="K11" s="17"/>
      <c r="L11" s="17">
        <v>0.18597878304099599</v>
      </c>
      <c r="M11" s="17">
        <v>0.116265480520818</v>
      </c>
      <c r="N11" s="17">
        <v>0.12087290948550999</v>
      </c>
      <c r="O11" s="17">
        <v>0.103969752259632</v>
      </c>
    </row>
    <row r="12" spans="2:15" x14ac:dyDescent="0.3">
      <c r="B12" s="18" t="s">
        <v>203</v>
      </c>
      <c r="C12" s="17">
        <v>0.122612626348736</v>
      </c>
      <c r="D12" s="17">
        <v>0.14050424998416</v>
      </c>
      <c r="E12" s="17">
        <v>0.103400239453201</v>
      </c>
      <c r="F12" s="17"/>
      <c r="G12" s="17">
        <v>0.13892572308816201</v>
      </c>
      <c r="H12" s="17">
        <v>0.105005806746218</v>
      </c>
      <c r="I12" s="17">
        <v>7.8375118309479394E-2</v>
      </c>
      <c r="J12" s="17">
        <v>0.15986244990954099</v>
      </c>
      <c r="K12" s="17"/>
      <c r="L12" s="17">
        <v>0.134275342767608</v>
      </c>
      <c r="M12" s="17">
        <v>0.119566921676853</v>
      </c>
      <c r="N12" s="17">
        <v>0.115531569305877</v>
      </c>
      <c r="O12" s="17">
        <v>0.121518942433574</v>
      </c>
    </row>
    <row r="13" spans="2:15" x14ac:dyDescent="0.3">
      <c r="B13" s="18" t="s">
        <v>197</v>
      </c>
      <c r="C13" s="17">
        <v>0.121957113527526</v>
      </c>
      <c r="D13" s="17">
        <v>8.6766686339884797E-2</v>
      </c>
      <c r="E13" s="17">
        <v>0.161169122867792</v>
      </c>
      <c r="F13" s="17"/>
      <c r="G13" s="17">
        <v>0.17703687581604099</v>
      </c>
      <c r="H13" s="17">
        <v>8.3274376927375701E-2</v>
      </c>
      <c r="I13" s="17">
        <v>0.140023973058398</v>
      </c>
      <c r="J13" s="17">
        <v>6.9451732414385306E-2</v>
      </c>
      <c r="K13" s="17"/>
      <c r="L13" s="17">
        <v>0.105937143316796</v>
      </c>
      <c r="M13" s="17">
        <v>9.7594857464943702E-2</v>
      </c>
      <c r="N13" s="17">
        <v>0.14439250609279</v>
      </c>
      <c r="O13" s="17">
        <v>0.14484028626713499</v>
      </c>
    </row>
    <row r="14" spans="2:15" x14ac:dyDescent="0.3">
      <c r="B14" s="18" t="s">
        <v>210</v>
      </c>
      <c r="C14" s="17">
        <v>0.11336957502836301</v>
      </c>
      <c r="D14" s="17">
        <v>9.6126583340877605E-2</v>
      </c>
      <c r="E14" s="17">
        <v>0.13279332084147699</v>
      </c>
      <c r="F14" s="17"/>
      <c r="G14" s="17">
        <v>9.2616698510046502E-2</v>
      </c>
      <c r="H14" s="17">
        <v>0.128974531863983</v>
      </c>
      <c r="I14" s="17">
        <v>9.78999960794283E-2</v>
      </c>
      <c r="J14" s="17">
        <v>0.14149707678214399</v>
      </c>
      <c r="K14" s="17"/>
      <c r="L14" s="17">
        <v>0.103108329096741</v>
      </c>
      <c r="M14" s="17">
        <v>0.14497184560921</v>
      </c>
      <c r="N14" s="17">
        <v>0.111584832359532</v>
      </c>
      <c r="O14" s="17">
        <v>8.6260657169015403E-2</v>
      </c>
    </row>
    <row r="15" spans="2:15" x14ac:dyDescent="0.3">
      <c r="B15" s="18" t="s">
        <v>208</v>
      </c>
      <c r="C15" s="17">
        <v>0.112537241090841</v>
      </c>
      <c r="D15" s="17">
        <v>9.4131721160174292E-3</v>
      </c>
      <c r="E15" s="17">
        <v>0.226486302170361</v>
      </c>
      <c r="F15" s="17"/>
      <c r="G15" s="17">
        <v>0.12931386594674599</v>
      </c>
      <c r="H15" s="17">
        <v>0.15200290452391901</v>
      </c>
      <c r="I15" s="17">
        <v>7.7717706930666597E-2</v>
      </c>
      <c r="J15" s="17">
        <v>7.5669052241058701E-2</v>
      </c>
      <c r="K15" s="17"/>
      <c r="L15" s="17">
        <v>0.15002909611333301</v>
      </c>
      <c r="M15" s="17">
        <v>0.158232542351807</v>
      </c>
      <c r="N15" s="17">
        <v>5.8367068041947398E-2</v>
      </c>
      <c r="O15" s="17">
        <v>7.6298689017550297E-2</v>
      </c>
    </row>
    <row r="16" spans="2:15" x14ac:dyDescent="0.3">
      <c r="B16" s="18" t="s">
        <v>205</v>
      </c>
      <c r="C16" s="17">
        <v>7.86567216170974E-2</v>
      </c>
      <c r="D16" s="17">
        <v>1.6481909404774699E-2</v>
      </c>
      <c r="E16" s="17">
        <v>0.14740043257368701</v>
      </c>
      <c r="F16" s="17"/>
      <c r="G16" s="17">
        <v>5.1546466852612299E-2</v>
      </c>
      <c r="H16" s="17">
        <v>7.8611275789755797E-2</v>
      </c>
      <c r="I16" s="17">
        <v>7.9157214749102894E-2</v>
      </c>
      <c r="J16" s="17">
        <v>0.11911379215366499</v>
      </c>
      <c r="K16" s="17"/>
      <c r="L16" s="17">
        <v>8.0790718816424203E-2</v>
      </c>
      <c r="M16" s="17">
        <v>5.2889104794180901E-2</v>
      </c>
      <c r="N16" s="17">
        <v>7.9234913931603104E-2</v>
      </c>
      <c r="O16" s="17">
        <v>0.10966339428763699</v>
      </c>
    </row>
    <row r="17" spans="2:15" x14ac:dyDescent="0.3">
      <c r="B17" s="18" t="s">
        <v>202</v>
      </c>
      <c r="C17" s="17">
        <v>5.4729168685613401E-2</v>
      </c>
      <c r="D17" s="17">
        <v>8.5329598486249006E-2</v>
      </c>
      <c r="E17" s="17">
        <v>2.12621300503134E-2</v>
      </c>
      <c r="F17" s="17"/>
      <c r="G17" s="17">
        <v>5.9267343017252803E-2</v>
      </c>
      <c r="H17" s="17">
        <v>4.3790417078356299E-2</v>
      </c>
      <c r="I17" s="17">
        <v>7.0974482747215198E-2</v>
      </c>
      <c r="J17" s="17">
        <v>4.6306859012971102E-2</v>
      </c>
      <c r="K17" s="17"/>
      <c r="L17" s="17">
        <v>4.4317926487342701E-2</v>
      </c>
      <c r="M17" s="17">
        <v>5.6388224678809898E-2</v>
      </c>
      <c r="N17" s="17">
        <v>6.7030880070689594E-2</v>
      </c>
      <c r="O17" s="17">
        <v>4.9238332922018603E-2</v>
      </c>
    </row>
    <row r="18" spans="2:15" x14ac:dyDescent="0.3">
      <c r="B18" s="18" t="s">
        <v>199</v>
      </c>
      <c r="C18" s="17">
        <v>3.9349452061131301E-2</v>
      </c>
      <c r="D18" s="17">
        <v>5.2515858451358602E-2</v>
      </c>
      <c r="E18" s="17">
        <v>2.5011591311020501E-2</v>
      </c>
      <c r="F18" s="17"/>
      <c r="G18" s="17">
        <v>4.0507583512868699E-2</v>
      </c>
      <c r="H18" s="17">
        <v>3.6149018099155897E-2</v>
      </c>
      <c r="I18" s="17">
        <v>1.44270767333013E-2</v>
      </c>
      <c r="J18" s="17">
        <v>6.4257062578209997E-2</v>
      </c>
      <c r="K18" s="17"/>
      <c r="L18" s="17">
        <v>4.2493164545720802E-2</v>
      </c>
      <c r="M18" s="17">
        <v>2.21152494804903E-2</v>
      </c>
      <c r="N18" s="17">
        <v>5.1743395537700403E-2</v>
      </c>
      <c r="O18" s="17">
        <v>4.2127540493600103E-2</v>
      </c>
    </row>
    <row r="19" spans="2:15" x14ac:dyDescent="0.3">
      <c r="B19" s="18" t="s">
        <v>204</v>
      </c>
      <c r="C19" s="17">
        <v>3.8783084336778198E-2</v>
      </c>
      <c r="D19" s="17">
        <v>5.49971189473853E-2</v>
      </c>
      <c r="E19" s="17">
        <v>2.1088504089219699E-2</v>
      </c>
      <c r="F19" s="17"/>
      <c r="G19" s="17">
        <v>5.8557446148901203E-2</v>
      </c>
      <c r="H19" s="17">
        <v>2.4112801587463598E-2</v>
      </c>
      <c r="I19" s="17">
        <v>4.0610657191688701E-2</v>
      </c>
      <c r="J19" s="17">
        <v>2.4988526911965701E-2</v>
      </c>
      <c r="K19" s="17"/>
      <c r="L19" s="17">
        <v>0</v>
      </c>
      <c r="M19" s="17">
        <v>7.4076648773914594E-2</v>
      </c>
      <c r="N19" s="17">
        <v>5.2501757370097497E-2</v>
      </c>
      <c r="O19" s="17">
        <v>2.1758413746605799E-2</v>
      </c>
    </row>
    <row r="20" spans="2:15" x14ac:dyDescent="0.3">
      <c r="B20" s="18" t="s">
        <v>209</v>
      </c>
      <c r="C20" s="17">
        <v>3.7999142500664301E-2</v>
      </c>
      <c r="D20" s="17">
        <v>1.91804824855424E-2</v>
      </c>
      <c r="E20" s="17">
        <v>5.8861680465536803E-2</v>
      </c>
      <c r="F20" s="17"/>
      <c r="G20" s="17">
        <v>3.2974175629125399E-2</v>
      </c>
      <c r="H20" s="17">
        <v>4.60967143754243E-2</v>
      </c>
      <c r="I20" s="17">
        <v>5.1694681833719502E-2</v>
      </c>
      <c r="J20" s="17">
        <v>2.4220045385680799E-2</v>
      </c>
      <c r="K20" s="17"/>
      <c r="L20" s="17">
        <v>9.2366506574642297E-3</v>
      </c>
      <c r="M20" s="17">
        <v>7.1281484076012105E-2</v>
      </c>
      <c r="N20" s="17">
        <v>3.3368366082304701E-2</v>
      </c>
      <c r="O20" s="17">
        <v>3.53928388581995E-2</v>
      </c>
    </row>
    <row r="21" spans="2:15" x14ac:dyDescent="0.3">
      <c r="B21" s="18" t="s">
        <v>207</v>
      </c>
      <c r="C21" s="17">
        <v>3.6397546572771299E-2</v>
      </c>
      <c r="D21" s="17">
        <v>2.6289523923060099E-2</v>
      </c>
      <c r="E21" s="17">
        <v>4.7666079338164302E-2</v>
      </c>
      <c r="F21" s="17"/>
      <c r="G21" s="17">
        <v>5.4096404936840398E-2</v>
      </c>
      <c r="H21" s="17">
        <v>3.0914623527269501E-2</v>
      </c>
      <c r="I21" s="17">
        <v>3.0161833314731799E-2</v>
      </c>
      <c r="J21" s="17">
        <v>2.2514853205287601E-2</v>
      </c>
      <c r="K21" s="17"/>
      <c r="L21" s="17">
        <v>3.8070707994685801E-2</v>
      </c>
      <c r="M21" s="17">
        <v>4.1195810833712099E-2</v>
      </c>
      <c r="N21" s="17">
        <v>1.71864328398731E-2</v>
      </c>
      <c r="O21" s="17">
        <v>5.3230528743560802E-2</v>
      </c>
    </row>
    <row r="22" spans="2:15" x14ac:dyDescent="0.3">
      <c r="B22" s="18" t="s">
        <v>206</v>
      </c>
      <c r="C22" s="17">
        <v>3.5532178036662698E-2</v>
      </c>
      <c r="D22" s="17">
        <v>5.3010882064690401E-2</v>
      </c>
      <c r="E22" s="17">
        <v>1.6432839776157799E-2</v>
      </c>
      <c r="F22" s="17"/>
      <c r="G22" s="17">
        <v>5.29789209709235E-2</v>
      </c>
      <c r="H22" s="17">
        <v>4.5839071183167497E-2</v>
      </c>
      <c r="I22" s="17">
        <v>1.11963987222123E-2</v>
      </c>
      <c r="J22" s="17">
        <v>2.0478648057308702E-2</v>
      </c>
      <c r="K22" s="17"/>
      <c r="L22" s="17">
        <v>8.1802462050665197E-3</v>
      </c>
      <c r="M22" s="17">
        <v>3.5608866222969403E-2</v>
      </c>
      <c r="N22" s="17">
        <v>7.5671578363738001E-2</v>
      </c>
      <c r="O22" s="17">
        <v>1.65180284290012E-2</v>
      </c>
    </row>
    <row r="23" spans="2:15" x14ac:dyDescent="0.3">
      <c r="B23" s="18" t="s">
        <v>316</v>
      </c>
      <c r="C23" s="17">
        <v>2.22043246905285E-2</v>
      </c>
      <c r="D23" s="17">
        <v>1.1642162388486E-2</v>
      </c>
      <c r="E23" s="17">
        <v>3.3917072537452297E-2</v>
      </c>
      <c r="F23" s="17"/>
      <c r="G23" s="17">
        <v>1.8811435244626501E-2</v>
      </c>
      <c r="H23" s="17">
        <v>7.5728553178507499E-3</v>
      </c>
      <c r="I23" s="17">
        <v>3.1442103094657101E-2</v>
      </c>
      <c r="J23" s="17">
        <v>3.5692786232267598E-2</v>
      </c>
      <c r="K23" s="17"/>
      <c r="L23" s="17">
        <v>2.64283327950788E-2</v>
      </c>
      <c r="M23" s="17">
        <v>2.6030706445157401E-2</v>
      </c>
      <c r="N23" s="17">
        <v>2.1292348446150699E-2</v>
      </c>
      <c r="O23" s="17">
        <v>1.30449097645909E-2</v>
      </c>
    </row>
    <row r="24" spans="2:15" x14ac:dyDescent="0.3">
      <c r="B24" s="18" t="s">
        <v>211</v>
      </c>
      <c r="C24" s="17">
        <v>1.5321926247638999E-2</v>
      </c>
      <c r="D24" s="17">
        <v>1.49314036677095E-2</v>
      </c>
      <c r="E24" s="17">
        <v>1.5811849504010801E-2</v>
      </c>
      <c r="F24" s="17"/>
      <c r="G24" s="17">
        <v>1.07904482159872E-2</v>
      </c>
      <c r="H24" s="17">
        <v>2.6930160090604598E-2</v>
      </c>
      <c r="I24" s="17">
        <v>2.52531375769974E-2</v>
      </c>
      <c r="J24" s="17">
        <v>0</v>
      </c>
      <c r="K24" s="17"/>
      <c r="L24" s="17">
        <v>2.3192539886155002E-2</v>
      </c>
      <c r="M24" s="17">
        <v>1.6340470118135102E-2</v>
      </c>
      <c r="N24" s="17">
        <v>1.09859854180512E-2</v>
      </c>
      <c r="O24" s="17">
        <v>9.8940179467762596E-3</v>
      </c>
    </row>
    <row r="25" spans="2:15" x14ac:dyDescent="0.3">
      <c r="B25" s="18" t="s">
        <v>200</v>
      </c>
      <c r="C25" s="17">
        <v>7.4108558790529199E-3</v>
      </c>
      <c r="D25" s="17">
        <v>1.41701647319159E-2</v>
      </c>
      <c r="E25" s="17">
        <v>0</v>
      </c>
      <c r="F25" s="17"/>
      <c r="G25" s="17">
        <v>1.7780357153563801E-2</v>
      </c>
      <c r="H25" s="17">
        <v>6.4308589373813603E-3</v>
      </c>
      <c r="I25" s="17">
        <v>0</v>
      </c>
      <c r="J25" s="17">
        <v>0</v>
      </c>
      <c r="K25" s="17"/>
      <c r="L25" s="17">
        <v>1.7661780287939698E-2</v>
      </c>
      <c r="M25" s="17">
        <v>0</v>
      </c>
      <c r="N25" s="17">
        <v>1.0877534602761901E-2</v>
      </c>
      <c r="O25" s="17">
        <v>0</v>
      </c>
    </row>
    <row r="26" spans="2:15" x14ac:dyDescent="0.3">
      <c r="B26" s="18" t="s">
        <v>212</v>
      </c>
      <c r="C26" s="17">
        <v>5.2222887788378599E-3</v>
      </c>
      <c r="D26" s="17">
        <v>2.8747811660221299E-3</v>
      </c>
      <c r="E26" s="17">
        <v>7.8266476071306608E-3</v>
      </c>
      <c r="F26" s="17"/>
      <c r="G26" s="17">
        <v>1.6013589489570299E-2</v>
      </c>
      <c r="H26" s="17">
        <v>0</v>
      </c>
      <c r="I26" s="17">
        <v>0</v>
      </c>
      <c r="J26" s="17">
        <v>0</v>
      </c>
      <c r="K26" s="17"/>
      <c r="L26" s="17">
        <v>7.8765062657506803E-3</v>
      </c>
      <c r="M26" s="17">
        <v>6.30364149231944E-3</v>
      </c>
      <c r="N26" s="17">
        <v>0</v>
      </c>
      <c r="O26" s="17">
        <v>7.3623312897018404E-3</v>
      </c>
    </row>
    <row r="27" spans="2:15" x14ac:dyDescent="0.3">
      <c r="B27" s="18" t="s">
        <v>179</v>
      </c>
      <c r="C27" s="19">
        <v>7.5037997117211902E-2</v>
      </c>
      <c r="D27" s="19">
        <v>5.3560478564589301E-2</v>
      </c>
      <c r="E27" s="19">
        <v>9.8972350222571795E-2</v>
      </c>
      <c r="F27" s="19"/>
      <c r="G27" s="19">
        <v>6.4385901893773106E-2</v>
      </c>
      <c r="H27" s="19">
        <v>8.6260159053094407E-2</v>
      </c>
      <c r="I27" s="19">
        <v>4.6652048279746602E-2</v>
      </c>
      <c r="J27" s="19">
        <v>0.10452211041657999</v>
      </c>
      <c r="K27" s="19"/>
      <c r="L27" s="19">
        <v>7.7520611973621298E-2</v>
      </c>
      <c r="M27" s="19">
        <v>7.8821148845187497E-2</v>
      </c>
      <c r="N27" s="19">
        <v>1.5052006761767701E-2</v>
      </c>
      <c r="O27" s="19">
        <v>0.145966458232754</v>
      </c>
    </row>
    <row r="28" spans="2:15" x14ac:dyDescent="0.3">
      <c r="B28" s="16" t="s">
        <v>318</v>
      </c>
    </row>
    <row r="29" spans="2:15" x14ac:dyDescent="0.3">
      <c r="B29" t="s">
        <v>47</v>
      </c>
    </row>
    <row r="30" spans="2:15" x14ac:dyDescent="0.3">
      <c r="B30" t="s">
        <v>48</v>
      </c>
    </row>
    <row r="32" spans="2:15" x14ac:dyDescent="0.3">
      <c r="B32"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325</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319</v>
      </c>
      <c r="C9" s="17">
        <v>0.120682123767724</v>
      </c>
      <c r="D9" s="17">
        <v>9.9410664618496097E-2</v>
      </c>
      <c r="E9" s="17">
        <v>0.14280882220747201</v>
      </c>
      <c r="F9" s="17"/>
      <c r="G9" s="17">
        <v>7.2074643405907093E-2</v>
      </c>
      <c r="H9" s="17">
        <v>0.117836321733284</v>
      </c>
      <c r="I9" s="17">
        <v>0.13598567396969599</v>
      </c>
      <c r="J9" s="17">
        <v>0.174168340257468</v>
      </c>
      <c r="K9" s="17"/>
      <c r="L9" s="17">
        <v>6.3163755336361996E-2</v>
      </c>
      <c r="M9" s="17">
        <v>5.6521958541381603E-2</v>
      </c>
      <c r="N9" s="17">
        <v>8.2993132502706193E-2</v>
      </c>
      <c r="O9" s="17">
        <v>0.28805101654028398</v>
      </c>
    </row>
    <row r="10" spans="2:15" x14ac:dyDescent="0.3">
      <c r="B10" s="18" t="s">
        <v>320</v>
      </c>
      <c r="C10" s="17">
        <v>0.20689339166416101</v>
      </c>
      <c r="D10" s="17">
        <v>0.18357621502361701</v>
      </c>
      <c r="E10" s="17">
        <v>0.22440444882947</v>
      </c>
      <c r="F10" s="17"/>
      <c r="G10" s="17">
        <v>0.21581977777999001</v>
      </c>
      <c r="H10" s="17">
        <v>0.18149364484800301</v>
      </c>
      <c r="I10" s="17">
        <v>0.21070312651642001</v>
      </c>
      <c r="J10" s="17">
        <v>0.22226704428185301</v>
      </c>
      <c r="K10" s="17"/>
      <c r="L10" s="17">
        <v>0.16159821476250999</v>
      </c>
      <c r="M10" s="17">
        <v>0.144377687469843</v>
      </c>
      <c r="N10" s="17">
        <v>0.26135776347850198</v>
      </c>
      <c r="O10" s="17">
        <v>0.26043724149113501</v>
      </c>
    </row>
    <row r="11" spans="2:15" ht="28.8" x14ac:dyDescent="0.3">
      <c r="B11" s="18" t="s">
        <v>321</v>
      </c>
      <c r="C11" s="17">
        <v>0.36076738840780798</v>
      </c>
      <c r="D11" s="17">
        <v>0.40076770081396201</v>
      </c>
      <c r="E11" s="17">
        <v>0.32344160379110698</v>
      </c>
      <c r="F11" s="17"/>
      <c r="G11" s="17">
        <v>0.34751769814809103</v>
      </c>
      <c r="H11" s="17">
        <v>0.35792919532097001</v>
      </c>
      <c r="I11" s="17">
        <v>0.40488971533697798</v>
      </c>
      <c r="J11" s="17">
        <v>0.34382975834212298</v>
      </c>
      <c r="K11" s="17"/>
      <c r="L11" s="17">
        <v>0.47762082562914698</v>
      </c>
      <c r="M11" s="17">
        <v>0.354699956147081</v>
      </c>
      <c r="N11" s="17">
        <v>0.35887320546206902</v>
      </c>
      <c r="O11" s="17">
        <v>0.25249306893089302</v>
      </c>
    </row>
    <row r="12" spans="2:15" x14ac:dyDescent="0.3">
      <c r="B12" s="18" t="s">
        <v>322</v>
      </c>
      <c r="C12" s="17">
        <v>0.19566983873971699</v>
      </c>
      <c r="D12" s="17">
        <v>0.194510233877635</v>
      </c>
      <c r="E12" s="17">
        <v>0.19825402426809099</v>
      </c>
      <c r="F12" s="17"/>
      <c r="G12" s="17">
        <v>0.229787982329379</v>
      </c>
      <c r="H12" s="17">
        <v>0.20641509745913</v>
      </c>
      <c r="I12" s="17">
        <v>0.17877916298565499</v>
      </c>
      <c r="J12" s="17">
        <v>0.15603425862179901</v>
      </c>
      <c r="K12" s="17"/>
      <c r="L12" s="17">
        <v>0.23768683871955101</v>
      </c>
      <c r="M12" s="17">
        <v>0.30432911504909199</v>
      </c>
      <c r="N12" s="17">
        <v>0.141489777029077</v>
      </c>
      <c r="O12" s="17">
        <v>9.5456865946928898E-2</v>
      </c>
    </row>
    <row r="13" spans="2:15" x14ac:dyDescent="0.3">
      <c r="B13" s="18" t="s">
        <v>323</v>
      </c>
      <c r="C13" s="17">
        <v>7.2012944436321599E-2</v>
      </c>
      <c r="D13" s="17">
        <v>8.89692620181598E-2</v>
      </c>
      <c r="E13" s="17">
        <v>5.5600699585954198E-2</v>
      </c>
      <c r="F13" s="17"/>
      <c r="G13" s="17">
        <v>0.113212165881803</v>
      </c>
      <c r="H13" s="17">
        <v>8.63799008253468E-2</v>
      </c>
      <c r="I13" s="17">
        <v>2.9213546461272E-2</v>
      </c>
      <c r="J13" s="17">
        <v>3.3782074180525402E-2</v>
      </c>
      <c r="K13" s="17"/>
      <c r="L13" s="17">
        <v>4.6334449853693803E-2</v>
      </c>
      <c r="M13" s="17">
        <v>8.9152451994676404E-2</v>
      </c>
      <c r="N13" s="17">
        <v>0.112221893911014</v>
      </c>
      <c r="O13" s="17">
        <v>3.5693788654044802E-2</v>
      </c>
    </row>
    <row r="14" spans="2:15" ht="28.8" x14ac:dyDescent="0.3">
      <c r="B14" s="18" t="s">
        <v>324</v>
      </c>
      <c r="C14" s="19">
        <v>4.3974312984268599E-2</v>
      </c>
      <c r="D14" s="19">
        <v>3.2765923648129601E-2</v>
      </c>
      <c r="E14" s="19">
        <v>5.5490401317905801E-2</v>
      </c>
      <c r="F14" s="19"/>
      <c r="G14" s="19">
        <v>2.15877324548308E-2</v>
      </c>
      <c r="H14" s="19">
        <v>4.9945839813265801E-2</v>
      </c>
      <c r="I14" s="19">
        <v>4.0428774729978502E-2</v>
      </c>
      <c r="J14" s="19">
        <v>6.9918524316231898E-2</v>
      </c>
      <c r="K14" s="19"/>
      <c r="L14" s="19">
        <v>1.3595915698737001E-2</v>
      </c>
      <c r="M14" s="19">
        <v>5.09188307979258E-2</v>
      </c>
      <c r="N14" s="19">
        <v>4.30642276166327E-2</v>
      </c>
      <c r="O14" s="19">
        <v>6.7868018436713903E-2</v>
      </c>
    </row>
    <row r="15" spans="2:15" x14ac:dyDescent="0.3">
      <c r="B15" s="16"/>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331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457</v>
      </c>
      <c r="D7" s="10">
        <v>244</v>
      </c>
      <c r="E7" s="10">
        <v>212</v>
      </c>
      <c r="F7" s="10"/>
      <c r="G7" s="10">
        <v>187</v>
      </c>
      <c r="H7" s="10">
        <v>114</v>
      </c>
      <c r="I7" s="10">
        <v>72</v>
      </c>
      <c r="J7" s="10">
        <v>83</v>
      </c>
      <c r="K7" s="10"/>
      <c r="L7" s="10">
        <v>102</v>
      </c>
      <c r="M7" s="10">
        <v>131</v>
      </c>
      <c r="N7" s="10">
        <v>144</v>
      </c>
      <c r="O7" s="10">
        <v>80</v>
      </c>
    </row>
    <row r="8" spans="2:15" ht="30" customHeight="1" x14ac:dyDescent="0.3">
      <c r="B8" s="11" t="s">
        <v>19</v>
      </c>
      <c r="C8" s="11">
        <v>449</v>
      </c>
      <c r="D8" s="11">
        <v>231</v>
      </c>
      <c r="E8" s="11">
        <v>217</v>
      </c>
      <c r="F8" s="11"/>
      <c r="G8" s="11">
        <v>144</v>
      </c>
      <c r="H8" s="11">
        <v>113</v>
      </c>
      <c r="I8" s="11">
        <v>89</v>
      </c>
      <c r="J8" s="11">
        <v>102</v>
      </c>
      <c r="K8" s="11"/>
      <c r="L8" s="11">
        <v>115</v>
      </c>
      <c r="M8" s="11">
        <v>121</v>
      </c>
      <c r="N8" s="11">
        <v>120</v>
      </c>
      <c r="O8" s="11">
        <v>92</v>
      </c>
    </row>
    <row r="9" spans="2:15" ht="28.8" x14ac:dyDescent="0.3">
      <c r="B9" s="18" t="s">
        <v>326</v>
      </c>
      <c r="C9" s="17">
        <v>0.121108563231385</v>
      </c>
      <c r="D9" s="17">
        <v>0.134416461166525</v>
      </c>
      <c r="E9" s="17">
        <v>0.107347391750463</v>
      </c>
      <c r="F9" s="17"/>
      <c r="G9" s="17">
        <v>8.9013565023678895E-2</v>
      </c>
      <c r="H9" s="17">
        <v>0.108500704434775</v>
      </c>
      <c r="I9" s="17">
        <v>0.124031085479512</v>
      </c>
      <c r="J9" s="17">
        <v>0.17895545465294799</v>
      </c>
      <c r="K9" s="17"/>
      <c r="L9" s="17">
        <v>2.9714748244570599E-2</v>
      </c>
      <c r="M9" s="17">
        <v>9.9254601705216106E-2</v>
      </c>
      <c r="N9" s="17">
        <v>0.13153905836718599</v>
      </c>
      <c r="O9" s="17">
        <v>0.250108698936858</v>
      </c>
    </row>
    <row r="10" spans="2:15" ht="43.2" x14ac:dyDescent="0.3">
      <c r="B10" s="18" t="s">
        <v>327</v>
      </c>
      <c r="C10" s="17">
        <v>0.29591904358653198</v>
      </c>
      <c r="D10" s="17">
        <v>0.31467853115127797</v>
      </c>
      <c r="E10" s="17">
        <v>0.27698592380978898</v>
      </c>
      <c r="F10" s="17"/>
      <c r="G10" s="17">
        <v>0.32377288402062399</v>
      </c>
      <c r="H10" s="17">
        <v>0.35303295016369801</v>
      </c>
      <c r="I10" s="17">
        <v>0.30554946696059798</v>
      </c>
      <c r="J10" s="17">
        <v>0.18809937185037401</v>
      </c>
      <c r="K10" s="17"/>
      <c r="L10" s="17">
        <v>0.31590425178828002</v>
      </c>
      <c r="M10" s="17">
        <v>0.34550690873159901</v>
      </c>
      <c r="N10" s="17">
        <v>0.283678378609583</v>
      </c>
      <c r="O10" s="17">
        <v>0.221683431942896</v>
      </c>
    </row>
    <row r="11" spans="2:15" ht="28.8" x14ac:dyDescent="0.3">
      <c r="B11" s="18" t="s">
        <v>328</v>
      </c>
      <c r="C11" s="17">
        <v>0.32652080783527998</v>
      </c>
      <c r="D11" s="17">
        <v>0.34217219865010701</v>
      </c>
      <c r="E11" s="17">
        <v>0.30730380793506301</v>
      </c>
      <c r="F11" s="17"/>
      <c r="G11" s="17">
        <v>0.36368117951350498</v>
      </c>
      <c r="H11" s="17">
        <v>0.299070720785095</v>
      </c>
      <c r="I11" s="17">
        <v>0.33804142415715399</v>
      </c>
      <c r="J11" s="17">
        <v>0.287678865901907</v>
      </c>
      <c r="K11" s="17"/>
      <c r="L11" s="17">
        <v>0.299400358620728</v>
      </c>
      <c r="M11" s="17">
        <v>0.28167786294830799</v>
      </c>
      <c r="N11" s="17">
        <v>0.355640355120874</v>
      </c>
      <c r="O11" s="17">
        <v>0.38132940005396698</v>
      </c>
    </row>
    <row r="12" spans="2:15" ht="43.2" x14ac:dyDescent="0.3">
      <c r="B12" s="18" t="s">
        <v>329</v>
      </c>
      <c r="C12" s="17">
        <v>0.162946555078301</v>
      </c>
      <c r="D12" s="17">
        <v>0.15698656335634201</v>
      </c>
      <c r="E12" s="17">
        <v>0.16991676158319799</v>
      </c>
      <c r="F12" s="17"/>
      <c r="G12" s="17">
        <v>0.17178417829282999</v>
      </c>
      <c r="H12" s="17">
        <v>0.126453522263064</v>
      </c>
      <c r="I12" s="17">
        <v>0.18113391237145199</v>
      </c>
      <c r="J12" s="17">
        <v>0.17643176587759299</v>
      </c>
      <c r="K12" s="17"/>
      <c r="L12" s="17">
        <v>0.20173905226458899</v>
      </c>
      <c r="M12" s="17">
        <v>0.17662513165103699</v>
      </c>
      <c r="N12" s="17">
        <v>0.192902158441595</v>
      </c>
      <c r="O12" s="17">
        <v>5.7449594154472802E-2</v>
      </c>
    </row>
    <row r="13" spans="2:15" x14ac:dyDescent="0.3">
      <c r="B13" s="18" t="s">
        <v>330</v>
      </c>
      <c r="C13" s="19">
        <v>9.3505030268502404E-2</v>
      </c>
      <c r="D13" s="19">
        <v>5.1746245675748197E-2</v>
      </c>
      <c r="E13" s="19">
        <v>0.13844611492148701</v>
      </c>
      <c r="F13" s="19"/>
      <c r="G13" s="19">
        <v>5.1748193149362402E-2</v>
      </c>
      <c r="H13" s="19">
        <v>0.112942102353367</v>
      </c>
      <c r="I13" s="19">
        <v>5.1244111031283499E-2</v>
      </c>
      <c r="J13" s="19">
        <v>0.16883454171717699</v>
      </c>
      <c r="K13" s="19"/>
      <c r="L13" s="19">
        <v>0.153241589081832</v>
      </c>
      <c r="M13" s="19">
        <v>9.6935494963840296E-2</v>
      </c>
      <c r="N13" s="19">
        <v>3.62400494607623E-2</v>
      </c>
      <c r="O13" s="19">
        <v>8.9428874911806094E-2</v>
      </c>
    </row>
    <row r="14" spans="2:15" x14ac:dyDescent="0.3">
      <c r="B14" s="16" t="s">
        <v>318</v>
      </c>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337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332</v>
      </c>
      <c r="C9" s="17">
        <v>0.30921711143798802</v>
      </c>
      <c r="D9" s="17">
        <v>0.371355710278166</v>
      </c>
      <c r="E9" s="17">
        <v>0.24940257032268501</v>
      </c>
      <c r="F9" s="17"/>
      <c r="G9" s="17">
        <v>0.40601048644860599</v>
      </c>
      <c r="H9" s="17">
        <v>0.29988623772686002</v>
      </c>
      <c r="I9" s="17">
        <v>0.27830719637412099</v>
      </c>
      <c r="J9" s="17">
        <v>0.21655490807278799</v>
      </c>
      <c r="K9" s="17"/>
      <c r="L9" s="17">
        <v>0.366032652208236</v>
      </c>
      <c r="M9" s="17">
        <v>0.30436214662419198</v>
      </c>
      <c r="N9" s="17">
        <v>0.30143413176823702</v>
      </c>
      <c r="O9" s="17">
        <v>0.26605589715511302</v>
      </c>
    </row>
    <row r="10" spans="2:15" x14ac:dyDescent="0.3">
      <c r="B10" s="18" t="s">
        <v>333</v>
      </c>
      <c r="C10" s="17">
        <v>0.21839977776217201</v>
      </c>
      <c r="D10" s="17">
        <v>0.22905542615850399</v>
      </c>
      <c r="E10" s="17">
        <v>0.20640612735623301</v>
      </c>
      <c r="F10" s="17"/>
      <c r="G10" s="17">
        <v>0.27187705175850801</v>
      </c>
      <c r="H10" s="17">
        <v>0.18477955925732301</v>
      </c>
      <c r="I10" s="17">
        <v>0.189103249357329</v>
      </c>
      <c r="J10" s="17">
        <v>0.215421724673201</v>
      </c>
      <c r="K10" s="17"/>
      <c r="L10" s="17">
        <v>0.20365156941031801</v>
      </c>
      <c r="M10" s="17">
        <v>0.24394917305750899</v>
      </c>
      <c r="N10" s="17">
        <v>0.23707199750757901</v>
      </c>
      <c r="O10" s="17">
        <v>0.18543479251151801</v>
      </c>
    </row>
    <row r="11" spans="2:15" x14ac:dyDescent="0.3">
      <c r="B11" s="18" t="s">
        <v>334</v>
      </c>
      <c r="C11" s="17">
        <v>0.22966036552765301</v>
      </c>
      <c r="D11" s="17">
        <v>0.22436522976951601</v>
      </c>
      <c r="E11" s="17">
        <v>0.23662307451169601</v>
      </c>
      <c r="F11" s="17"/>
      <c r="G11" s="17">
        <v>0.188542435887874</v>
      </c>
      <c r="H11" s="17">
        <v>0.198852576336293</v>
      </c>
      <c r="I11" s="17">
        <v>0.32785425936434898</v>
      </c>
      <c r="J11" s="17">
        <v>0.2303538820538</v>
      </c>
      <c r="K11" s="17"/>
      <c r="L11" s="17">
        <v>0.234813930895787</v>
      </c>
      <c r="M11" s="17">
        <v>0.20368934726757401</v>
      </c>
      <c r="N11" s="17">
        <v>0.24134082478921601</v>
      </c>
      <c r="O11" s="17">
        <v>0.239791488936243</v>
      </c>
    </row>
    <row r="12" spans="2:15" x14ac:dyDescent="0.3">
      <c r="B12" s="18" t="s">
        <v>335</v>
      </c>
      <c r="C12" s="17">
        <v>0.131121871572244</v>
      </c>
      <c r="D12" s="17">
        <v>0.100772607054938</v>
      </c>
      <c r="E12" s="17">
        <v>0.162392123117022</v>
      </c>
      <c r="F12" s="17"/>
      <c r="G12" s="17">
        <v>0.106547865728575</v>
      </c>
      <c r="H12" s="17">
        <v>0.142173007270985</v>
      </c>
      <c r="I12" s="17">
        <v>8.5511676006355397E-2</v>
      </c>
      <c r="J12" s="17">
        <v>0.19322684969397599</v>
      </c>
      <c r="K12" s="17"/>
      <c r="L12" s="17">
        <v>0.12354496231805601</v>
      </c>
      <c r="M12" s="17">
        <v>0.13055710377555499</v>
      </c>
      <c r="N12" s="17">
        <v>0.105196553391118</v>
      </c>
      <c r="O12" s="17">
        <v>0.16739209542514899</v>
      </c>
    </row>
    <row r="13" spans="2:15" x14ac:dyDescent="0.3">
      <c r="B13" s="18" t="s">
        <v>336</v>
      </c>
      <c r="C13" s="17">
        <v>8.8774428597779495E-2</v>
      </c>
      <c r="D13" s="17">
        <v>6.1060876652019397E-2</v>
      </c>
      <c r="E13" s="17">
        <v>0.11275775947609901</v>
      </c>
      <c r="F13" s="17"/>
      <c r="G13" s="17">
        <v>2.7022160176437202E-2</v>
      </c>
      <c r="H13" s="17">
        <v>0.144006154038748</v>
      </c>
      <c r="I13" s="17">
        <v>0.109566089838916</v>
      </c>
      <c r="J13" s="17">
        <v>8.8192578399795399E-2</v>
      </c>
      <c r="K13" s="17"/>
      <c r="L13" s="17">
        <v>6.3265975260419993E-2</v>
      </c>
      <c r="M13" s="17">
        <v>0.102822511119189</v>
      </c>
      <c r="N13" s="17">
        <v>8.0288677283750706E-2</v>
      </c>
      <c r="O13" s="17">
        <v>0.10836344799472999</v>
      </c>
    </row>
    <row r="14" spans="2:15" x14ac:dyDescent="0.3">
      <c r="B14" s="18" t="s">
        <v>142</v>
      </c>
      <c r="C14" s="19">
        <v>2.2826445102164399E-2</v>
      </c>
      <c r="D14" s="19">
        <v>1.33901500868563E-2</v>
      </c>
      <c r="E14" s="19">
        <v>3.2418345216264098E-2</v>
      </c>
      <c r="F14" s="19"/>
      <c r="G14" s="19">
        <v>0</v>
      </c>
      <c r="H14" s="19">
        <v>3.0302465369791101E-2</v>
      </c>
      <c r="I14" s="19">
        <v>9.6575290589285493E-3</v>
      </c>
      <c r="J14" s="19">
        <v>5.6250057106439301E-2</v>
      </c>
      <c r="K14" s="19"/>
      <c r="L14" s="19">
        <v>8.69090990718226E-3</v>
      </c>
      <c r="M14" s="19">
        <v>1.46197181559823E-2</v>
      </c>
      <c r="N14" s="19">
        <v>3.4667815260099301E-2</v>
      </c>
      <c r="O14" s="19">
        <v>3.29622779772464E-2</v>
      </c>
    </row>
    <row r="15" spans="2:15" x14ac:dyDescent="0.3">
      <c r="B15" s="16"/>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337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548</v>
      </c>
      <c r="D7" s="10">
        <v>284</v>
      </c>
      <c r="E7" s="10">
        <v>262</v>
      </c>
      <c r="F7" s="10"/>
      <c r="G7" s="10">
        <v>208</v>
      </c>
      <c r="H7" s="10">
        <v>144</v>
      </c>
      <c r="I7" s="10">
        <v>94</v>
      </c>
      <c r="J7" s="10">
        <v>101</v>
      </c>
      <c r="K7" s="10"/>
      <c r="L7" s="10">
        <v>117</v>
      </c>
      <c r="M7" s="10">
        <v>151</v>
      </c>
      <c r="N7" s="10">
        <v>166</v>
      </c>
      <c r="O7" s="10">
        <v>114</v>
      </c>
    </row>
    <row r="8" spans="2:15" ht="30" customHeight="1" x14ac:dyDescent="0.3">
      <c r="B8" s="11" t="s">
        <v>19</v>
      </c>
      <c r="C8" s="11">
        <v>548</v>
      </c>
      <c r="D8" s="11">
        <v>273</v>
      </c>
      <c r="E8" s="11">
        <v>273</v>
      </c>
      <c r="F8" s="11"/>
      <c r="G8" s="11">
        <v>163</v>
      </c>
      <c r="H8" s="11">
        <v>143</v>
      </c>
      <c r="I8" s="11">
        <v>115</v>
      </c>
      <c r="J8" s="11">
        <v>126</v>
      </c>
      <c r="K8" s="11"/>
      <c r="L8" s="11">
        <v>132</v>
      </c>
      <c r="M8" s="11">
        <v>142</v>
      </c>
      <c r="N8" s="11">
        <v>142</v>
      </c>
      <c r="O8" s="11">
        <v>132</v>
      </c>
    </row>
    <row r="9" spans="2:15" x14ac:dyDescent="0.3">
      <c r="B9" s="18" t="s">
        <v>338</v>
      </c>
      <c r="C9" s="17">
        <v>0.27393749052366501</v>
      </c>
      <c r="D9" s="17">
        <v>0.33357297597093899</v>
      </c>
      <c r="E9" s="17">
        <v>0.21617817956395199</v>
      </c>
      <c r="F9" s="17"/>
      <c r="G9" s="17">
        <v>0.29771833289807198</v>
      </c>
      <c r="H9" s="17">
        <v>0.29017600434129698</v>
      </c>
      <c r="I9" s="17">
        <v>0.26407250719553199</v>
      </c>
      <c r="J9" s="17">
        <v>0.227967508719054</v>
      </c>
      <c r="K9" s="17"/>
      <c r="L9" s="17">
        <v>0.29398404510857401</v>
      </c>
      <c r="M9" s="17">
        <v>0.27682930345537898</v>
      </c>
      <c r="N9" s="17">
        <v>0.30879014844381503</v>
      </c>
      <c r="O9" s="17">
        <v>0.21325811192341701</v>
      </c>
    </row>
    <row r="10" spans="2:15" x14ac:dyDescent="0.3">
      <c r="B10" s="18" t="s">
        <v>333</v>
      </c>
      <c r="C10" s="17">
        <v>0.31651043590660699</v>
      </c>
      <c r="D10" s="17">
        <v>0.30738371901668499</v>
      </c>
      <c r="E10" s="17">
        <v>0.32797055654853202</v>
      </c>
      <c r="F10" s="17"/>
      <c r="G10" s="17">
        <v>0.39781974851552998</v>
      </c>
      <c r="H10" s="17">
        <v>0.27437826989150799</v>
      </c>
      <c r="I10" s="17">
        <v>0.29625964737799299</v>
      </c>
      <c r="J10" s="17">
        <v>0.28006606226293002</v>
      </c>
      <c r="K10" s="17"/>
      <c r="L10" s="17">
        <v>0.33054753061747899</v>
      </c>
      <c r="M10" s="17">
        <v>0.335525901298659</v>
      </c>
      <c r="N10" s="17">
        <v>0.31298924176143</v>
      </c>
      <c r="O10" s="17">
        <v>0.28580818369266803</v>
      </c>
    </row>
    <row r="11" spans="2:15" x14ac:dyDescent="0.3">
      <c r="B11" s="18" t="s">
        <v>334</v>
      </c>
      <c r="C11" s="17">
        <v>0.25290423755727398</v>
      </c>
      <c r="D11" s="17">
        <v>0.22554322482282901</v>
      </c>
      <c r="E11" s="17">
        <v>0.27486126893013701</v>
      </c>
      <c r="F11" s="17"/>
      <c r="G11" s="17">
        <v>0.20133533789813701</v>
      </c>
      <c r="H11" s="17">
        <v>0.204686021950298</v>
      </c>
      <c r="I11" s="17">
        <v>0.33278843979983003</v>
      </c>
      <c r="J11" s="17">
        <v>0.30348928325625601</v>
      </c>
      <c r="K11" s="17"/>
      <c r="L11" s="17">
        <v>0.26034915577254503</v>
      </c>
      <c r="M11" s="17">
        <v>0.225985134090156</v>
      </c>
      <c r="N11" s="17">
        <v>0.23784053398393401</v>
      </c>
      <c r="O11" s="17">
        <v>0.29063514314651401</v>
      </c>
    </row>
    <row r="12" spans="2:15" x14ac:dyDescent="0.3">
      <c r="B12" s="18" t="s">
        <v>335</v>
      </c>
      <c r="C12" s="17">
        <v>8.7518532514178696E-2</v>
      </c>
      <c r="D12" s="17">
        <v>7.2303316809169696E-2</v>
      </c>
      <c r="E12" s="17">
        <v>0.10340590242735199</v>
      </c>
      <c r="F12" s="17"/>
      <c r="G12" s="17">
        <v>8.1739226431721504E-2</v>
      </c>
      <c r="H12" s="17">
        <v>0.102240567469323</v>
      </c>
      <c r="I12" s="17">
        <v>3.4577470020587898E-2</v>
      </c>
      <c r="J12" s="17">
        <v>0.127298372787638</v>
      </c>
      <c r="K12" s="17"/>
      <c r="L12" s="17">
        <v>7.9834613619196595E-2</v>
      </c>
      <c r="M12" s="17">
        <v>0.110821004166333</v>
      </c>
      <c r="N12" s="17">
        <v>6.6939963433364405E-2</v>
      </c>
      <c r="O12" s="17">
        <v>9.2289270342879995E-2</v>
      </c>
    </row>
    <row r="13" spans="2:15" x14ac:dyDescent="0.3">
      <c r="B13" s="18" t="s">
        <v>339</v>
      </c>
      <c r="C13" s="17">
        <v>2.7827590218266099E-2</v>
      </c>
      <c r="D13" s="17">
        <v>3.6522867378989299E-2</v>
      </c>
      <c r="E13" s="17">
        <v>1.9317303145631799E-2</v>
      </c>
      <c r="F13" s="17"/>
      <c r="G13" s="17">
        <v>1.6548902714726501E-2</v>
      </c>
      <c r="H13" s="17">
        <v>4.8896470562500398E-2</v>
      </c>
      <c r="I13" s="17">
        <v>2.7564802754117199E-2</v>
      </c>
      <c r="J13" s="17">
        <v>1.8976011224924001E-2</v>
      </c>
      <c r="K13" s="17"/>
      <c r="L13" s="17">
        <v>0</v>
      </c>
      <c r="M13" s="17">
        <v>3.02284235892506E-2</v>
      </c>
      <c r="N13" s="17">
        <v>2.5436323762011898E-2</v>
      </c>
      <c r="O13" s="17">
        <v>5.56468732217811E-2</v>
      </c>
    </row>
    <row r="14" spans="2:15" x14ac:dyDescent="0.3">
      <c r="B14" s="18" t="s">
        <v>142</v>
      </c>
      <c r="C14" s="19">
        <v>4.1301713280009499E-2</v>
      </c>
      <c r="D14" s="19">
        <v>2.4673896001387301E-2</v>
      </c>
      <c r="E14" s="19">
        <v>5.82667893843953E-2</v>
      </c>
      <c r="F14" s="19"/>
      <c r="G14" s="19">
        <v>4.8384515418131999E-3</v>
      </c>
      <c r="H14" s="19">
        <v>7.9622665785074195E-2</v>
      </c>
      <c r="I14" s="19">
        <v>4.4737132851940198E-2</v>
      </c>
      <c r="J14" s="19">
        <v>4.2202761749197203E-2</v>
      </c>
      <c r="K14" s="19"/>
      <c r="L14" s="19">
        <v>3.52846548822053E-2</v>
      </c>
      <c r="M14" s="19">
        <v>2.06102334002225E-2</v>
      </c>
      <c r="N14" s="19">
        <v>4.8003788615444999E-2</v>
      </c>
      <c r="O14" s="19">
        <v>6.2362417672740401E-2</v>
      </c>
    </row>
    <row r="15" spans="2:15" x14ac:dyDescent="0.3">
      <c r="B15" s="16" t="s">
        <v>241</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337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340</v>
      </c>
      <c r="C9" s="17">
        <v>0.30584172729768799</v>
      </c>
      <c r="D9" s="17">
        <v>0.37173999018904402</v>
      </c>
      <c r="E9" s="17">
        <v>0.24224720287745999</v>
      </c>
      <c r="F9" s="17"/>
      <c r="G9" s="17">
        <v>0.37161299244527002</v>
      </c>
      <c r="H9" s="17">
        <v>0.32214398566871999</v>
      </c>
      <c r="I9" s="17">
        <v>0.27706809324642301</v>
      </c>
      <c r="J9" s="17">
        <v>0.22248761148087601</v>
      </c>
      <c r="K9" s="17"/>
      <c r="L9" s="17">
        <v>0.3144848528752</v>
      </c>
      <c r="M9" s="17">
        <v>0.31890887251200301</v>
      </c>
      <c r="N9" s="17">
        <v>0.33851080276013501</v>
      </c>
      <c r="O9" s="17">
        <v>0.24775002284470299</v>
      </c>
    </row>
    <row r="10" spans="2:15" x14ac:dyDescent="0.3">
      <c r="B10" s="18" t="s">
        <v>333</v>
      </c>
      <c r="C10" s="17">
        <v>0.26813329434337202</v>
      </c>
      <c r="D10" s="17">
        <v>0.28205288351826702</v>
      </c>
      <c r="E10" s="17">
        <v>0.25618350559603298</v>
      </c>
      <c r="F10" s="17"/>
      <c r="G10" s="17">
        <v>0.336789709416351</v>
      </c>
      <c r="H10" s="17">
        <v>0.18988312817400699</v>
      </c>
      <c r="I10" s="17">
        <v>0.27428307626283999</v>
      </c>
      <c r="J10" s="17">
        <v>0.26409835416066602</v>
      </c>
      <c r="K10" s="17"/>
      <c r="L10" s="17">
        <v>0.29823953054083002</v>
      </c>
      <c r="M10" s="17">
        <v>0.27259328218315099</v>
      </c>
      <c r="N10" s="17">
        <v>0.267776947184106</v>
      </c>
      <c r="O10" s="17">
        <v>0.23361523519535601</v>
      </c>
    </row>
    <row r="11" spans="2:15" x14ac:dyDescent="0.3">
      <c r="B11" s="18" t="s">
        <v>334</v>
      </c>
      <c r="C11" s="17">
        <v>0.23797132626141601</v>
      </c>
      <c r="D11" s="17">
        <v>0.18428651719235001</v>
      </c>
      <c r="E11" s="17">
        <v>0.29038754391528299</v>
      </c>
      <c r="F11" s="17"/>
      <c r="G11" s="17">
        <v>0.17913802603277901</v>
      </c>
      <c r="H11" s="17">
        <v>0.249021599492946</v>
      </c>
      <c r="I11" s="17">
        <v>0.29004046863709498</v>
      </c>
      <c r="J11" s="17">
        <v>0.25637409249336202</v>
      </c>
      <c r="K11" s="17"/>
      <c r="L11" s="17">
        <v>0.23894843505720401</v>
      </c>
      <c r="M11" s="17">
        <v>0.21356655242797501</v>
      </c>
      <c r="N11" s="17">
        <v>0.25773665560010101</v>
      </c>
      <c r="O11" s="17">
        <v>0.241835397684694</v>
      </c>
    </row>
    <row r="12" spans="2:15" x14ac:dyDescent="0.3">
      <c r="B12" s="18" t="s">
        <v>335</v>
      </c>
      <c r="C12" s="17">
        <v>7.96338674747116E-2</v>
      </c>
      <c r="D12" s="17">
        <v>8.4505743793985205E-2</v>
      </c>
      <c r="E12" s="17">
        <v>7.1002239090591807E-2</v>
      </c>
      <c r="F12" s="17"/>
      <c r="G12" s="17">
        <v>5.34799526264872E-2</v>
      </c>
      <c r="H12" s="17">
        <v>9.7939594178760095E-2</v>
      </c>
      <c r="I12" s="17">
        <v>5.2024747837956402E-2</v>
      </c>
      <c r="J12" s="17">
        <v>0.118725649971196</v>
      </c>
      <c r="K12" s="17"/>
      <c r="L12" s="17">
        <v>6.9790434226513695E-2</v>
      </c>
      <c r="M12" s="17">
        <v>7.3819064119613698E-2</v>
      </c>
      <c r="N12" s="17">
        <v>5.8175157297200901E-2</v>
      </c>
      <c r="O12" s="17">
        <v>0.11897955550933299</v>
      </c>
    </row>
    <row r="13" spans="2:15" x14ac:dyDescent="0.3">
      <c r="B13" s="18" t="s">
        <v>341</v>
      </c>
      <c r="C13" s="17">
        <v>6.7087599737487999E-2</v>
      </c>
      <c r="D13" s="17">
        <v>4.3548419553827801E-2</v>
      </c>
      <c r="E13" s="17">
        <v>9.1088880679376899E-2</v>
      </c>
      <c r="F13" s="17"/>
      <c r="G13" s="17">
        <v>5.3298204127673103E-2</v>
      </c>
      <c r="H13" s="17">
        <v>8.8594950266523004E-2</v>
      </c>
      <c r="I13" s="17">
        <v>7.4931487746799599E-2</v>
      </c>
      <c r="J13" s="17">
        <v>5.39992475577886E-2</v>
      </c>
      <c r="K13" s="17"/>
      <c r="L13" s="17">
        <v>4.1481228691401799E-2</v>
      </c>
      <c r="M13" s="17">
        <v>7.6409055306620205E-2</v>
      </c>
      <c r="N13" s="17">
        <v>4.2436896457505299E-2</v>
      </c>
      <c r="O13" s="17">
        <v>0.10937127289130701</v>
      </c>
    </row>
    <row r="14" spans="2:15" x14ac:dyDescent="0.3">
      <c r="B14" s="18" t="s">
        <v>142</v>
      </c>
      <c r="C14" s="19">
        <v>4.13321848853241E-2</v>
      </c>
      <c r="D14" s="19">
        <v>3.38664457525263E-2</v>
      </c>
      <c r="E14" s="19">
        <v>4.9090627841256299E-2</v>
      </c>
      <c r="F14" s="19"/>
      <c r="G14" s="19">
        <v>5.6811153514406999E-3</v>
      </c>
      <c r="H14" s="19">
        <v>5.2416742219044202E-2</v>
      </c>
      <c r="I14" s="19">
        <v>3.1652126268886999E-2</v>
      </c>
      <c r="J14" s="19">
        <v>8.4315044336112102E-2</v>
      </c>
      <c r="K14" s="19"/>
      <c r="L14" s="19">
        <v>3.7055518608850702E-2</v>
      </c>
      <c r="M14" s="19">
        <v>4.47031734506367E-2</v>
      </c>
      <c r="N14" s="19">
        <v>3.5363540700952399E-2</v>
      </c>
      <c r="O14" s="19">
        <v>4.8448515874606399E-2</v>
      </c>
    </row>
    <row r="15" spans="2:15" x14ac:dyDescent="0.3">
      <c r="B15" s="16"/>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0" t="s">
        <v>351</v>
      </c>
      <c r="E2" s="26"/>
      <c r="F2" s="26"/>
      <c r="G2" s="26"/>
      <c r="H2" s="26"/>
      <c r="I2" s="26"/>
    </row>
    <row r="6" spans="2:9" ht="49.95" customHeight="1" x14ac:dyDescent="0.3">
      <c r="B6" s="20" t="s">
        <v>14</v>
      </c>
      <c r="C6" s="20" t="s">
        <v>342</v>
      </c>
      <c r="D6" s="20" t="s">
        <v>343</v>
      </c>
      <c r="E6" s="20" t="s">
        <v>344</v>
      </c>
      <c r="F6" s="20" t="s">
        <v>345</v>
      </c>
      <c r="G6" s="20" t="s">
        <v>346</v>
      </c>
      <c r="H6" s="20" t="s">
        <v>347</v>
      </c>
    </row>
    <row r="7" spans="2:9" x14ac:dyDescent="0.3">
      <c r="B7" s="18" t="s">
        <v>348</v>
      </c>
      <c r="C7" s="17">
        <v>6.9156853385084899E-2</v>
      </c>
      <c r="D7" s="17">
        <v>8.08036276366976E-2</v>
      </c>
      <c r="E7" s="17">
        <v>8.7488792786382594E-2</v>
      </c>
      <c r="F7" s="17">
        <v>0.12752414553300001</v>
      </c>
      <c r="G7" s="17">
        <v>5.8362807851400501E-2</v>
      </c>
      <c r="H7" s="17">
        <v>5.1546317248501103E-2</v>
      </c>
    </row>
    <row r="8" spans="2:9" x14ac:dyDescent="0.3">
      <c r="B8" s="18" t="s">
        <v>333</v>
      </c>
      <c r="C8" s="17">
        <v>8.6869590301546395E-2</v>
      </c>
      <c r="D8" s="17">
        <v>6.0099035841549998E-2</v>
      </c>
      <c r="E8" s="17">
        <v>8.3588023871134398E-2</v>
      </c>
      <c r="F8" s="17">
        <v>0.110584830284714</v>
      </c>
      <c r="G8" s="17">
        <v>9.0181509117410297E-2</v>
      </c>
      <c r="H8" s="17">
        <v>8.3420692681879002E-2</v>
      </c>
    </row>
    <row r="9" spans="2:9" x14ac:dyDescent="0.3">
      <c r="B9" s="18" t="s">
        <v>334</v>
      </c>
      <c r="C9" s="17">
        <v>0.21747911233655001</v>
      </c>
      <c r="D9" s="17">
        <v>0.171938651553458</v>
      </c>
      <c r="E9" s="17">
        <v>0.25391672781179597</v>
      </c>
      <c r="F9" s="17">
        <v>0.24788662415073701</v>
      </c>
      <c r="G9" s="17">
        <v>0.30007531696226297</v>
      </c>
      <c r="H9" s="17">
        <v>0.25399162060398001</v>
      </c>
    </row>
    <row r="10" spans="2:9" x14ac:dyDescent="0.3">
      <c r="B10" s="18" t="s">
        <v>335</v>
      </c>
      <c r="C10" s="17">
        <v>0.24825383496520501</v>
      </c>
      <c r="D10" s="17">
        <v>0.24213767964258801</v>
      </c>
      <c r="E10" s="17">
        <v>0.26151583960769398</v>
      </c>
      <c r="F10" s="17">
        <v>0.175248825985582</v>
      </c>
      <c r="G10" s="17">
        <v>0.31322566439315203</v>
      </c>
      <c r="H10" s="17">
        <v>0.30470892796981203</v>
      </c>
    </row>
    <row r="11" spans="2:9" x14ac:dyDescent="0.3">
      <c r="B11" s="18" t="s">
        <v>349</v>
      </c>
      <c r="C11" s="17">
        <v>0.35861206906107002</v>
      </c>
      <c r="D11" s="17">
        <v>0.399554725332667</v>
      </c>
      <c r="E11" s="17">
        <v>0.25509804812887299</v>
      </c>
      <c r="F11" s="17">
        <v>0.181472938329925</v>
      </c>
      <c r="G11" s="17">
        <v>0.21619538141234201</v>
      </c>
      <c r="H11" s="17">
        <v>0.28304761693582198</v>
      </c>
    </row>
    <row r="12" spans="2:9" x14ac:dyDescent="0.3">
      <c r="B12" s="18" t="s">
        <v>350</v>
      </c>
      <c r="C12" s="17">
        <v>1.9628539950543901E-2</v>
      </c>
      <c r="D12" s="17">
        <v>4.5466279993038698E-2</v>
      </c>
      <c r="E12" s="17">
        <v>5.8392567794120498E-2</v>
      </c>
      <c r="F12" s="17">
        <v>0.15728263571604201</v>
      </c>
      <c r="G12" s="17">
        <v>2.1959320263432201E-2</v>
      </c>
      <c r="H12" s="17">
        <v>2.32848245600056E-2</v>
      </c>
    </row>
    <row r="13" spans="2:9" x14ac:dyDescent="0.3">
      <c r="B13" s="16" t="s">
        <v>241</v>
      </c>
      <c r="C13" s="16"/>
      <c r="D13" s="16"/>
      <c r="E13" s="16"/>
      <c r="F13" s="16"/>
      <c r="G13" s="16"/>
      <c r="H13" s="16"/>
    </row>
    <row r="14" spans="2:9" x14ac:dyDescent="0.3">
      <c r="B14" t="s">
        <v>47</v>
      </c>
    </row>
    <row r="15" spans="2:9" x14ac:dyDescent="0.3">
      <c r="B15" t="s">
        <v>48</v>
      </c>
    </row>
    <row r="19" spans="2:2" x14ac:dyDescent="0.3">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352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547</v>
      </c>
      <c r="D7" s="10">
        <v>284</v>
      </c>
      <c r="E7" s="10">
        <v>261</v>
      </c>
      <c r="F7" s="10"/>
      <c r="G7" s="10">
        <v>208</v>
      </c>
      <c r="H7" s="10">
        <v>143</v>
      </c>
      <c r="I7" s="10">
        <v>94</v>
      </c>
      <c r="J7" s="10">
        <v>101</v>
      </c>
      <c r="K7" s="10"/>
      <c r="L7" s="10">
        <v>117</v>
      </c>
      <c r="M7" s="10">
        <v>149</v>
      </c>
      <c r="N7" s="10">
        <v>167</v>
      </c>
      <c r="O7" s="10">
        <v>114</v>
      </c>
    </row>
    <row r="8" spans="2:15" ht="30" customHeight="1" x14ac:dyDescent="0.3">
      <c r="B8" s="11" t="s">
        <v>19</v>
      </c>
      <c r="C8" s="11">
        <v>548</v>
      </c>
      <c r="D8" s="11">
        <v>273</v>
      </c>
      <c r="E8" s="11">
        <v>272</v>
      </c>
      <c r="F8" s="11"/>
      <c r="G8" s="11">
        <v>164</v>
      </c>
      <c r="H8" s="11">
        <v>142</v>
      </c>
      <c r="I8" s="11">
        <v>115</v>
      </c>
      <c r="J8" s="11">
        <v>126</v>
      </c>
      <c r="K8" s="11"/>
      <c r="L8" s="11">
        <v>132</v>
      </c>
      <c r="M8" s="11">
        <v>141</v>
      </c>
      <c r="N8" s="11">
        <v>143</v>
      </c>
      <c r="O8" s="11">
        <v>132</v>
      </c>
    </row>
    <row r="9" spans="2:15" x14ac:dyDescent="0.3">
      <c r="B9" s="18" t="s">
        <v>348</v>
      </c>
      <c r="C9" s="17">
        <v>6.9156853385084899E-2</v>
      </c>
      <c r="D9" s="17">
        <v>6.7418295749080398E-2</v>
      </c>
      <c r="E9" s="17">
        <v>7.1409301850372198E-2</v>
      </c>
      <c r="F9" s="17"/>
      <c r="G9" s="17">
        <v>5.9541764360581201E-2</v>
      </c>
      <c r="H9" s="17">
        <v>8.9880348837580906E-2</v>
      </c>
      <c r="I9" s="17">
        <v>5.2643630179926001E-2</v>
      </c>
      <c r="J9" s="17">
        <v>7.3891553946949698E-2</v>
      </c>
      <c r="K9" s="17"/>
      <c r="L9" s="17">
        <v>2.7645416532635001E-2</v>
      </c>
      <c r="M9" s="17">
        <v>6.7904967337479097E-2</v>
      </c>
      <c r="N9" s="17">
        <v>6.9860447162991599E-2</v>
      </c>
      <c r="O9" s="17">
        <v>0.111239073179923</v>
      </c>
    </row>
    <row r="10" spans="2:15" x14ac:dyDescent="0.3">
      <c r="B10" s="18" t="s">
        <v>333</v>
      </c>
      <c r="C10" s="17">
        <v>8.6869590301546395E-2</v>
      </c>
      <c r="D10" s="17">
        <v>6.9975889882566894E-2</v>
      </c>
      <c r="E10" s="17">
        <v>0.100101429744303</v>
      </c>
      <c r="F10" s="17"/>
      <c r="G10" s="17">
        <v>7.1367096894046897E-2</v>
      </c>
      <c r="H10" s="17">
        <v>9.6409809673752997E-2</v>
      </c>
      <c r="I10" s="17">
        <v>6.2395394842702803E-2</v>
      </c>
      <c r="J10" s="17">
        <v>0.119256916283878</v>
      </c>
      <c r="K10" s="17"/>
      <c r="L10" s="17">
        <v>6.1616561576979999E-2</v>
      </c>
      <c r="M10" s="17">
        <v>6.4412974395404304E-2</v>
      </c>
      <c r="N10" s="17">
        <v>0.124645294641289</v>
      </c>
      <c r="O10" s="17">
        <v>9.5110766752380893E-2</v>
      </c>
    </row>
    <row r="11" spans="2:15" x14ac:dyDescent="0.3">
      <c r="B11" s="18" t="s">
        <v>334</v>
      </c>
      <c r="C11" s="17">
        <v>0.21747911233655001</v>
      </c>
      <c r="D11" s="17">
        <v>0.24043260871924099</v>
      </c>
      <c r="E11" s="17">
        <v>0.19602317189985</v>
      </c>
      <c r="F11" s="17"/>
      <c r="G11" s="17">
        <v>0.168280629480515</v>
      </c>
      <c r="H11" s="17">
        <v>0.23521639682491799</v>
      </c>
      <c r="I11" s="17">
        <v>0.26675189988777998</v>
      </c>
      <c r="J11" s="17">
        <v>0.21808983353320099</v>
      </c>
      <c r="K11" s="17"/>
      <c r="L11" s="17">
        <v>0.26892964315220003</v>
      </c>
      <c r="M11" s="17">
        <v>0.19245129473165301</v>
      </c>
      <c r="N11" s="17">
        <v>0.18611436072434101</v>
      </c>
      <c r="O11" s="17">
        <v>0.22665670804237001</v>
      </c>
    </row>
    <row r="12" spans="2:15" x14ac:dyDescent="0.3">
      <c r="B12" s="18" t="s">
        <v>335</v>
      </c>
      <c r="C12" s="17">
        <v>0.24825383496520501</v>
      </c>
      <c r="D12" s="17">
        <v>0.22639424542596301</v>
      </c>
      <c r="E12" s="17">
        <v>0.26906596896003798</v>
      </c>
      <c r="F12" s="17"/>
      <c r="G12" s="17">
        <v>0.266922307119835</v>
      </c>
      <c r="H12" s="17">
        <v>0.241087124476807</v>
      </c>
      <c r="I12" s="17">
        <v>0.22294389242648699</v>
      </c>
      <c r="J12" s="17">
        <v>0.25717266159660401</v>
      </c>
      <c r="K12" s="17"/>
      <c r="L12" s="17">
        <v>0.24108146755784901</v>
      </c>
      <c r="M12" s="17">
        <v>0.29552262545111102</v>
      </c>
      <c r="N12" s="17">
        <v>0.23202540279987699</v>
      </c>
      <c r="O12" s="17">
        <v>0.22267514776130301</v>
      </c>
    </row>
    <row r="13" spans="2:15" x14ac:dyDescent="0.3">
      <c r="B13" s="18" t="s">
        <v>349</v>
      </c>
      <c r="C13" s="17">
        <v>0.35861206906107002</v>
      </c>
      <c r="D13" s="17">
        <v>0.38050434778314701</v>
      </c>
      <c r="E13" s="17">
        <v>0.3392557097137</v>
      </c>
      <c r="F13" s="17"/>
      <c r="G13" s="17">
        <v>0.41819053098793901</v>
      </c>
      <c r="H13" s="17">
        <v>0.30453065592637601</v>
      </c>
      <c r="I13" s="17">
        <v>0.38739782289917701</v>
      </c>
      <c r="J13" s="17">
        <v>0.31090384552843903</v>
      </c>
      <c r="K13" s="17"/>
      <c r="L13" s="17">
        <v>0.38401862501842898</v>
      </c>
      <c r="M13" s="17">
        <v>0.36674223126986</v>
      </c>
      <c r="N13" s="17">
        <v>0.35380671306039302</v>
      </c>
      <c r="O13" s="17">
        <v>0.32975431045947101</v>
      </c>
    </row>
    <row r="14" spans="2:15" x14ac:dyDescent="0.3">
      <c r="B14" s="18" t="s">
        <v>350</v>
      </c>
      <c r="C14" s="19">
        <v>1.9628539950543901E-2</v>
      </c>
      <c r="D14" s="19">
        <v>1.52746124400009E-2</v>
      </c>
      <c r="E14" s="19">
        <v>2.41444178317375E-2</v>
      </c>
      <c r="F14" s="19"/>
      <c r="G14" s="19">
        <v>1.5697671157082701E-2</v>
      </c>
      <c r="H14" s="19">
        <v>3.2875664260564999E-2</v>
      </c>
      <c r="I14" s="19">
        <v>7.8673597639276407E-3</v>
      </c>
      <c r="J14" s="19">
        <v>2.0685189110928402E-2</v>
      </c>
      <c r="K14" s="19"/>
      <c r="L14" s="19">
        <v>1.6708286161906099E-2</v>
      </c>
      <c r="M14" s="19">
        <v>1.29659068144925E-2</v>
      </c>
      <c r="N14" s="19">
        <v>3.3547781611108399E-2</v>
      </c>
      <c r="O14" s="19">
        <v>1.4563993804552099E-2</v>
      </c>
    </row>
    <row r="15" spans="2:15" x14ac:dyDescent="0.3">
      <c r="B15" s="16" t="s">
        <v>241</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353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348</v>
      </c>
      <c r="C9" s="17">
        <v>8.08036276366976E-2</v>
      </c>
      <c r="D9" s="17">
        <v>7.1623471329540001E-2</v>
      </c>
      <c r="E9" s="17">
        <v>9.0562176248776396E-2</v>
      </c>
      <c r="F9" s="17"/>
      <c r="G9" s="17">
        <v>3.9248690294880602E-2</v>
      </c>
      <c r="H9" s="17">
        <v>8.7149640821859303E-2</v>
      </c>
      <c r="I9" s="17">
        <v>0.10890255312373399</v>
      </c>
      <c r="J9" s="17">
        <v>0.10268517337222</v>
      </c>
      <c r="K9" s="17"/>
      <c r="L9" s="17">
        <v>6.2355897931720403E-2</v>
      </c>
      <c r="M9" s="17">
        <v>0.112552036188525</v>
      </c>
      <c r="N9" s="17">
        <v>3.1916547010261601E-2</v>
      </c>
      <c r="O9" s="17">
        <v>0.118058770335772</v>
      </c>
    </row>
    <row r="10" spans="2:15" x14ac:dyDescent="0.3">
      <c r="B10" s="18" t="s">
        <v>333</v>
      </c>
      <c r="C10" s="17">
        <v>6.0099035841549998E-2</v>
      </c>
      <c r="D10" s="17">
        <v>4.9327556749176597E-2</v>
      </c>
      <c r="E10" s="17">
        <v>6.6950606657475695E-2</v>
      </c>
      <c r="F10" s="17"/>
      <c r="G10" s="17">
        <v>5.4575520466360099E-2</v>
      </c>
      <c r="H10" s="17">
        <v>7.7670750353516699E-2</v>
      </c>
      <c r="I10" s="17">
        <v>3.4015717851654602E-2</v>
      </c>
      <c r="J10" s="17">
        <v>7.16250628986244E-2</v>
      </c>
      <c r="K10" s="17"/>
      <c r="L10" s="17">
        <v>2.9811248872666299E-2</v>
      </c>
      <c r="M10" s="17">
        <v>4.12736987721758E-2</v>
      </c>
      <c r="N10" s="17">
        <v>8.3862189241954696E-2</v>
      </c>
      <c r="O10" s="17">
        <v>8.4894905595231093E-2</v>
      </c>
    </row>
    <row r="11" spans="2:15" x14ac:dyDescent="0.3">
      <c r="B11" s="18" t="s">
        <v>334</v>
      </c>
      <c r="C11" s="17">
        <v>0.171938651553458</v>
      </c>
      <c r="D11" s="17">
        <v>0.131808810823973</v>
      </c>
      <c r="E11" s="17">
        <v>0.210334126654628</v>
      </c>
      <c r="F11" s="17"/>
      <c r="G11" s="17">
        <v>0.11231061486458201</v>
      </c>
      <c r="H11" s="17">
        <v>0.13719460269601</v>
      </c>
      <c r="I11" s="17">
        <v>0.22369191494471999</v>
      </c>
      <c r="J11" s="17">
        <v>0.24311466892363701</v>
      </c>
      <c r="K11" s="17"/>
      <c r="L11" s="17">
        <v>0.19260469984376899</v>
      </c>
      <c r="M11" s="17">
        <v>0.16784142904338001</v>
      </c>
      <c r="N11" s="17">
        <v>0.17712547364328601</v>
      </c>
      <c r="O11" s="17">
        <v>0.15006116415394799</v>
      </c>
    </row>
    <row r="12" spans="2:15" x14ac:dyDescent="0.3">
      <c r="B12" s="18" t="s">
        <v>335</v>
      </c>
      <c r="C12" s="17">
        <v>0.24213767964258801</v>
      </c>
      <c r="D12" s="17">
        <v>0.236377152894958</v>
      </c>
      <c r="E12" s="17">
        <v>0.24965617568524101</v>
      </c>
      <c r="F12" s="17"/>
      <c r="G12" s="17">
        <v>0.262956654383871</v>
      </c>
      <c r="H12" s="17">
        <v>0.240684932565882</v>
      </c>
      <c r="I12" s="17">
        <v>0.25474539461931001</v>
      </c>
      <c r="J12" s="17">
        <v>0.20710450012557099</v>
      </c>
      <c r="K12" s="17"/>
      <c r="L12" s="17">
        <v>0.26022165357371602</v>
      </c>
      <c r="M12" s="17">
        <v>0.25294551571092799</v>
      </c>
      <c r="N12" s="17">
        <v>0.22049172036609099</v>
      </c>
      <c r="O12" s="17">
        <v>0.235876883399604</v>
      </c>
    </row>
    <row r="13" spans="2:15" x14ac:dyDescent="0.3">
      <c r="B13" s="18" t="s">
        <v>349</v>
      </c>
      <c r="C13" s="17">
        <v>0.399554725332667</v>
      </c>
      <c r="D13" s="17">
        <v>0.46021793382089099</v>
      </c>
      <c r="E13" s="17">
        <v>0.34187221088105502</v>
      </c>
      <c r="F13" s="17"/>
      <c r="G13" s="17">
        <v>0.50329922700152196</v>
      </c>
      <c r="H13" s="17">
        <v>0.383014941026667</v>
      </c>
      <c r="I13" s="17">
        <v>0.35993428762311902</v>
      </c>
      <c r="J13" s="17">
        <v>0.31469268598774702</v>
      </c>
      <c r="K13" s="17"/>
      <c r="L13" s="17">
        <v>0.41421997313965903</v>
      </c>
      <c r="M13" s="17">
        <v>0.40317151715724397</v>
      </c>
      <c r="N13" s="17">
        <v>0.43159307668758801</v>
      </c>
      <c r="O13" s="17">
        <v>0.34629047235261701</v>
      </c>
    </row>
    <row r="14" spans="2:15" x14ac:dyDescent="0.3">
      <c r="B14" s="18" t="s">
        <v>350</v>
      </c>
      <c r="C14" s="19">
        <v>4.5466279993038698E-2</v>
      </c>
      <c r="D14" s="19">
        <v>5.0645074381460799E-2</v>
      </c>
      <c r="E14" s="19">
        <v>4.0624703872824498E-2</v>
      </c>
      <c r="F14" s="19"/>
      <c r="G14" s="19">
        <v>2.7609292988784499E-2</v>
      </c>
      <c r="H14" s="19">
        <v>7.4285132536064905E-2</v>
      </c>
      <c r="I14" s="19">
        <v>1.8710131837461799E-2</v>
      </c>
      <c r="J14" s="19">
        <v>6.0777908692200303E-2</v>
      </c>
      <c r="K14" s="19"/>
      <c r="L14" s="19">
        <v>4.0786526638468601E-2</v>
      </c>
      <c r="M14" s="19">
        <v>2.2215803127746701E-2</v>
      </c>
      <c r="N14" s="19">
        <v>5.5010993050818302E-2</v>
      </c>
      <c r="O14" s="19">
        <v>6.4817804162828299E-2</v>
      </c>
    </row>
    <row r="15" spans="2:15" x14ac:dyDescent="0.3">
      <c r="B15" s="16"/>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354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546</v>
      </c>
      <c r="D7" s="10">
        <v>284</v>
      </c>
      <c r="E7" s="10">
        <v>260</v>
      </c>
      <c r="F7" s="10"/>
      <c r="G7" s="10">
        <v>207</v>
      </c>
      <c r="H7" s="10">
        <v>143</v>
      </c>
      <c r="I7" s="10">
        <v>94</v>
      </c>
      <c r="J7" s="10">
        <v>101</v>
      </c>
      <c r="K7" s="10"/>
      <c r="L7" s="10">
        <v>117</v>
      </c>
      <c r="M7" s="10">
        <v>150</v>
      </c>
      <c r="N7" s="10">
        <v>165</v>
      </c>
      <c r="O7" s="10">
        <v>114</v>
      </c>
    </row>
    <row r="8" spans="2:15" ht="30" customHeight="1" x14ac:dyDescent="0.3">
      <c r="B8" s="11" t="s">
        <v>19</v>
      </c>
      <c r="C8" s="11">
        <v>547</v>
      </c>
      <c r="D8" s="11">
        <v>273</v>
      </c>
      <c r="E8" s="11">
        <v>272</v>
      </c>
      <c r="F8" s="11"/>
      <c r="G8" s="11">
        <v>163</v>
      </c>
      <c r="H8" s="11">
        <v>142</v>
      </c>
      <c r="I8" s="11">
        <v>115</v>
      </c>
      <c r="J8" s="11">
        <v>126</v>
      </c>
      <c r="K8" s="11"/>
      <c r="L8" s="11">
        <v>132</v>
      </c>
      <c r="M8" s="11">
        <v>141</v>
      </c>
      <c r="N8" s="11">
        <v>142</v>
      </c>
      <c r="O8" s="11">
        <v>132</v>
      </c>
    </row>
    <row r="9" spans="2:15" x14ac:dyDescent="0.3">
      <c r="B9" s="18" t="s">
        <v>348</v>
      </c>
      <c r="C9" s="17">
        <v>8.7488792786382594E-2</v>
      </c>
      <c r="D9" s="17">
        <v>0.102332391457907</v>
      </c>
      <c r="E9" s="17">
        <v>7.3187538616412695E-2</v>
      </c>
      <c r="F9" s="17"/>
      <c r="G9" s="17">
        <v>7.1644469122735296E-2</v>
      </c>
      <c r="H9" s="17">
        <v>0.12589340571229801</v>
      </c>
      <c r="I9" s="17">
        <v>7.3423234906650897E-2</v>
      </c>
      <c r="J9" s="17">
        <v>7.8199462969097105E-2</v>
      </c>
      <c r="K9" s="17"/>
      <c r="L9" s="17">
        <v>3.3494034120156599E-2</v>
      </c>
      <c r="M9" s="17">
        <v>0.107942284446919</v>
      </c>
      <c r="N9" s="17">
        <v>8.6686134935400797E-2</v>
      </c>
      <c r="O9" s="17">
        <v>0.12049252922105801</v>
      </c>
    </row>
    <row r="10" spans="2:15" x14ac:dyDescent="0.3">
      <c r="B10" s="18" t="s">
        <v>333</v>
      </c>
      <c r="C10" s="17">
        <v>8.3588023871134398E-2</v>
      </c>
      <c r="D10" s="17">
        <v>5.1900457739674E-2</v>
      </c>
      <c r="E10" s="17">
        <v>0.116103536061972</v>
      </c>
      <c r="F10" s="17"/>
      <c r="G10" s="17">
        <v>8.8596418942318594E-2</v>
      </c>
      <c r="H10" s="17">
        <v>0.107905528293849</v>
      </c>
      <c r="I10" s="17">
        <v>4.0318744845086199E-2</v>
      </c>
      <c r="J10" s="17">
        <v>8.9853307908026897E-2</v>
      </c>
      <c r="K10" s="17"/>
      <c r="L10" s="17">
        <v>8.5375703604587794E-2</v>
      </c>
      <c r="M10" s="17">
        <v>6.0089347757365401E-2</v>
      </c>
      <c r="N10" s="17">
        <v>9.4920915669271202E-2</v>
      </c>
      <c r="O10" s="17">
        <v>9.47313213472116E-2</v>
      </c>
    </row>
    <row r="11" spans="2:15" x14ac:dyDescent="0.3">
      <c r="B11" s="18" t="s">
        <v>334</v>
      </c>
      <c r="C11" s="17">
        <v>0.25391672781179597</v>
      </c>
      <c r="D11" s="17">
        <v>0.24016622307163399</v>
      </c>
      <c r="E11" s="17">
        <v>0.26524513571097003</v>
      </c>
      <c r="F11" s="17"/>
      <c r="G11" s="17">
        <v>0.21332651645230999</v>
      </c>
      <c r="H11" s="17">
        <v>0.17402309758551601</v>
      </c>
      <c r="I11" s="17">
        <v>0.32311769820686198</v>
      </c>
      <c r="J11" s="17">
        <v>0.33529221392889902</v>
      </c>
      <c r="K11" s="17"/>
      <c r="L11" s="17">
        <v>0.24154734318660601</v>
      </c>
      <c r="M11" s="17">
        <v>0.23869127014674399</v>
      </c>
      <c r="N11" s="17">
        <v>0.27077209776087802</v>
      </c>
      <c r="O11" s="17">
        <v>0.26444429110842199</v>
      </c>
    </row>
    <row r="12" spans="2:15" x14ac:dyDescent="0.3">
      <c r="B12" s="18" t="s">
        <v>335</v>
      </c>
      <c r="C12" s="17">
        <v>0.26151583960769398</v>
      </c>
      <c r="D12" s="17">
        <v>0.25709973233714301</v>
      </c>
      <c r="E12" s="17">
        <v>0.26491765874474499</v>
      </c>
      <c r="F12" s="17"/>
      <c r="G12" s="17">
        <v>0.32099552216590799</v>
      </c>
      <c r="H12" s="17">
        <v>0.24777651952449001</v>
      </c>
      <c r="I12" s="17">
        <v>0.27744850588368097</v>
      </c>
      <c r="J12" s="17">
        <v>0.18767950323078</v>
      </c>
      <c r="K12" s="17"/>
      <c r="L12" s="17">
        <v>0.28702672215416702</v>
      </c>
      <c r="M12" s="17">
        <v>0.286006844710473</v>
      </c>
      <c r="N12" s="17">
        <v>0.25882816824919402</v>
      </c>
      <c r="O12" s="17">
        <v>0.212725333654181</v>
      </c>
    </row>
    <row r="13" spans="2:15" x14ac:dyDescent="0.3">
      <c r="B13" s="18" t="s">
        <v>349</v>
      </c>
      <c r="C13" s="17">
        <v>0.25509804812887299</v>
      </c>
      <c r="D13" s="17">
        <v>0.30074550583146298</v>
      </c>
      <c r="E13" s="17">
        <v>0.211015963188499</v>
      </c>
      <c r="F13" s="17"/>
      <c r="G13" s="17">
        <v>0.25367655757709001</v>
      </c>
      <c r="H13" s="17">
        <v>0.25838863215746699</v>
      </c>
      <c r="I13" s="17">
        <v>0.234770072385309</v>
      </c>
      <c r="J13" s="17">
        <v>0.26586819030473702</v>
      </c>
      <c r="K13" s="17"/>
      <c r="L13" s="17">
        <v>0.29008860563585898</v>
      </c>
      <c r="M13" s="17">
        <v>0.24624094433890301</v>
      </c>
      <c r="N13" s="17">
        <v>0.23582896060842501</v>
      </c>
      <c r="O13" s="17">
        <v>0.250273453494328</v>
      </c>
    </row>
    <row r="14" spans="2:15" x14ac:dyDescent="0.3">
      <c r="B14" s="18" t="s">
        <v>350</v>
      </c>
      <c r="C14" s="19">
        <v>5.8392567794120498E-2</v>
      </c>
      <c r="D14" s="19">
        <v>4.7755689562178898E-2</v>
      </c>
      <c r="E14" s="19">
        <v>6.9530167677402305E-2</v>
      </c>
      <c r="F14" s="19"/>
      <c r="G14" s="19">
        <v>5.1760515739637698E-2</v>
      </c>
      <c r="H14" s="19">
        <v>8.6012816726379795E-2</v>
      </c>
      <c r="I14" s="19">
        <v>5.0921743772410599E-2</v>
      </c>
      <c r="J14" s="19">
        <v>4.3107321658459499E-2</v>
      </c>
      <c r="K14" s="19"/>
      <c r="L14" s="19">
        <v>6.24675912986234E-2</v>
      </c>
      <c r="M14" s="19">
        <v>6.1029308599595697E-2</v>
      </c>
      <c r="N14" s="19">
        <v>5.2963722776831201E-2</v>
      </c>
      <c r="O14" s="19">
        <v>5.7333071174799598E-2</v>
      </c>
    </row>
    <row r="15" spans="2:15" x14ac:dyDescent="0.3">
      <c r="B15" s="16" t="s">
        <v>241</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355</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546</v>
      </c>
      <c r="D7" s="10">
        <v>282</v>
      </c>
      <c r="E7" s="10">
        <v>262</v>
      </c>
      <c r="F7" s="10"/>
      <c r="G7" s="10">
        <v>209</v>
      </c>
      <c r="H7" s="10">
        <v>143</v>
      </c>
      <c r="I7" s="10">
        <v>92</v>
      </c>
      <c r="J7" s="10">
        <v>101</v>
      </c>
      <c r="K7" s="10"/>
      <c r="L7" s="10">
        <v>116</v>
      </c>
      <c r="M7" s="10">
        <v>149</v>
      </c>
      <c r="N7" s="10">
        <v>167</v>
      </c>
      <c r="O7" s="10">
        <v>114</v>
      </c>
    </row>
    <row r="8" spans="2:15" ht="30" customHeight="1" x14ac:dyDescent="0.3">
      <c r="B8" s="11" t="s">
        <v>19</v>
      </c>
      <c r="C8" s="11">
        <v>545</v>
      </c>
      <c r="D8" s="11">
        <v>271</v>
      </c>
      <c r="E8" s="11">
        <v>273</v>
      </c>
      <c r="F8" s="11"/>
      <c r="G8" s="11">
        <v>164</v>
      </c>
      <c r="H8" s="11">
        <v>142</v>
      </c>
      <c r="I8" s="11">
        <v>112</v>
      </c>
      <c r="J8" s="11">
        <v>126</v>
      </c>
      <c r="K8" s="11"/>
      <c r="L8" s="11">
        <v>131</v>
      </c>
      <c r="M8" s="11">
        <v>140</v>
      </c>
      <c r="N8" s="11">
        <v>143</v>
      </c>
      <c r="O8" s="11">
        <v>132</v>
      </c>
    </row>
    <row r="9" spans="2:15" x14ac:dyDescent="0.3">
      <c r="B9" s="18" t="s">
        <v>348</v>
      </c>
      <c r="C9" s="17">
        <v>0.12752414553300001</v>
      </c>
      <c r="D9" s="17">
        <v>0.13331552118971701</v>
      </c>
      <c r="E9" s="17">
        <v>0.122707838412129</v>
      </c>
      <c r="F9" s="17"/>
      <c r="G9" s="17">
        <v>9.1523410316182205E-2</v>
      </c>
      <c r="H9" s="17">
        <v>0.14531957233975601</v>
      </c>
      <c r="I9" s="17">
        <v>0.160048870884162</v>
      </c>
      <c r="J9" s="17">
        <v>0.126335179783477</v>
      </c>
      <c r="K9" s="17"/>
      <c r="L9" s="17">
        <v>0.136247745638756</v>
      </c>
      <c r="M9" s="17">
        <v>0.162350623101951</v>
      </c>
      <c r="N9" s="17">
        <v>9.8190186417947301E-2</v>
      </c>
      <c r="O9" s="17">
        <v>0.11379328129204699</v>
      </c>
    </row>
    <row r="10" spans="2:15" x14ac:dyDescent="0.3">
      <c r="B10" s="18" t="s">
        <v>333</v>
      </c>
      <c r="C10" s="17">
        <v>0.110584830284714</v>
      </c>
      <c r="D10" s="17">
        <v>0.122467290109251</v>
      </c>
      <c r="E10" s="17">
        <v>9.9598233158295996E-2</v>
      </c>
      <c r="F10" s="17"/>
      <c r="G10" s="17">
        <v>8.8583915448528894E-2</v>
      </c>
      <c r="H10" s="17">
        <v>0.109052109416218</v>
      </c>
      <c r="I10" s="17">
        <v>0.11818366584673499</v>
      </c>
      <c r="J10" s="17">
        <v>0.13505047945585</v>
      </c>
      <c r="K10" s="17"/>
      <c r="L10" s="17">
        <v>0.1238282198826</v>
      </c>
      <c r="M10" s="17">
        <v>0.12516250281753899</v>
      </c>
      <c r="N10" s="17">
        <v>8.8535095914081097E-2</v>
      </c>
      <c r="O10" s="17">
        <v>0.105932242530952</v>
      </c>
    </row>
    <row r="11" spans="2:15" x14ac:dyDescent="0.3">
      <c r="B11" s="18" t="s">
        <v>334</v>
      </c>
      <c r="C11" s="17">
        <v>0.24788662415073701</v>
      </c>
      <c r="D11" s="17">
        <v>0.25275952565251802</v>
      </c>
      <c r="E11" s="17">
        <v>0.244862275114857</v>
      </c>
      <c r="F11" s="17"/>
      <c r="G11" s="17">
        <v>0.18630116274607</v>
      </c>
      <c r="H11" s="17">
        <v>0.210355469649782</v>
      </c>
      <c r="I11" s="17">
        <v>0.296481497188541</v>
      </c>
      <c r="J11" s="17">
        <v>0.32899423815350198</v>
      </c>
      <c r="K11" s="17"/>
      <c r="L11" s="17">
        <v>0.18809895206438501</v>
      </c>
      <c r="M11" s="17">
        <v>0.25337115911840702</v>
      </c>
      <c r="N11" s="17">
        <v>0.24407148408944099</v>
      </c>
      <c r="O11" s="17">
        <v>0.305367960386563</v>
      </c>
    </row>
    <row r="12" spans="2:15" x14ac:dyDescent="0.3">
      <c r="B12" s="18" t="s">
        <v>335</v>
      </c>
      <c r="C12" s="17">
        <v>0.175248825985582</v>
      </c>
      <c r="D12" s="17">
        <v>0.155370399154905</v>
      </c>
      <c r="E12" s="17">
        <v>0.193310988745371</v>
      </c>
      <c r="F12" s="17"/>
      <c r="G12" s="17">
        <v>0.25043348294728002</v>
      </c>
      <c r="H12" s="17">
        <v>0.126985841811002</v>
      </c>
      <c r="I12" s="17">
        <v>0.189477278772993</v>
      </c>
      <c r="J12" s="17">
        <v>0.12050374614114299</v>
      </c>
      <c r="K12" s="17"/>
      <c r="L12" s="17">
        <v>0.17297461555770599</v>
      </c>
      <c r="M12" s="17">
        <v>0.16744699984984199</v>
      </c>
      <c r="N12" s="17">
        <v>0.21444519699608899</v>
      </c>
      <c r="O12" s="17">
        <v>0.14329765559254201</v>
      </c>
    </row>
    <row r="13" spans="2:15" x14ac:dyDescent="0.3">
      <c r="B13" s="18" t="s">
        <v>349</v>
      </c>
      <c r="C13" s="17">
        <v>0.181472938329925</v>
      </c>
      <c r="D13" s="17">
        <v>0.19770160922465299</v>
      </c>
      <c r="E13" s="17">
        <v>0.166690415946774</v>
      </c>
      <c r="F13" s="17"/>
      <c r="G13" s="17">
        <v>0.237430866561331</v>
      </c>
      <c r="H13" s="17">
        <v>0.17916236573740299</v>
      </c>
      <c r="I13" s="17">
        <v>0.140155216218907</v>
      </c>
      <c r="J13" s="17">
        <v>0.141589136290733</v>
      </c>
      <c r="K13" s="17"/>
      <c r="L13" s="17">
        <v>0.18137025457004999</v>
      </c>
      <c r="M13" s="17">
        <v>0.20713075156664501</v>
      </c>
      <c r="N13" s="17">
        <v>0.19843348429214</v>
      </c>
      <c r="O13" s="17">
        <v>0.13603144364515199</v>
      </c>
    </row>
    <row r="14" spans="2:15" x14ac:dyDescent="0.3">
      <c r="B14" s="18" t="s">
        <v>350</v>
      </c>
      <c r="C14" s="19">
        <v>0.15728263571604201</v>
      </c>
      <c r="D14" s="19">
        <v>0.138385654668955</v>
      </c>
      <c r="E14" s="19">
        <v>0.17283024862257201</v>
      </c>
      <c r="F14" s="19"/>
      <c r="G14" s="19">
        <v>0.14572716198060801</v>
      </c>
      <c r="H14" s="19">
        <v>0.22912464104583999</v>
      </c>
      <c r="I14" s="19">
        <v>9.5653471088662595E-2</v>
      </c>
      <c r="J14" s="19">
        <v>0.14752722017529399</v>
      </c>
      <c r="K14" s="19"/>
      <c r="L14" s="19">
        <v>0.197480212286502</v>
      </c>
      <c r="M14" s="19">
        <v>8.4537963545615505E-2</v>
      </c>
      <c r="N14" s="19">
        <v>0.15632455229030001</v>
      </c>
      <c r="O14" s="19">
        <v>0.19557741655274299</v>
      </c>
    </row>
    <row r="15" spans="2:15" x14ac:dyDescent="0.3">
      <c r="B15" s="16" t="s">
        <v>241</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356</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548</v>
      </c>
      <c r="D7" s="10">
        <v>284</v>
      </c>
      <c r="E7" s="10">
        <v>262</v>
      </c>
      <c r="F7" s="10"/>
      <c r="G7" s="10">
        <v>209</v>
      </c>
      <c r="H7" s="10">
        <v>143</v>
      </c>
      <c r="I7" s="10">
        <v>94</v>
      </c>
      <c r="J7" s="10">
        <v>101</v>
      </c>
      <c r="K7" s="10"/>
      <c r="L7" s="10">
        <v>117</v>
      </c>
      <c r="M7" s="10">
        <v>150</v>
      </c>
      <c r="N7" s="10">
        <v>167</v>
      </c>
      <c r="O7" s="10">
        <v>114</v>
      </c>
    </row>
    <row r="8" spans="2:15" ht="30" customHeight="1" x14ac:dyDescent="0.3">
      <c r="B8" s="11" t="s">
        <v>19</v>
      </c>
      <c r="C8" s="11">
        <v>548</v>
      </c>
      <c r="D8" s="11">
        <v>273</v>
      </c>
      <c r="E8" s="11">
        <v>273</v>
      </c>
      <c r="F8" s="11"/>
      <c r="G8" s="11">
        <v>164</v>
      </c>
      <c r="H8" s="11">
        <v>142</v>
      </c>
      <c r="I8" s="11">
        <v>115</v>
      </c>
      <c r="J8" s="11">
        <v>126</v>
      </c>
      <c r="K8" s="11"/>
      <c r="L8" s="11">
        <v>132</v>
      </c>
      <c r="M8" s="11">
        <v>141</v>
      </c>
      <c r="N8" s="11">
        <v>143</v>
      </c>
      <c r="O8" s="11">
        <v>132</v>
      </c>
    </row>
    <row r="9" spans="2:15" x14ac:dyDescent="0.3">
      <c r="B9" s="18" t="s">
        <v>348</v>
      </c>
      <c r="C9" s="17">
        <v>5.8362807851400501E-2</v>
      </c>
      <c r="D9" s="17">
        <v>7.1252256023495997E-2</v>
      </c>
      <c r="E9" s="17">
        <v>4.58692541875464E-2</v>
      </c>
      <c r="F9" s="17"/>
      <c r="G9" s="17">
        <v>2.1408931485808899E-2</v>
      </c>
      <c r="H9" s="17">
        <v>7.3451532423696897E-2</v>
      </c>
      <c r="I9" s="17">
        <v>6.5814040748949199E-2</v>
      </c>
      <c r="J9" s="17">
        <v>8.31137158405338E-2</v>
      </c>
      <c r="K9" s="17"/>
      <c r="L9" s="17">
        <v>2.6967349372809601E-2</v>
      </c>
      <c r="M9" s="17">
        <v>8.1287522050085506E-2</v>
      </c>
      <c r="N9" s="17">
        <v>4.4767590995071799E-2</v>
      </c>
      <c r="O9" s="17">
        <v>7.9992661420491801E-2</v>
      </c>
    </row>
    <row r="10" spans="2:15" x14ac:dyDescent="0.3">
      <c r="B10" s="18" t="s">
        <v>333</v>
      </c>
      <c r="C10" s="17">
        <v>9.0181509117410297E-2</v>
      </c>
      <c r="D10" s="17">
        <v>7.1599520034216699E-2</v>
      </c>
      <c r="E10" s="17">
        <v>0.109467574168538</v>
      </c>
      <c r="F10" s="17"/>
      <c r="G10" s="17">
        <v>9.8428871161452006E-2</v>
      </c>
      <c r="H10" s="17">
        <v>9.7512526788712001E-2</v>
      </c>
      <c r="I10" s="17">
        <v>5.7262685391210703E-2</v>
      </c>
      <c r="J10" s="17">
        <v>0.10193953629869799</v>
      </c>
      <c r="K10" s="17"/>
      <c r="L10" s="17">
        <v>0.11558143208893699</v>
      </c>
      <c r="M10" s="17">
        <v>6.4712101629632604E-2</v>
      </c>
      <c r="N10" s="17">
        <v>0.118777682228427</v>
      </c>
      <c r="O10" s="17">
        <v>6.1015015520826603E-2</v>
      </c>
    </row>
    <row r="11" spans="2:15" x14ac:dyDescent="0.3">
      <c r="B11" s="18" t="s">
        <v>334</v>
      </c>
      <c r="C11" s="17">
        <v>0.30007531696226297</v>
      </c>
      <c r="D11" s="17">
        <v>0.28161460706099301</v>
      </c>
      <c r="E11" s="17">
        <v>0.316413785909681</v>
      </c>
      <c r="F11" s="17"/>
      <c r="G11" s="17">
        <v>0.27675646945635002</v>
      </c>
      <c r="H11" s="17">
        <v>0.32283018061298502</v>
      </c>
      <c r="I11" s="17">
        <v>0.36750994382813201</v>
      </c>
      <c r="J11" s="17">
        <v>0.24561478811805099</v>
      </c>
      <c r="K11" s="17"/>
      <c r="L11" s="17">
        <v>0.30950989378295801</v>
      </c>
      <c r="M11" s="17">
        <v>0.286707935812545</v>
      </c>
      <c r="N11" s="17">
        <v>0.25008965168340203</v>
      </c>
      <c r="O11" s="17">
        <v>0.35907416589656399</v>
      </c>
    </row>
    <row r="12" spans="2:15" x14ac:dyDescent="0.3">
      <c r="B12" s="18" t="s">
        <v>335</v>
      </c>
      <c r="C12" s="17">
        <v>0.31322566439315203</v>
      </c>
      <c r="D12" s="17">
        <v>0.32577717999663902</v>
      </c>
      <c r="E12" s="17">
        <v>0.30293468567265802</v>
      </c>
      <c r="F12" s="17"/>
      <c r="G12" s="17">
        <v>0.32210336078791402</v>
      </c>
      <c r="H12" s="17">
        <v>0.266125037652855</v>
      </c>
      <c r="I12" s="17">
        <v>0.29641903952676402</v>
      </c>
      <c r="J12" s="17">
        <v>0.37258882343979299</v>
      </c>
      <c r="K12" s="17"/>
      <c r="L12" s="17">
        <v>0.30080036695970402</v>
      </c>
      <c r="M12" s="17">
        <v>0.37714913434136399</v>
      </c>
      <c r="N12" s="17">
        <v>0.28673528123293401</v>
      </c>
      <c r="O12" s="17">
        <v>0.28605027593000998</v>
      </c>
    </row>
    <row r="13" spans="2:15" x14ac:dyDescent="0.3">
      <c r="B13" s="18" t="s">
        <v>349</v>
      </c>
      <c r="C13" s="17">
        <v>0.21619538141234201</v>
      </c>
      <c r="D13" s="17">
        <v>0.240721329232433</v>
      </c>
      <c r="E13" s="17">
        <v>0.19023957636842201</v>
      </c>
      <c r="F13" s="17"/>
      <c r="G13" s="17">
        <v>0.26581653089387097</v>
      </c>
      <c r="H13" s="17">
        <v>0.19362754268587801</v>
      </c>
      <c r="I13" s="17">
        <v>0.20249068557709701</v>
      </c>
      <c r="J13" s="17">
        <v>0.18334143266494499</v>
      </c>
      <c r="K13" s="17"/>
      <c r="L13" s="17">
        <v>0.22410112078293701</v>
      </c>
      <c r="M13" s="17">
        <v>0.19014330616637301</v>
      </c>
      <c r="N13" s="17">
        <v>0.25849320994989999</v>
      </c>
      <c r="O13" s="17">
        <v>0.190302158813654</v>
      </c>
    </row>
    <row r="14" spans="2:15" x14ac:dyDescent="0.3">
      <c r="B14" s="18" t="s">
        <v>350</v>
      </c>
      <c r="C14" s="19">
        <v>2.1959320263432201E-2</v>
      </c>
      <c r="D14" s="19">
        <v>9.0351076522226497E-3</v>
      </c>
      <c r="E14" s="19">
        <v>3.5075123693154402E-2</v>
      </c>
      <c r="F14" s="19"/>
      <c r="G14" s="19">
        <v>1.5485836214603799E-2</v>
      </c>
      <c r="H14" s="19">
        <v>4.6453179835873402E-2</v>
      </c>
      <c r="I14" s="19">
        <v>1.05036049278475E-2</v>
      </c>
      <c r="J14" s="19">
        <v>1.34017036379787E-2</v>
      </c>
      <c r="K14" s="19"/>
      <c r="L14" s="19">
        <v>2.3039837012654302E-2</v>
      </c>
      <c r="M14" s="19">
        <v>0</v>
      </c>
      <c r="N14" s="19">
        <v>4.1136583910265E-2</v>
      </c>
      <c r="O14" s="19">
        <v>2.3565722418454199E-2</v>
      </c>
    </row>
    <row r="15" spans="2:15" x14ac:dyDescent="0.3">
      <c r="B15" s="16" t="s">
        <v>241</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357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546</v>
      </c>
      <c r="D7" s="10">
        <v>283</v>
      </c>
      <c r="E7" s="10">
        <v>261</v>
      </c>
      <c r="F7" s="10"/>
      <c r="G7" s="10">
        <v>208</v>
      </c>
      <c r="H7" s="10">
        <v>143</v>
      </c>
      <c r="I7" s="10">
        <v>94</v>
      </c>
      <c r="J7" s="10">
        <v>100</v>
      </c>
      <c r="K7" s="10"/>
      <c r="L7" s="10">
        <v>117</v>
      </c>
      <c r="M7" s="10">
        <v>149</v>
      </c>
      <c r="N7" s="10">
        <v>166</v>
      </c>
      <c r="O7" s="10">
        <v>114</v>
      </c>
    </row>
    <row r="8" spans="2:15" ht="30" customHeight="1" x14ac:dyDescent="0.3">
      <c r="B8" s="11" t="s">
        <v>19</v>
      </c>
      <c r="C8" s="11">
        <v>547</v>
      </c>
      <c r="D8" s="11">
        <v>273</v>
      </c>
      <c r="E8" s="11">
        <v>272</v>
      </c>
      <c r="F8" s="11"/>
      <c r="G8" s="11">
        <v>163</v>
      </c>
      <c r="H8" s="11">
        <v>142</v>
      </c>
      <c r="I8" s="11">
        <v>115</v>
      </c>
      <c r="J8" s="11">
        <v>125</v>
      </c>
      <c r="K8" s="11"/>
      <c r="L8" s="11">
        <v>132</v>
      </c>
      <c r="M8" s="11">
        <v>140</v>
      </c>
      <c r="N8" s="11">
        <v>142</v>
      </c>
      <c r="O8" s="11">
        <v>132</v>
      </c>
    </row>
    <row r="9" spans="2:15" x14ac:dyDescent="0.3">
      <c r="B9" s="18" t="s">
        <v>348</v>
      </c>
      <c r="C9" s="17">
        <v>5.1546317248501103E-2</v>
      </c>
      <c r="D9" s="17">
        <v>3.5060592837861997E-2</v>
      </c>
      <c r="E9" s="17">
        <v>6.40728682058163E-2</v>
      </c>
      <c r="F9" s="17"/>
      <c r="G9" s="17">
        <v>3.57551323681548E-2</v>
      </c>
      <c r="H9" s="17">
        <v>6.0846771443013599E-2</v>
      </c>
      <c r="I9" s="17">
        <v>6.0181472529060101E-2</v>
      </c>
      <c r="J9" s="17">
        <v>5.4077292395401703E-2</v>
      </c>
      <c r="K9" s="17"/>
      <c r="L9" s="17">
        <v>1.9705325707717498E-2</v>
      </c>
      <c r="M9" s="17">
        <v>6.4888665397634895E-2</v>
      </c>
      <c r="N9" s="17">
        <v>4.9380350960663802E-2</v>
      </c>
      <c r="O9" s="17">
        <v>7.1531496113838799E-2</v>
      </c>
    </row>
    <row r="10" spans="2:15" x14ac:dyDescent="0.3">
      <c r="B10" s="18" t="s">
        <v>333</v>
      </c>
      <c r="C10" s="17">
        <v>8.3420692681879002E-2</v>
      </c>
      <c r="D10" s="17">
        <v>4.11383114299907E-2</v>
      </c>
      <c r="E10" s="17">
        <v>0.12640261331059599</v>
      </c>
      <c r="F10" s="17"/>
      <c r="G10" s="17">
        <v>6.4498558302655801E-2</v>
      </c>
      <c r="H10" s="17">
        <v>9.4177985405101E-2</v>
      </c>
      <c r="I10" s="17">
        <v>5.1291845586904701E-2</v>
      </c>
      <c r="J10" s="17">
        <v>0.12605544450117701</v>
      </c>
      <c r="K10" s="17"/>
      <c r="L10" s="17">
        <v>8.4859086902584702E-2</v>
      </c>
      <c r="M10" s="17">
        <v>6.9763450978195807E-2</v>
      </c>
      <c r="N10" s="17">
        <v>6.7849044326962205E-2</v>
      </c>
      <c r="O10" s="17">
        <v>0.11329015774211799</v>
      </c>
    </row>
    <row r="11" spans="2:15" x14ac:dyDescent="0.3">
      <c r="B11" s="18" t="s">
        <v>334</v>
      </c>
      <c r="C11" s="17">
        <v>0.25399162060398001</v>
      </c>
      <c r="D11" s="17">
        <v>0.22047029003968199</v>
      </c>
      <c r="E11" s="17">
        <v>0.28944461166496799</v>
      </c>
      <c r="F11" s="17"/>
      <c r="G11" s="17">
        <v>0.180834368443371</v>
      </c>
      <c r="H11" s="17">
        <v>0.26523330237806803</v>
      </c>
      <c r="I11" s="17">
        <v>0.28265009705878102</v>
      </c>
      <c r="J11" s="17">
        <v>0.31236272524433401</v>
      </c>
      <c r="K11" s="17"/>
      <c r="L11" s="17">
        <v>0.24500957506183099</v>
      </c>
      <c r="M11" s="17">
        <v>0.285704433445511</v>
      </c>
      <c r="N11" s="17">
        <v>0.217328183294421</v>
      </c>
      <c r="O11" s="17">
        <v>0.26876045379222901</v>
      </c>
    </row>
    <row r="12" spans="2:15" x14ac:dyDescent="0.3">
      <c r="B12" s="18" t="s">
        <v>335</v>
      </c>
      <c r="C12" s="17">
        <v>0.30470892796981203</v>
      </c>
      <c r="D12" s="17">
        <v>0.34575528423458102</v>
      </c>
      <c r="E12" s="17">
        <v>0.262851675933927</v>
      </c>
      <c r="F12" s="17"/>
      <c r="G12" s="17">
        <v>0.39229156638180102</v>
      </c>
      <c r="H12" s="17">
        <v>0.30493105157100697</v>
      </c>
      <c r="I12" s="17">
        <v>0.28467792998977498</v>
      </c>
      <c r="J12" s="17">
        <v>0.21106610011565999</v>
      </c>
      <c r="K12" s="17"/>
      <c r="L12" s="17">
        <v>0.31146729667619399</v>
      </c>
      <c r="M12" s="17">
        <v>0.30732019535581001</v>
      </c>
      <c r="N12" s="17">
        <v>0.33535457109876698</v>
      </c>
      <c r="O12" s="17">
        <v>0.26214426854046602</v>
      </c>
    </row>
    <row r="13" spans="2:15" x14ac:dyDescent="0.3">
      <c r="B13" s="18" t="s">
        <v>349</v>
      </c>
      <c r="C13" s="17">
        <v>0.28304761693582198</v>
      </c>
      <c r="D13" s="17">
        <v>0.33544594884755902</v>
      </c>
      <c r="E13" s="17">
        <v>0.23261506109146601</v>
      </c>
      <c r="F13" s="17"/>
      <c r="G13" s="17">
        <v>0.30600848560733301</v>
      </c>
      <c r="H13" s="17">
        <v>0.25121569727600801</v>
      </c>
      <c r="I13" s="17">
        <v>0.29280245890892898</v>
      </c>
      <c r="J13" s="17">
        <v>0.27452611154222401</v>
      </c>
      <c r="K13" s="17"/>
      <c r="L13" s="17">
        <v>0.33223695889306099</v>
      </c>
      <c r="M13" s="17">
        <v>0.25357958128970798</v>
      </c>
      <c r="N13" s="17">
        <v>0.29901271308510102</v>
      </c>
      <c r="O13" s="17">
        <v>0.24799219423049099</v>
      </c>
    </row>
    <row r="14" spans="2:15" x14ac:dyDescent="0.3">
      <c r="B14" s="18" t="s">
        <v>350</v>
      </c>
      <c r="C14" s="19">
        <v>2.32848245600056E-2</v>
      </c>
      <c r="D14" s="19">
        <v>2.2129572610325401E-2</v>
      </c>
      <c r="E14" s="19">
        <v>2.46131697932266E-2</v>
      </c>
      <c r="F14" s="19"/>
      <c r="G14" s="19">
        <v>2.06118888966851E-2</v>
      </c>
      <c r="H14" s="19">
        <v>2.3595191926803101E-2</v>
      </c>
      <c r="I14" s="19">
        <v>2.83961959265501E-2</v>
      </c>
      <c r="J14" s="19">
        <v>2.1912326201204101E-2</v>
      </c>
      <c r="K14" s="19"/>
      <c r="L14" s="19">
        <v>6.7217567586114798E-3</v>
      </c>
      <c r="M14" s="19">
        <v>1.8743673533139701E-2</v>
      </c>
      <c r="N14" s="19">
        <v>3.10751372340861E-2</v>
      </c>
      <c r="O14" s="19">
        <v>3.6281429580857498E-2</v>
      </c>
    </row>
    <row r="15" spans="2:15" x14ac:dyDescent="0.3">
      <c r="B15" s="16" t="s">
        <v>241</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0" t="s">
        <v>358</v>
      </c>
      <c r="E2" s="26"/>
      <c r="F2" s="26"/>
      <c r="G2" s="26"/>
      <c r="H2" s="26"/>
      <c r="I2" s="26"/>
    </row>
    <row r="6" spans="2:9" ht="49.95" customHeight="1" x14ac:dyDescent="0.3">
      <c r="B6" s="20" t="s">
        <v>14</v>
      </c>
      <c r="C6" s="20" t="s">
        <v>342</v>
      </c>
      <c r="D6" s="20" t="s">
        <v>343</v>
      </c>
      <c r="E6" s="20" t="s">
        <v>344</v>
      </c>
      <c r="F6" s="20" t="s">
        <v>345</v>
      </c>
      <c r="G6" s="20" t="s">
        <v>346</v>
      </c>
      <c r="H6" s="20" t="s">
        <v>347</v>
      </c>
    </row>
    <row r="7" spans="2:9" x14ac:dyDescent="0.3">
      <c r="B7" s="18" t="s">
        <v>348</v>
      </c>
      <c r="C7" s="17">
        <v>0.17732152853201599</v>
      </c>
      <c r="D7" s="17">
        <v>0.13142798774377801</v>
      </c>
      <c r="E7" s="17">
        <v>0.17991807712529401</v>
      </c>
      <c r="F7" s="17">
        <v>0.138328407848537</v>
      </c>
      <c r="G7" s="17">
        <v>0.150580599329355</v>
      </c>
      <c r="H7" s="17">
        <v>4.6719806459097402E-2</v>
      </c>
    </row>
    <row r="8" spans="2:9" x14ac:dyDescent="0.3">
      <c r="B8" s="18" t="s">
        <v>333</v>
      </c>
      <c r="C8" s="17">
        <v>0.15161899439656601</v>
      </c>
      <c r="D8" s="17">
        <v>9.6792707943359493E-2</v>
      </c>
      <c r="E8" s="17">
        <v>0.14588416183261599</v>
      </c>
      <c r="F8" s="17">
        <v>8.6429011024388103E-2</v>
      </c>
      <c r="G8" s="17">
        <v>0.164936678391816</v>
      </c>
      <c r="H8" s="17">
        <v>6.3088632789122703E-2</v>
      </c>
    </row>
    <row r="9" spans="2:9" x14ac:dyDescent="0.3">
      <c r="B9" s="18" t="s">
        <v>334</v>
      </c>
      <c r="C9" s="17">
        <v>0.235086379581566</v>
      </c>
      <c r="D9" s="17">
        <v>0.218654457699127</v>
      </c>
      <c r="E9" s="17">
        <v>0.24179949903078701</v>
      </c>
      <c r="F9" s="17">
        <v>0.21570306413963899</v>
      </c>
      <c r="G9" s="17">
        <v>0.28912001030473</v>
      </c>
      <c r="H9" s="17">
        <v>0.26352969855067199</v>
      </c>
    </row>
    <row r="10" spans="2:9" x14ac:dyDescent="0.3">
      <c r="B10" s="18" t="s">
        <v>335</v>
      </c>
      <c r="C10" s="17">
        <v>0.234226374000952</v>
      </c>
      <c r="D10" s="17">
        <v>0.23200795745064001</v>
      </c>
      <c r="E10" s="17">
        <v>0.210780128477315</v>
      </c>
      <c r="F10" s="17">
        <v>0.20275836500392999</v>
      </c>
      <c r="G10" s="17">
        <v>0.22882078245338699</v>
      </c>
      <c r="H10" s="17">
        <v>0.29306403876493597</v>
      </c>
    </row>
    <row r="11" spans="2:9" x14ac:dyDescent="0.3">
      <c r="B11" s="18" t="s">
        <v>349</v>
      </c>
      <c r="C11" s="17">
        <v>0.172774462986623</v>
      </c>
      <c r="D11" s="17">
        <v>0.27117028117525099</v>
      </c>
      <c r="E11" s="17">
        <v>0.122425252383891</v>
      </c>
      <c r="F11" s="17">
        <v>0.194160591381351</v>
      </c>
      <c r="G11" s="17">
        <v>0.12995136846029101</v>
      </c>
      <c r="H11" s="17">
        <v>0.32306088655456699</v>
      </c>
    </row>
    <row r="12" spans="2:9" x14ac:dyDescent="0.3">
      <c r="B12" s="18" t="s">
        <v>350</v>
      </c>
      <c r="C12" s="17">
        <v>2.8972260502276699E-2</v>
      </c>
      <c r="D12" s="17">
        <v>4.9946607987843901E-2</v>
      </c>
      <c r="E12" s="17">
        <v>9.9192881150097001E-2</v>
      </c>
      <c r="F12" s="17">
        <v>0.16262056060215499</v>
      </c>
      <c r="G12" s="17">
        <v>3.6590561060421002E-2</v>
      </c>
      <c r="H12" s="17">
        <v>1.05369368816059E-2</v>
      </c>
    </row>
    <row r="13" spans="2:9" x14ac:dyDescent="0.3">
      <c r="B13" s="16"/>
      <c r="C13" s="16"/>
      <c r="D13" s="16"/>
      <c r="E13" s="16"/>
      <c r="F13" s="16"/>
      <c r="G13" s="16"/>
      <c r="H13" s="16"/>
    </row>
    <row r="14" spans="2:9" x14ac:dyDescent="0.3">
      <c r="B14" t="s">
        <v>47</v>
      </c>
    </row>
    <row r="15" spans="2:9" x14ac:dyDescent="0.3">
      <c r="B15" t="s">
        <v>48</v>
      </c>
    </row>
    <row r="19" spans="2:2" x14ac:dyDescent="0.3">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359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348</v>
      </c>
      <c r="C9" s="17">
        <v>0.17732152853201599</v>
      </c>
      <c r="D9" s="17">
        <v>0.18523715215380401</v>
      </c>
      <c r="E9" s="17">
        <v>0.166361493285753</v>
      </c>
      <c r="F9" s="17"/>
      <c r="G9" s="17">
        <v>0.11250155479494001</v>
      </c>
      <c r="H9" s="17">
        <v>0.21322802885360001</v>
      </c>
      <c r="I9" s="17">
        <v>0.22455614848074401</v>
      </c>
      <c r="J9" s="17">
        <v>0.17923648812353199</v>
      </c>
      <c r="K9" s="17"/>
      <c r="L9" s="17">
        <v>0.14955146913133299</v>
      </c>
      <c r="M9" s="17">
        <v>0.16626260347723901</v>
      </c>
      <c r="N9" s="17">
        <v>0.17236471636125</v>
      </c>
      <c r="O9" s="17">
        <v>0.222358190191775</v>
      </c>
    </row>
    <row r="10" spans="2:15" x14ac:dyDescent="0.3">
      <c r="B10" s="18" t="s">
        <v>333</v>
      </c>
      <c r="C10" s="17">
        <v>0.15161899439656601</v>
      </c>
      <c r="D10" s="17">
        <v>0.165522011704131</v>
      </c>
      <c r="E10" s="17">
        <v>0.138836686765024</v>
      </c>
      <c r="F10" s="17"/>
      <c r="G10" s="17">
        <v>0.144859912157938</v>
      </c>
      <c r="H10" s="17">
        <v>0.15666693549661401</v>
      </c>
      <c r="I10" s="17">
        <v>0.14427271142297099</v>
      </c>
      <c r="J10" s="17">
        <v>0.16259379372666899</v>
      </c>
      <c r="K10" s="17"/>
      <c r="L10" s="17">
        <v>9.9207310159773604E-2</v>
      </c>
      <c r="M10" s="17">
        <v>0.20648106806974401</v>
      </c>
      <c r="N10" s="17">
        <v>0.17682810314122499</v>
      </c>
      <c r="O10" s="17">
        <v>0.117702519450953</v>
      </c>
    </row>
    <row r="11" spans="2:15" x14ac:dyDescent="0.3">
      <c r="B11" s="18" t="s">
        <v>334</v>
      </c>
      <c r="C11" s="17">
        <v>0.235086379581566</v>
      </c>
      <c r="D11" s="17">
        <v>0.22902940564869101</v>
      </c>
      <c r="E11" s="17">
        <v>0.24284960071199499</v>
      </c>
      <c r="F11" s="17"/>
      <c r="G11" s="17">
        <v>0.26028382545318701</v>
      </c>
      <c r="H11" s="17">
        <v>0.23618727590638799</v>
      </c>
      <c r="I11" s="17">
        <v>0.207909706593599</v>
      </c>
      <c r="J11" s="17">
        <v>0.219775281252959</v>
      </c>
      <c r="K11" s="17"/>
      <c r="L11" s="17">
        <v>0.278232125611446</v>
      </c>
      <c r="M11" s="17">
        <v>0.208050842216185</v>
      </c>
      <c r="N11" s="17">
        <v>0.19228469858717201</v>
      </c>
      <c r="O11" s="17">
        <v>0.267392805431099</v>
      </c>
    </row>
    <row r="12" spans="2:15" x14ac:dyDescent="0.3">
      <c r="B12" s="18" t="s">
        <v>335</v>
      </c>
      <c r="C12" s="17">
        <v>0.234226374000952</v>
      </c>
      <c r="D12" s="17">
        <v>0.22003118069816799</v>
      </c>
      <c r="E12" s="17">
        <v>0.24717062042426399</v>
      </c>
      <c r="F12" s="17"/>
      <c r="G12" s="17">
        <v>0.25695422501998699</v>
      </c>
      <c r="H12" s="17">
        <v>0.21556698729691401</v>
      </c>
      <c r="I12" s="17">
        <v>0.22924221160337599</v>
      </c>
      <c r="J12" s="17">
        <v>0.232228756358204</v>
      </c>
      <c r="K12" s="17"/>
      <c r="L12" s="17">
        <v>0.22874382922561401</v>
      </c>
      <c r="M12" s="17">
        <v>0.20487633822881299</v>
      </c>
      <c r="N12" s="17">
        <v>0.25712155304419299</v>
      </c>
      <c r="O12" s="17">
        <v>0.246479331476746</v>
      </c>
    </row>
    <row r="13" spans="2:15" x14ac:dyDescent="0.3">
      <c r="B13" s="18" t="s">
        <v>349</v>
      </c>
      <c r="C13" s="17">
        <v>0.172774462986623</v>
      </c>
      <c r="D13" s="17">
        <v>0.17215415438210499</v>
      </c>
      <c r="E13" s="17">
        <v>0.174653120991278</v>
      </c>
      <c r="F13" s="17"/>
      <c r="G13" s="17">
        <v>0.188602201272458</v>
      </c>
      <c r="H13" s="17">
        <v>0.13835249711331199</v>
      </c>
      <c r="I13" s="17">
        <v>0.18513895727496099</v>
      </c>
      <c r="J13" s="17">
        <v>0.18132788498262201</v>
      </c>
      <c r="K13" s="17"/>
      <c r="L13" s="17">
        <v>0.21785806083662601</v>
      </c>
      <c r="M13" s="17">
        <v>0.20997573744283801</v>
      </c>
      <c r="N13" s="17">
        <v>0.16167391742748599</v>
      </c>
      <c r="O13" s="17">
        <v>9.9696903334909298E-2</v>
      </c>
    </row>
    <row r="14" spans="2:15" x14ac:dyDescent="0.3">
      <c r="B14" s="18" t="s">
        <v>350</v>
      </c>
      <c r="C14" s="19">
        <v>2.8972260502276699E-2</v>
      </c>
      <c r="D14" s="19">
        <v>2.8026095413100902E-2</v>
      </c>
      <c r="E14" s="19">
        <v>3.0128477821687E-2</v>
      </c>
      <c r="F14" s="19"/>
      <c r="G14" s="19">
        <v>3.6798281301490501E-2</v>
      </c>
      <c r="H14" s="19">
        <v>3.9998275333172101E-2</v>
      </c>
      <c r="I14" s="19">
        <v>8.8802646243490296E-3</v>
      </c>
      <c r="J14" s="19">
        <v>2.4837795556014099E-2</v>
      </c>
      <c r="K14" s="19"/>
      <c r="L14" s="19">
        <v>2.64072050352064E-2</v>
      </c>
      <c r="M14" s="19">
        <v>4.3534105651816301E-3</v>
      </c>
      <c r="N14" s="19">
        <v>3.9727011438674201E-2</v>
      </c>
      <c r="O14" s="19">
        <v>4.6370250114518501E-2</v>
      </c>
    </row>
    <row r="15" spans="2:15" x14ac:dyDescent="0.3">
      <c r="B15" s="16"/>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360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348</v>
      </c>
      <c r="C9" s="17">
        <v>0.13142798774377801</v>
      </c>
      <c r="D9" s="17">
        <v>0.11530149639899499</v>
      </c>
      <c r="E9" s="17">
        <v>0.14414827114968701</v>
      </c>
      <c r="F9" s="17"/>
      <c r="G9" s="17">
        <v>7.59425124510026E-2</v>
      </c>
      <c r="H9" s="17">
        <v>0.14868927459026099</v>
      </c>
      <c r="I9" s="17">
        <v>0.18733520784374899</v>
      </c>
      <c r="J9" s="17">
        <v>0.13407656210417801</v>
      </c>
      <c r="K9" s="17"/>
      <c r="L9" s="17">
        <v>7.11275400152971E-2</v>
      </c>
      <c r="M9" s="17">
        <v>0.16286373784055699</v>
      </c>
      <c r="N9" s="17">
        <v>0.14441915910323899</v>
      </c>
      <c r="O9" s="17">
        <v>0.143837420183279</v>
      </c>
    </row>
    <row r="10" spans="2:15" x14ac:dyDescent="0.3">
      <c r="B10" s="18" t="s">
        <v>333</v>
      </c>
      <c r="C10" s="17">
        <v>9.6792707943359493E-2</v>
      </c>
      <c r="D10" s="17">
        <v>8.5776711656329496E-2</v>
      </c>
      <c r="E10" s="17">
        <v>0.108501524387808</v>
      </c>
      <c r="F10" s="17"/>
      <c r="G10" s="17">
        <v>9.3663493663506098E-2</v>
      </c>
      <c r="H10" s="17">
        <v>9.9248533220654397E-2</v>
      </c>
      <c r="I10" s="17">
        <v>5.4404307337395097E-2</v>
      </c>
      <c r="J10" s="17">
        <v>0.137529071081331</v>
      </c>
      <c r="K10" s="17"/>
      <c r="L10" s="17">
        <v>8.2887176305861204E-2</v>
      </c>
      <c r="M10" s="17">
        <v>8.0113330063060498E-2</v>
      </c>
      <c r="N10" s="17">
        <v>9.0555648597527599E-2</v>
      </c>
      <c r="O10" s="17">
        <v>0.13539802098583101</v>
      </c>
    </row>
    <row r="11" spans="2:15" x14ac:dyDescent="0.3">
      <c r="B11" s="18" t="s">
        <v>334</v>
      </c>
      <c r="C11" s="17">
        <v>0.218654457699127</v>
      </c>
      <c r="D11" s="17">
        <v>0.19866142915098201</v>
      </c>
      <c r="E11" s="17">
        <v>0.24021813172294701</v>
      </c>
      <c r="F11" s="17"/>
      <c r="G11" s="17">
        <v>0.18072516261373101</v>
      </c>
      <c r="H11" s="17">
        <v>0.18023346114469799</v>
      </c>
      <c r="I11" s="17">
        <v>0.224832760454519</v>
      </c>
      <c r="J11" s="17">
        <v>0.30772328145445799</v>
      </c>
      <c r="K11" s="17"/>
      <c r="L11" s="17">
        <v>0.27678601336450898</v>
      </c>
      <c r="M11" s="17">
        <v>0.205400898106429</v>
      </c>
      <c r="N11" s="17">
        <v>0.17207953452076699</v>
      </c>
      <c r="O11" s="17">
        <v>0.225236685947903</v>
      </c>
    </row>
    <row r="12" spans="2:15" x14ac:dyDescent="0.3">
      <c r="B12" s="18" t="s">
        <v>335</v>
      </c>
      <c r="C12" s="17">
        <v>0.23200795745064001</v>
      </c>
      <c r="D12" s="17">
        <v>0.24665446339444499</v>
      </c>
      <c r="E12" s="17">
        <v>0.216127157239279</v>
      </c>
      <c r="F12" s="17"/>
      <c r="G12" s="17">
        <v>0.339475435632905</v>
      </c>
      <c r="H12" s="17">
        <v>0.23417897019134201</v>
      </c>
      <c r="I12" s="17">
        <v>0.178007595169278</v>
      </c>
      <c r="J12" s="17">
        <v>0.14079005045503901</v>
      </c>
      <c r="K12" s="17"/>
      <c r="L12" s="17">
        <v>0.27314140190527803</v>
      </c>
      <c r="M12" s="17">
        <v>0.20954981740871401</v>
      </c>
      <c r="N12" s="17">
        <v>0.22659775786679301</v>
      </c>
      <c r="O12" s="17">
        <v>0.22089507683269799</v>
      </c>
    </row>
    <row r="13" spans="2:15" x14ac:dyDescent="0.3">
      <c r="B13" s="18" t="s">
        <v>349</v>
      </c>
      <c r="C13" s="17">
        <v>0.27117028117525099</v>
      </c>
      <c r="D13" s="17">
        <v>0.31158934374291303</v>
      </c>
      <c r="E13" s="17">
        <v>0.23277330401631899</v>
      </c>
      <c r="F13" s="17"/>
      <c r="G13" s="17">
        <v>0.28150862604854499</v>
      </c>
      <c r="H13" s="17">
        <v>0.26238461264776403</v>
      </c>
      <c r="I13" s="17">
        <v>0.355420129195059</v>
      </c>
      <c r="J13" s="17">
        <v>0.19295132386536601</v>
      </c>
      <c r="K13" s="17"/>
      <c r="L13" s="17">
        <v>0.242017870340757</v>
      </c>
      <c r="M13" s="17">
        <v>0.31658681642536102</v>
      </c>
      <c r="N13" s="17">
        <v>0.314555683390635</v>
      </c>
      <c r="O13" s="17">
        <v>0.20446465774977701</v>
      </c>
    </row>
    <row r="14" spans="2:15" x14ac:dyDescent="0.3">
      <c r="B14" s="18" t="s">
        <v>350</v>
      </c>
      <c r="C14" s="19">
        <v>4.9946607987843901E-2</v>
      </c>
      <c r="D14" s="19">
        <v>4.2016555656335802E-2</v>
      </c>
      <c r="E14" s="19">
        <v>5.8231611483961103E-2</v>
      </c>
      <c r="F14" s="19"/>
      <c r="G14" s="19">
        <v>2.8684769590310199E-2</v>
      </c>
      <c r="H14" s="19">
        <v>7.5265148205280297E-2</v>
      </c>
      <c r="I14" s="19">
        <v>0</v>
      </c>
      <c r="J14" s="19">
        <v>8.6929711039628793E-2</v>
      </c>
      <c r="K14" s="19"/>
      <c r="L14" s="19">
        <v>5.40399980682984E-2</v>
      </c>
      <c r="M14" s="19">
        <v>2.54854001558792E-2</v>
      </c>
      <c r="N14" s="19">
        <v>5.1792216521037798E-2</v>
      </c>
      <c r="O14" s="19">
        <v>7.0168138300512495E-2</v>
      </c>
    </row>
    <row r="15" spans="2:15" x14ac:dyDescent="0.3">
      <c r="B15" s="16"/>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361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348</v>
      </c>
      <c r="C9" s="17">
        <v>0.17991807712529401</v>
      </c>
      <c r="D9" s="17">
        <v>0.17570879831658401</v>
      </c>
      <c r="E9" s="17">
        <v>0.181088069210293</v>
      </c>
      <c r="F9" s="17"/>
      <c r="G9" s="17">
        <v>0.113201493045957</v>
      </c>
      <c r="H9" s="17">
        <v>0.23518865099435099</v>
      </c>
      <c r="I9" s="17">
        <v>0.16347575938487399</v>
      </c>
      <c r="J9" s="17">
        <v>0.220455555383546</v>
      </c>
      <c r="K9" s="17"/>
      <c r="L9" s="17">
        <v>0.118043915443949</v>
      </c>
      <c r="M9" s="17">
        <v>0.21510409196934199</v>
      </c>
      <c r="N9" s="17">
        <v>0.16039610719151201</v>
      </c>
      <c r="O9" s="17">
        <v>0.225089417539031</v>
      </c>
    </row>
    <row r="10" spans="2:15" x14ac:dyDescent="0.3">
      <c r="B10" s="18" t="s">
        <v>333</v>
      </c>
      <c r="C10" s="17">
        <v>0.14588416183261599</v>
      </c>
      <c r="D10" s="17">
        <v>0.13224793432528401</v>
      </c>
      <c r="E10" s="17">
        <v>0.16056797093684799</v>
      </c>
      <c r="F10" s="17"/>
      <c r="G10" s="17">
        <v>0.14606997403882599</v>
      </c>
      <c r="H10" s="17">
        <v>0.13979184025138799</v>
      </c>
      <c r="I10" s="17">
        <v>0.13884710828295299</v>
      </c>
      <c r="J10" s="17">
        <v>0.160135822294588</v>
      </c>
      <c r="K10" s="17"/>
      <c r="L10" s="17">
        <v>9.5141560686030205E-2</v>
      </c>
      <c r="M10" s="17">
        <v>0.145444392630423</v>
      </c>
      <c r="N10" s="17">
        <v>0.172041023285324</v>
      </c>
      <c r="O10" s="17">
        <v>0.16876324812294699</v>
      </c>
    </row>
    <row r="11" spans="2:15" x14ac:dyDescent="0.3">
      <c r="B11" s="18" t="s">
        <v>334</v>
      </c>
      <c r="C11" s="17">
        <v>0.24179949903078701</v>
      </c>
      <c r="D11" s="17">
        <v>0.262251020601318</v>
      </c>
      <c r="E11" s="17">
        <v>0.223133308899229</v>
      </c>
      <c r="F11" s="17"/>
      <c r="G11" s="17">
        <v>0.22556114527472701</v>
      </c>
      <c r="H11" s="17">
        <v>0.174306142208417</v>
      </c>
      <c r="I11" s="17">
        <v>0.31072226780846601</v>
      </c>
      <c r="J11" s="17">
        <v>0.27062448688677598</v>
      </c>
      <c r="K11" s="17"/>
      <c r="L11" s="17">
        <v>0.32730140222703902</v>
      </c>
      <c r="M11" s="17">
        <v>0.236547011897598</v>
      </c>
      <c r="N11" s="17">
        <v>0.208091776557185</v>
      </c>
      <c r="O11" s="17">
        <v>0.198464698006033</v>
      </c>
    </row>
    <row r="12" spans="2:15" x14ac:dyDescent="0.3">
      <c r="B12" s="18" t="s">
        <v>335</v>
      </c>
      <c r="C12" s="17">
        <v>0.210780128477315</v>
      </c>
      <c r="D12" s="17">
        <v>0.217645566234766</v>
      </c>
      <c r="E12" s="17">
        <v>0.20251684935889999</v>
      </c>
      <c r="F12" s="17"/>
      <c r="G12" s="17">
        <v>0.28367088294918202</v>
      </c>
      <c r="H12" s="17">
        <v>0.18222644077529901</v>
      </c>
      <c r="I12" s="17">
        <v>0.177794683450063</v>
      </c>
      <c r="J12" s="17">
        <v>0.18009024803352999</v>
      </c>
      <c r="K12" s="17"/>
      <c r="L12" s="17">
        <v>0.236163229694688</v>
      </c>
      <c r="M12" s="17">
        <v>0.200878128425694</v>
      </c>
      <c r="N12" s="17">
        <v>0.231337289245932</v>
      </c>
      <c r="O12" s="17">
        <v>0.173778921331291</v>
      </c>
    </row>
    <row r="13" spans="2:15" x14ac:dyDescent="0.3">
      <c r="B13" s="18" t="s">
        <v>349</v>
      </c>
      <c r="C13" s="17">
        <v>0.122425252383891</v>
      </c>
      <c r="D13" s="17">
        <v>0.1215954838341</v>
      </c>
      <c r="E13" s="17">
        <v>0.124146223382159</v>
      </c>
      <c r="F13" s="17"/>
      <c r="G13" s="17">
        <v>0.114091637021474</v>
      </c>
      <c r="H13" s="17">
        <v>0.14267727169258301</v>
      </c>
      <c r="I13" s="17">
        <v>0.149345330559079</v>
      </c>
      <c r="J13" s="17">
        <v>8.6690933190172306E-2</v>
      </c>
      <c r="K13" s="17"/>
      <c r="L13" s="17">
        <v>0.14513607651323099</v>
      </c>
      <c r="M13" s="17">
        <v>0.13506891496454401</v>
      </c>
      <c r="N13" s="17">
        <v>0.101758023892905</v>
      </c>
      <c r="O13" s="17">
        <v>0.108502409979995</v>
      </c>
    </row>
    <row r="14" spans="2:15" x14ac:dyDescent="0.3">
      <c r="B14" s="18" t="s">
        <v>350</v>
      </c>
      <c r="C14" s="19">
        <v>9.9192881150097001E-2</v>
      </c>
      <c r="D14" s="19">
        <v>9.0551196687947894E-2</v>
      </c>
      <c r="E14" s="19">
        <v>0.10854757821257099</v>
      </c>
      <c r="F14" s="19"/>
      <c r="G14" s="19">
        <v>0.117404867669834</v>
      </c>
      <c r="H14" s="19">
        <v>0.12580965407796199</v>
      </c>
      <c r="I14" s="19">
        <v>5.98148505145654E-2</v>
      </c>
      <c r="J14" s="19">
        <v>8.2002954211386703E-2</v>
      </c>
      <c r="K14" s="19"/>
      <c r="L14" s="19">
        <v>7.8213815435062894E-2</v>
      </c>
      <c r="M14" s="19">
        <v>6.69574601123991E-2</v>
      </c>
      <c r="N14" s="19">
        <v>0.12637577982714299</v>
      </c>
      <c r="O14" s="19">
        <v>0.12540130502070401</v>
      </c>
    </row>
    <row r="15" spans="2:15" x14ac:dyDescent="0.3">
      <c r="B15" s="16"/>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362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348</v>
      </c>
      <c r="C9" s="17">
        <v>0.138328407848537</v>
      </c>
      <c r="D9" s="17">
        <v>0.15868829162144399</v>
      </c>
      <c r="E9" s="17">
        <v>0.11899972881179099</v>
      </c>
      <c r="F9" s="17"/>
      <c r="G9" s="17">
        <v>9.0084218056652204E-2</v>
      </c>
      <c r="H9" s="17">
        <v>0.167851722245832</v>
      </c>
      <c r="I9" s="17">
        <v>0.163184659018839</v>
      </c>
      <c r="J9" s="17">
        <v>0.146026703732103</v>
      </c>
      <c r="K9" s="17"/>
      <c r="L9" s="17">
        <v>9.8116433031745706E-2</v>
      </c>
      <c r="M9" s="17">
        <v>0.18812131265038901</v>
      </c>
      <c r="N9" s="17">
        <v>0.120611424175426</v>
      </c>
      <c r="O9" s="17">
        <v>0.144168687084964</v>
      </c>
    </row>
    <row r="10" spans="2:15" x14ac:dyDescent="0.3">
      <c r="B10" s="18" t="s">
        <v>333</v>
      </c>
      <c r="C10" s="17">
        <v>8.6429011024388103E-2</v>
      </c>
      <c r="D10" s="17">
        <v>8.5402871062261895E-2</v>
      </c>
      <c r="E10" s="17">
        <v>8.8083815429044601E-2</v>
      </c>
      <c r="F10" s="17"/>
      <c r="G10" s="17">
        <v>8.8887127523732096E-2</v>
      </c>
      <c r="H10" s="17">
        <v>8.4042644102947303E-2</v>
      </c>
      <c r="I10" s="17">
        <v>0.109115730272591</v>
      </c>
      <c r="J10" s="17">
        <v>6.5920004568881599E-2</v>
      </c>
      <c r="K10" s="17"/>
      <c r="L10" s="17">
        <v>5.8068391327725698E-2</v>
      </c>
      <c r="M10" s="17">
        <v>9.9331792868691801E-2</v>
      </c>
      <c r="N10" s="17">
        <v>7.0383126397026902E-2</v>
      </c>
      <c r="O10" s="17">
        <v>0.11829240708333499</v>
      </c>
    </row>
    <row r="11" spans="2:15" x14ac:dyDescent="0.3">
      <c r="B11" s="18" t="s">
        <v>334</v>
      </c>
      <c r="C11" s="17">
        <v>0.21570306413963899</v>
      </c>
      <c r="D11" s="17">
        <v>0.21957168300091201</v>
      </c>
      <c r="E11" s="17">
        <v>0.21341073518374701</v>
      </c>
      <c r="F11" s="17"/>
      <c r="G11" s="17">
        <v>0.18298011045388499</v>
      </c>
      <c r="H11" s="17">
        <v>0.174493707699649</v>
      </c>
      <c r="I11" s="17">
        <v>0.27735096953604299</v>
      </c>
      <c r="J11" s="17">
        <v>0.25051604594705001</v>
      </c>
      <c r="K11" s="17"/>
      <c r="L11" s="17">
        <v>0.229882609847186</v>
      </c>
      <c r="M11" s="17">
        <v>0.167177255078721</v>
      </c>
      <c r="N11" s="17">
        <v>0.26003716202502303</v>
      </c>
      <c r="O11" s="17">
        <v>0.20569691910664301</v>
      </c>
    </row>
    <row r="12" spans="2:15" x14ac:dyDescent="0.3">
      <c r="B12" s="18" t="s">
        <v>335</v>
      </c>
      <c r="C12" s="17">
        <v>0.20275836500392999</v>
      </c>
      <c r="D12" s="17">
        <v>0.17549264725528099</v>
      </c>
      <c r="E12" s="17">
        <v>0.22852894691270501</v>
      </c>
      <c r="F12" s="17"/>
      <c r="G12" s="17">
        <v>0.26840059180137898</v>
      </c>
      <c r="H12" s="17">
        <v>0.17180189810490201</v>
      </c>
      <c r="I12" s="17">
        <v>0.171072728924411</v>
      </c>
      <c r="J12" s="17">
        <v>0.18298001677437201</v>
      </c>
      <c r="K12" s="17"/>
      <c r="L12" s="17">
        <v>0.21222617278193601</v>
      </c>
      <c r="M12" s="17">
        <v>0.23460358738898399</v>
      </c>
      <c r="N12" s="17">
        <v>0.180355666975654</v>
      </c>
      <c r="O12" s="17">
        <v>0.18330240752415</v>
      </c>
    </row>
    <row r="13" spans="2:15" x14ac:dyDescent="0.3">
      <c r="B13" s="18" t="s">
        <v>349</v>
      </c>
      <c r="C13" s="17">
        <v>0.194160591381351</v>
      </c>
      <c r="D13" s="17">
        <v>0.20899560157167901</v>
      </c>
      <c r="E13" s="17">
        <v>0.18075736374781101</v>
      </c>
      <c r="F13" s="17"/>
      <c r="G13" s="17">
        <v>0.233585687530311</v>
      </c>
      <c r="H13" s="17">
        <v>0.17609677590716499</v>
      </c>
      <c r="I13" s="17">
        <v>0.16495110077375999</v>
      </c>
      <c r="J13" s="17">
        <v>0.18361305787913401</v>
      </c>
      <c r="K13" s="17"/>
      <c r="L13" s="17">
        <v>0.213034810989739</v>
      </c>
      <c r="M13" s="17">
        <v>0.20050704647342599</v>
      </c>
      <c r="N13" s="17">
        <v>0.20835213233879801</v>
      </c>
      <c r="O13" s="17">
        <v>0.15308495525789101</v>
      </c>
    </row>
    <row r="14" spans="2:15" x14ac:dyDescent="0.3">
      <c r="B14" s="18" t="s">
        <v>350</v>
      </c>
      <c r="C14" s="19">
        <v>0.16262056060215499</v>
      </c>
      <c r="D14" s="19">
        <v>0.151848905488422</v>
      </c>
      <c r="E14" s="19">
        <v>0.170219409914902</v>
      </c>
      <c r="F14" s="19"/>
      <c r="G14" s="19">
        <v>0.136062264634041</v>
      </c>
      <c r="H14" s="19">
        <v>0.22571325193950501</v>
      </c>
      <c r="I14" s="19">
        <v>0.114324811474356</v>
      </c>
      <c r="J14" s="19">
        <v>0.17094417109846</v>
      </c>
      <c r="K14" s="19"/>
      <c r="L14" s="19">
        <v>0.18867158202166801</v>
      </c>
      <c r="M14" s="19">
        <v>0.110259005539789</v>
      </c>
      <c r="N14" s="19">
        <v>0.160260488088073</v>
      </c>
      <c r="O14" s="19">
        <v>0.19545462394301799</v>
      </c>
    </row>
    <row r="15" spans="2:15" x14ac:dyDescent="0.3">
      <c r="B15" s="16"/>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363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348</v>
      </c>
      <c r="C9" s="17">
        <v>0.150580599329355</v>
      </c>
      <c r="D9" s="17">
        <v>0.17859634340404201</v>
      </c>
      <c r="E9" s="17">
        <v>0.11934844691822501</v>
      </c>
      <c r="F9" s="17"/>
      <c r="G9" s="17">
        <v>0.106987647068747</v>
      </c>
      <c r="H9" s="17">
        <v>0.163428086235297</v>
      </c>
      <c r="I9" s="17">
        <v>0.22035765870559901</v>
      </c>
      <c r="J9" s="17">
        <v>0.13025442329742101</v>
      </c>
      <c r="K9" s="17"/>
      <c r="L9" s="17">
        <v>5.8748129196262898E-2</v>
      </c>
      <c r="M9" s="17">
        <v>0.19684014755454099</v>
      </c>
      <c r="N9" s="17">
        <v>0.16411267969555399</v>
      </c>
      <c r="O9" s="17">
        <v>0.177989256278032</v>
      </c>
    </row>
    <row r="10" spans="2:15" x14ac:dyDescent="0.3">
      <c r="B10" s="18" t="s">
        <v>333</v>
      </c>
      <c r="C10" s="17">
        <v>0.164936678391816</v>
      </c>
      <c r="D10" s="17">
        <v>0.160976220478006</v>
      </c>
      <c r="E10" s="17">
        <v>0.17009456886468399</v>
      </c>
      <c r="F10" s="17"/>
      <c r="G10" s="17">
        <v>0.17320632445810399</v>
      </c>
      <c r="H10" s="17">
        <v>0.11556784151982601</v>
      </c>
      <c r="I10" s="17">
        <v>0.213552899216923</v>
      </c>
      <c r="J10" s="17">
        <v>0.167146312176159</v>
      </c>
      <c r="K10" s="17"/>
      <c r="L10" s="17">
        <v>0.18189943498747399</v>
      </c>
      <c r="M10" s="17">
        <v>0.176355239421781</v>
      </c>
      <c r="N10" s="17">
        <v>0.14727878782993201</v>
      </c>
      <c r="O10" s="17">
        <v>0.15481969970596199</v>
      </c>
    </row>
    <row r="11" spans="2:15" x14ac:dyDescent="0.3">
      <c r="B11" s="18" t="s">
        <v>334</v>
      </c>
      <c r="C11" s="17">
        <v>0.28912001030473</v>
      </c>
      <c r="D11" s="17">
        <v>0.273856386508809</v>
      </c>
      <c r="E11" s="17">
        <v>0.30647316309266898</v>
      </c>
      <c r="F11" s="17"/>
      <c r="G11" s="17">
        <v>0.26350163040543501</v>
      </c>
      <c r="H11" s="17">
        <v>0.27472225144265899</v>
      </c>
      <c r="I11" s="17">
        <v>0.30227906747208899</v>
      </c>
      <c r="J11" s="17">
        <v>0.32115712576876898</v>
      </c>
      <c r="K11" s="17"/>
      <c r="L11" s="17">
        <v>0.267971102155726</v>
      </c>
      <c r="M11" s="17">
        <v>0.27468677497021998</v>
      </c>
      <c r="N11" s="17">
        <v>0.28823248564387199</v>
      </c>
      <c r="O11" s="17">
        <v>0.32675706575678698</v>
      </c>
    </row>
    <row r="12" spans="2:15" x14ac:dyDescent="0.3">
      <c r="B12" s="18" t="s">
        <v>335</v>
      </c>
      <c r="C12" s="17">
        <v>0.22882078245338699</v>
      </c>
      <c r="D12" s="17">
        <v>0.23677043217018501</v>
      </c>
      <c r="E12" s="17">
        <v>0.21960599232485301</v>
      </c>
      <c r="F12" s="17"/>
      <c r="G12" s="17">
        <v>0.30332359039053097</v>
      </c>
      <c r="H12" s="17">
        <v>0.256158633512727</v>
      </c>
      <c r="I12" s="17">
        <v>9.12266934429211E-2</v>
      </c>
      <c r="J12" s="17">
        <v>0.228206017410547</v>
      </c>
      <c r="K12" s="17"/>
      <c r="L12" s="17">
        <v>0.280242905797495</v>
      </c>
      <c r="M12" s="17">
        <v>0.20977156677967501</v>
      </c>
      <c r="N12" s="17">
        <v>0.222786134595896</v>
      </c>
      <c r="O12" s="17">
        <v>0.20442853236146399</v>
      </c>
    </row>
    <row r="13" spans="2:15" x14ac:dyDescent="0.3">
      <c r="B13" s="18" t="s">
        <v>349</v>
      </c>
      <c r="C13" s="17">
        <v>0.12995136846029101</v>
      </c>
      <c r="D13" s="17">
        <v>0.118172034331179</v>
      </c>
      <c r="E13" s="17">
        <v>0.14266429046880499</v>
      </c>
      <c r="F13" s="17"/>
      <c r="G13" s="17">
        <v>0.13097200492504099</v>
      </c>
      <c r="H13" s="17">
        <v>0.127068895318485</v>
      </c>
      <c r="I13" s="17">
        <v>0.152240048321406</v>
      </c>
      <c r="J13" s="17">
        <v>0.112584815606288</v>
      </c>
      <c r="K13" s="17"/>
      <c r="L13" s="17">
        <v>0.15994492382305001</v>
      </c>
      <c r="M13" s="17">
        <v>0.13826789230072201</v>
      </c>
      <c r="N13" s="17">
        <v>0.12564585020996299</v>
      </c>
      <c r="O13" s="17">
        <v>9.5675561010075502E-2</v>
      </c>
    </row>
    <row r="14" spans="2:15" x14ac:dyDescent="0.3">
      <c r="B14" s="18" t="s">
        <v>350</v>
      </c>
      <c r="C14" s="19">
        <v>3.6590561060421002E-2</v>
      </c>
      <c r="D14" s="19">
        <v>3.1628583107779197E-2</v>
      </c>
      <c r="E14" s="19">
        <v>4.1813538330763803E-2</v>
      </c>
      <c r="F14" s="19"/>
      <c r="G14" s="19">
        <v>2.20088027521421E-2</v>
      </c>
      <c r="H14" s="19">
        <v>6.3054291971005094E-2</v>
      </c>
      <c r="I14" s="19">
        <v>2.03436328410623E-2</v>
      </c>
      <c r="J14" s="19">
        <v>4.06513057408159E-2</v>
      </c>
      <c r="K14" s="19"/>
      <c r="L14" s="19">
        <v>5.1193504039992802E-2</v>
      </c>
      <c r="M14" s="19">
        <v>4.0783789730608304E-3</v>
      </c>
      <c r="N14" s="19">
        <v>5.1944062024782002E-2</v>
      </c>
      <c r="O14" s="19">
        <v>4.0329884887679003E-2</v>
      </c>
    </row>
    <row r="15" spans="2:15" x14ac:dyDescent="0.3">
      <c r="B15" s="16"/>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O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364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348</v>
      </c>
      <c r="C9" s="17">
        <v>4.6719806459097402E-2</v>
      </c>
      <c r="D9" s="17">
        <v>2.2996210463373901E-2</v>
      </c>
      <c r="E9" s="17">
        <v>7.0756867630344403E-2</v>
      </c>
      <c r="F9" s="17"/>
      <c r="G9" s="17">
        <v>1.7328751116420401E-2</v>
      </c>
      <c r="H9" s="17">
        <v>7.5245395308772001E-2</v>
      </c>
      <c r="I9" s="17">
        <v>2.9220352105046098E-2</v>
      </c>
      <c r="J9" s="17">
        <v>6.8938832519377893E-2</v>
      </c>
      <c r="K9" s="17"/>
      <c r="L9" s="17">
        <v>2.9830691696567001E-2</v>
      </c>
      <c r="M9" s="17">
        <v>5.5244627832873101E-2</v>
      </c>
      <c r="N9" s="17">
        <v>5.4567179294629398E-2</v>
      </c>
      <c r="O9" s="17">
        <v>4.5936959474982199E-2</v>
      </c>
    </row>
    <row r="10" spans="2:15" x14ac:dyDescent="0.3">
      <c r="B10" s="18" t="s">
        <v>333</v>
      </c>
      <c r="C10" s="17">
        <v>6.3088632789122703E-2</v>
      </c>
      <c r="D10" s="17">
        <v>4.7435290089828101E-2</v>
      </c>
      <c r="E10" s="17">
        <v>7.9183907924931296E-2</v>
      </c>
      <c r="F10" s="17"/>
      <c r="G10" s="17">
        <v>5.6688862253201598E-2</v>
      </c>
      <c r="H10" s="17">
        <v>4.94383562804721E-2</v>
      </c>
      <c r="I10" s="17">
        <v>5.7834211916220901E-2</v>
      </c>
      <c r="J10" s="17">
        <v>9.2206151292361205E-2</v>
      </c>
      <c r="K10" s="17"/>
      <c r="L10" s="17">
        <v>6.8130942539178799E-2</v>
      </c>
      <c r="M10" s="17">
        <v>7.6743408035499103E-2</v>
      </c>
      <c r="N10" s="17">
        <v>4.3209092917943601E-2</v>
      </c>
      <c r="O10" s="17">
        <v>6.4893263316287295E-2</v>
      </c>
    </row>
    <row r="11" spans="2:15" x14ac:dyDescent="0.3">
      <c r="B11" s="18" t="s">
        <v>334</v>
      </c>
      <c r="C11" s="17">
        <v>0.26352969855067199</v>
      </c>
      <c r="D11" s="17">
        <v>0.22566676764718999</v>
      </c>
      <c r="E11" s="17">
        <v>0.29892434939267898</v>
      </c>
      <c r="F11" s="17"/>
      <c r="G11" s="17">
        <v>0.21025382843231899</v>
      </c>
      <c r="H11" s="17">
        <v>0.30917936106786997</v>
      </c>
      <c r="I11" s="17">
        <v>0.28530515355523001</v>
      </c>
      <c r="J11" s="17">
        <v>0.263278882059307</v>
      </c>
      <c r="K11" s="17"/>
      <c r="L11" s="17">
        <v>0.25198352600290203</v>
      </c>
      <c r="M11" s="17">
        <v>0.19360350903010101</v>
      </c>
      <c r="N11" s="17">
        <v>0.26530834591132302</v>
      </c>
      <c r="O11" s="17">
        <v>0.34837263124501699</v>
      </c>
    </row>
    <row r="12" spans="2:15" x14ac:dyDescent="0.3">
      <c r="B12" s="18" t="s">
        <v>335</v>
      </c>
      <c r="C12" s="17">
        <v>0.29306403876493597</v>
      </c>
      <c r="D12" s="17">
        <v>0.28601084662980703</v>
      </c>
      <c r="E12" s="17">
        <v>0.29930317718713301</v>
      </c>
      <c r="F12" s="17"/>
      <c r="G12" s="17">
        <v>0.37687018676266598</v>
      </c>
      <c r="H12" s="17">
        <v>0.244400396877785</v>
      </c>
      <c r="I12" s="17">
        <v>0.241539004479919</v>
      </c>
      <c r="J12" s="17">
        <v>0.28856268933038098</v>
      </c>
      <c r="K12" s="17"/>
      <c r="L12" s="17">
        <v>0.25672756455378398</v>
      </c>
      <c r="M12" s="17">
        <v>0.32303965211777502</v>
      </c>
      <c r="N12" s="17">
        <v>0.32468362548566199</v>
      </c>
      <c r="O12" s="17">
        <v>0.26289946754300297</v>
      </c>
    </row>
    <row r="13" spans="2:15" x14ac:dyDescent="0.3">
      <c r="B13" s="18" t="s">
        <v>349</v>
      </c>
      <c r="C13" s="17">
        <v>0.32306088655456699</v>
      </c>
      <c r="D13" s="17">
        <v>0.40867643062478298</v>
      </c>
      <c r="E13" s="17">
        <v>0.23989699792257599</v>
      </c>
      <c r="F13" s="17"/>
      <c r="G13" s="17">
        <v>0.325264335643351</v>
      </c>
      <c r="H13" s="17">
        <v>0.29687523278434602</v>
      </c>
      <c r="I13" s="17">
        <v>0.38610127794358401</v>
      </c>
      <c r="J13" s="17">
        <v>0.28701344479857299</v>
      </c>
      <c r="K13" s="17"/>
      <c r="L13" s="17">
        <v>0.37410949463518101</v>
      </c>
      <c r="M13" s="17">
        <v>0.351368802983752</v>
      </c>
      <c r="N13" s="17">
        <v>0.30315681101258801</v>
      </c>
      <c r="O13" s="17">
        <v>0.263122571425153</v>
      </c>
    </row>
    <row r="14" spans="2:15" x14ac:dyDescent="0.3">
      <c r="B14" s="18" t="s">
        <v>350</v>
      </c>
      <c r="C14" s="19">
        <v>1.05369368816059E-2</v>
      </c>
      <c r="D14" s="19">
        <v>9.2144545450177605E-3</v>
      </c>
      <c r="E14" s="19">
        <v>1.19346999423358E-2</v>
      </c>
      <c r="F14" s="19"/>
      <c r="G14" s="19">
        <v>1.3594035792041799E-2</v>
      </c>
      <c r="H14" s="19">
        <v>2.4861257680755099E-2</v>
      </c>
      <c r="I14" s="19">
        <v>0</v>
      </c>
      <c r="J14" s="19">
        <v>0</v>
      </c>
      <c r="K14" s="19"/>
      <c r="L14" s="19">
        <v>1.9217780572387301E-2</v>
      </c>
      <c r="M14" s="19">
        <v>0</v>
      </c>
      <c r="N14" s="19">
        <v>9.0749453778527396E-3</v>
      </c>
      <c r="O14" s="19">
        <v>1.47751069955574E-2</v>
      </c>
    </row>
    <row r="15" spans="2:15" x14ac:dyDescent="0.3">
      <c r="B15" s="16"/>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0" t="s">
        <v>366</v>
      </c>
      <c r="E2" s="26"/>
      <c r="F2" s="26"/>
      <c r="G2" s="26"/>
      <c r="H2" s="26"/>
      <c r="I2" s="26"/>
    </row>
    <row r="6" spans="2:9" ht="49.95" customHeight="1" x14ac:dyDescent="0.3">
      <c r="B6" s="20" t="s">
        <v>14</v>
      </c>
      <c r="C6" s="20" t="s">
        <v>342</v>
      </c>
      <c r="D6" s="20" t="s">
        <v>343</v>
      </c>
      <c r="E6" s="20" t="s">
        <v>365</v>
      </c>
      <c r="F6" s="20" t="s">
        <v>345</v>
      </c>
      <c r="G6" s="20" t="s">
        <v>346</v>
      </c>
      <c r="H6" s="20" t="s">
        <v>347</v>
      </c>
    </row>
    <row r="7" spans="2:9" x14ac:dyDescent="0.3">
      <c r="B7" s="18" t="s">
        <v>348</v>
      </c>
      <c r="C7" s="17">
        <v>5.0132258085797E-2</v>
      </c>
      <c r="D7" s="17">
        <v>6.5905453677702494E-2</v>
      </c>
      <c r="E7" s="17">
        <v>0.123801702995743</v>
      </c>
      <c r="F7" s="17">
        <v>0.168585444789527</v>
      </c>
      <c r="G7" s="17">
        <v>4.0021688359829097E-2</v>
      </c>
      <c r="H7" s="17">
        <v>5.0057325777318203E-2</v>
      </c>
    </row>
    <row r="8" spans="2:9" x14ac:dyDescent="0.3">
      <c r="B8" s="18" t="s">
        <v>333</v>
      </c>
      <c r="C8" s="17">
        <v>7.9721005316796101E-2</v>
      </c>
      <c r="D8" s="17">
        <v>4.78552511956181E-2</v>
      </c>
      <c r="E8" s="17">
        <v>0.14142198136506001</v>
      </c>
      <c r="F8" s="17">
        <v>0.12574765986524</v>
      </c>
      <c r="G8" s="17">
        <v>9.7483827830505604E-2</v>
      </c>
      <c r="H8" s="17">
        <v>9.3548239337267303E-2</v>
      </c>
    </row>
    <row r="9" spans="2:9" x14ac:dyDescent="0.3">
      <c r="B9" s="18" t="s">
        <v>334</v>
      </c>
      <c r="C9" s="17">
        <v>0.26315022129662002</v>
      </c>
      <c r="D9" s="17">
        <v>0.24116378964501101</v>
      </c>
      <c r="E9" s="17">
        <v>0.334267096135967</v>
      </c>
      <c r="F9" s="17">
        <v>0.32613029356998902</v>
      </c>
      <c r="G9" s="17">
        <v>0.28791655226135898</v>
      </c>
      <c r="H9" s="17">
        <v>0.35538695204375098</v>
      </c>
    </row>
    <row r="10" spans="2:9" x14ac:dyDescent="0.3">
      <c r="B10" s="18" t="s">
        <v>335</v>
      </c>
      <c r="C10" s="17">
        <v>0.29416207057488503</v>
      </c>
      <c r="D10" s="17">
        <v>0.28394803062151402</v>
      </c>
      <c r="E10" s="17">
        <v>0.24068605278673699</v>
      </c>
      <c r="F10" s="17">
        <v>0.21198084485024499</v>
      </c>
      <c r="G10" s="17">
        <v>0.34495584970165599</v>
      </c>
      <c r="H10" s="17">
        <v>0.29456202298849998</v>
      </c>
    </row>
    <row r="11" spans="2:9" x14ac:dyDescent="0.3">
      <c r="B11" s="18" t="s">
        <v>349</v>
      </c>
      <c r="C11" s="17">
        <v>0.31283444472590199</v>
      </c>
      <c r="D11" s="17">
        <v>0.36112747486015501</v>
      </c>
      <c r="E11" s="17">
        <v>0.15982316671649299</v>
      </c>
      <c r="F11" s="17">
        <v>0.16755575692499899</v>
      </c>
      <c r="G11" s="17">
        <v>0.22962208184665001</v>
      </c>
      <c r="H11" s="17">
        <v>0.20644545985316301</v>
      </c>
    </row>
    <row r="12" spans="2:9" x14ac:dyDescent="0.3">
      <c r="B12" s="16"/>
      <c r="C12" s="16"/>
      <c r="D12" s="16"/>
      <c r="E12" s="16"/>
      <c r="F12" s="16"/>
      <c r="G12" s="16"/>
      <c r="H12" s="16"/>
    </row>
    <row r="13" spans="2:9" x14ac:dyDescent="0.3">
      <c r="B13" t="s">
        <v>47</v>
      </c>
    </row>
    <row r="14" spans="2:9" x14ac:dyDescent="0.3">
      <c r="B14" t="s">
        <v>48</v>
      </c>
    </row>
    <row r="18" spans="2:2" x14ac:dyDescent="0.3">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367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348</v>
      </c>
      <c r="C9" s="17">
        <v>5.0132258085797E-2</v>
      </c>
      <c r="D9" s="17">
        <v>4.1651166009659603E-2</v>
      </c>
      <c r="E9" s="17">
        <v>5.8969027184712502E-2</v>
      </c>
      <c r="F9" s="17"/>
      <c r="G9" s="17">
        <v>3.8583982170179602E-2</v>
      </c>
      <c r="H9" s="17">
        <v>4.2627675439790499E-2</v>
      </c>
      <c r="I9" s="17">
        <v>5.2885567732975598E-2</v>
      </c>
      <c r="J9" s="17">
        <v>7.1565230365281202E-2</v>
      </c>
      <c r="K9" s="17"/>
      <c r="L9" s="17">
        <v>2.68080098728018E-2</v>
      </c>
      <c r="M9" s="17">
        <v>5.6634409224270002E-2</v>
      </c>
      <c r="N9" s="17">
        <v>4.2703692039852997E-2</v>
      </c>
      <c r="O9" s="17">
        <v>7.4509381169298602E-2</v>
      </c>
    </row>
    <row r="10" spans="2:15" x14ac:dyDescent="0.3">
      <c r="B10" s="18" t="s">
        <v>333</v>
      </c>
      <c r="C10" s="17">
        <v>7.9721005316796101E-2</v>
      </c>
      <c r="D10" s="17">
        <v>7.90971260330562E-2</v>
      </c>
      <c r="E10" s="17">
        <v>8.0925123682602101E-2</v>
      </c>
      <c r="F10" s="17"/>
      <c r="G10" s="17">
        <v>3.7778654081739499E-2</v>
      </c>
      <c r="H10" s="17">
        <v>0.148496239152032</v>
      </c>
      <c r="I10" s="17">
        <v>7.5226219937026606E-2</v>
      </c>
      <c r="J10" s="17">
        <v>6.0988617883320197E-2</v>
      </c>
      <c r="K10" s="17"/>
      <c r="L10" s="17">
        <v>5.2458464156561697E-2</v>
      </c>
      <c r="M10" s="17">
        <v>4.3060313471296498E-2</v>
      </c>
      <c r="N10" s="17">
        <v>0.10076016154799899</v>
      </c>
      <c r="O10" s="17">
        <v>0.123629144211871</v>
      </c>
    </row>
    <row r="11" spans="2:15" x14ac:dyDescent="0.3">
      <c r="B11" s="18" t="s">
        <v>334</v>
      </c>
      <c r="C11" s="17">
        <v>0.26315022129662002</v>
      </c>
      <c r="D11" s="17">
        <v>0.26273148394476298</v>
      </c>
      <c r="E11" s="17">
        <v>0.26114052079314898</v>
      </c>
      <c r="F11" s="17"/>
      <c r="G11" s="17">
        <v>0.242136129086782</v>
      </c>
      <c r="H11" s="17">
        <v>0.219617169685591</v>
      </c>
      <c r="I11" s="17">
        <v>0.32683049714513501</v>
      </c>
      <c r="J11" s="17">
        <v>0.28388245891305203</v>
      </c>
      <c r="K11" s="17"/>
      <c r="L11" s="17">
        <v>0.243582352656707</v>
      </c>
      <c r="M11" s="17">
        <v>0.31328232235528802</v>
      </c>
      <c r="N11" s="17">
        <v>0.24079123243561201</v>
      </c>
      <c r="O11" s="17">
        <v>0.25301034036678499</v>
      </c>
    </row>
    <row r="12" spans="2:15" x14ac:dyDescent="0.3">
      <c r="B12" s="18" t="s">
        <v>335</v>
      </c>
      <c r="C12" s="17">
        <v>0.29416207057488503</v>
      </c>
      <c r="D12" s="17">
        <v>0.29546442010692398</v>
      </c>
      <c r="E12" s="17">
        <v>0.29206317672041399</v>
      </c>
      <c r="F12" s="17"/>
      <c r="G12" s="17">
        <v>0.35044556366907897</v>
      </c>
      <c r="H12" s="17">
        <v>0.32198133470600399</v>
      </c>
      <c r="I12" s="17">
        <v>0.235679855466155</v>
      </c>
      <c r="J12" s="17">
        <v>0.24503611144255999</v>
      </c>
      <c r="K12" s="17"/>
      <c r="L12" s="17">
        <v>0.36042351272675199</v>
      </c>
      <c r="M12" s="17">
        <v>0.31971295634557101</v>
      </c>
      <c r="N12" s="17">
        <v>0.29614715103075401</v>
      </c>
      <c r="O12" s="17">
        <v>0.198263565660693</v>
      </c>
    </row>
    <row r="13" spans="2:15" x14ac:dyDescent="0.3">
      <c r="B13" s="18" t="s">
        <v>349</v>
      </c>
      <c r="C13" s="19">
        <v>0.31283444472590199</v>
      </c>
      <c r="D13" s="19">
        <v>0.32105580390559801</v>
      </c>
      <c r="E13" s="19">
        <v>0.30690215161912199</v>
      </c>
      <c r="F13" s="19"/>
      <c r="G13" s="19">
        <v>0.33105567099222</v>
      </c>
      <c r="H13" s="19">
        <v>0.267277581016583</v>
      </c>
      <c r="I13" s="19">
        <v>0.30937785971870801</v>
      </c>
      <c r="J13" s="19">
        <v>0.33852758139578598</v>
      </c>
      <c r="K13" s="19"/>
      <c r="L13" s="19">
        <v>0.31672766058717799</v>
      </c>
      <c r="M13" s="19">
        <v>0.26730999860357502</v>
      </c>
      <c r="N13" s="19">
        <v>0.31959776294578202</v>
      </c>
      <c r="O13" s="19">
        <v>0.35058756859135198</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368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348</v>
      </c>
      <c r="C9" s="17">
        <v>6.5905453677702494E-2</v>
      </c>
      <c r="D9" s="17">
        <v>5.91162880372419E-2</v>
      </c>
      <c r="E9" s="17">
        <v>7.3167165209747503E-2</v>
      </c>
      <c r="F9" s="17"/>
      <c r="G9" s="17">
        <v>1.6184296160406699E-2</v>
      </c>
      <c r="H9" s="17">
        <v>8.0144104803994906E-2</v>
      </c>
      <c r="I9" s="17">
        <v>5.9682313239597801E-2</v>
      </c>
      <c r="J9" s="17">
        <v>0.120661634971058</v>
      </c>
      <c r="K9" s="17"/>
      <c r="L9" s="17">
        <v>4.6808593644333797E-2</v>
      </c>
      <c r="M9" s="17">
        <v>7.8117630756078499E-2</v>
      </c>
      <c r="N9" s="17">
        <v>5.7518022079050997E-2</v>
      </c>
      <c r="O9" s="17">
        <v>8.0951355934387695E-2</v>
      </c>
    </row>
    <row r="10" spans="2:15" x14ac:dyDescent="0.3">
      <c r="B10" s="18" t="s">
        <v>333</v>
      </c>
      <c r="C10" s="17">
        <v>4.78552511956181E-2</v>
      </c>
      <c r="D10" s="17">
        <v>4.24542899052026E-2</v>
      </c>
      <c r="E10" s="17">
        <v>5.3598801196019903E-2</v>
      </c>
      <c r="F10" s="17"/>
      <c r="G10" s="17">
        <v>3.1409391158317999E-2</v>
      </c>
      <c r="H10" s="17">
        <v>6.4875404372034304E-2</v>
      </c>
      <c r="I10" s="17">
        <v>4.5055137304462797E-2</v>
      </c>
      <c r="J10" s="17">
        <v>5.2878190783967098E-2</v>
      </c>
      <c r="K10" s="17"/>
      <c r="L10" s="17">
        <v>2.2894810428911901E-2</v>
      </c>
      <c r="M10" s="17">
        <v>4.2605288543682E-2</v>
      </c>
      <c r="N10" s="17">
        <v>5.1305799710459198E-2</v>
      </c>
      <c r="O10" s="17">
        <v>7.4725284833177599E-2</v>
      </c>
    </row>
    <row r="11" spans="2:15" x14ac:dyDescent="0.3">
      <c r="B11" s="18" t="s">
        <v>334</v>
      </c>
      <c r="C11" s="17">
        <v>0.24116378964501101</v>
      </c>
      <c r="D11" s="17">
        <v>0.23490633732577601</v>
      </c>
      <c r="E11" s="17">
        <v>0.24482593906228101</v>
      </c>
      <c r="F11" s="17"/>
      <c r="G11" s="17">
        <v>0.18363217310368901</v>
      </c>
      <c r="H11" s="17">
        <v>0.20378365575607499</v>
      </c>
      <c r="I11" s="17">
        <v>0.27716772387646299</v>
      </c>
      <c r="J11" s="17">
        <v>0.327524729018565</v>
      </c>
      <c r="K11" s="17"/>
      <c r="L11" s="17">
        <v>0.216923964639755</v>
      </c>
      <c r="M11" s="17">
        <v>0.24471647893880599</v>
      </c>
      <c r="N11" s="17">
        <v>0.26776342737241898</v>
      </c>
      <c r="O11" s="17">
        <v>0.23276550802346299</v>
      </c>
    </row>
    <row r="12" spans="2:15" x14ac:dyDescent="0.3">
      <c r="B12" s="18" t="s">
        <v>335</v>
      </c>
      <c r="C12" s="17">
        <v>0.28394803062151402</v>
      </c>
      <c r="D12" s="17">
        <v>0.26653770396580101</v>
      </c>
      <c r="E12" s="17">
        <v>0.30046608736247299</v>
      </c>
      <c r="F12" s="17"/>
      <c r="G12" s="17">
        <v>0.33445662591575798</v>
      </c>
      <c r="H12" s="17">
        <v>0.30836146736470399</v>
      </c>
      <c r="I12" s="17">
        <v>0.25465530411966097</v>
      </c>
      <c r="J12" s="17">
        <v>0.219484895294907</v>
      </c>
      <c r="K12" s="17"/>
      <c r="L12" s="17">
        <v>0.35807725982877803</v>
      </c>
      <c r="M12" s="17">
        <v>0.29384609044383497</v>
      </c>
      <c r="N12" s="17">
        <v>0.22610876100066399</v>
      </c>
      <c r="O12" s="17">
        <v>0.26183009733100698</v>
      </c>
    </row>
    <row r="13" spans="2:15" x14ac:dyDescent="0.3">
      <c r="B13" s="18" t="s">
        <v>349</v>
      </c>
      <c r="C13" s="19">
        <v>0.36112747486015501</v>
      </c>
      <c r="D13" s="19">
        <v>0.396985380765979</v>
      </c>
      <c r="E13" s="19">
        <v>0.32794200716947902</v>
      </c>
      <c r="F13" s="19"/>
      <c r="G13" s="19">
        <v>0.43431751366182902</v>
      </c>
      <c r="H13" s="19">
        <v>0.34283536770319201</v>
      </c>
      <c r="I13" s="19">
        <v>0.36343952145981501</v>
      </c>
      <c r="J13" s="19">
        <v>0.27945054993150298</v>
      </c>
      <c r="K13" s="19"/>
      <c r="L13" s="19">
        <v>0.35529537145822199</v>
      </c>
      <c r="M13" s="19">
        <v>0.340714511317599</v>
      </c>
      <c r="N13" s="19">
        <v>0.397303989837407</v>
      </c>
      <c r="O13" s="19">
        <v>0.34972775387796501</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369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348</v>
      </c>
      <c r="C9" s="17">
        <v>0.123801702995743</v>
      </c>
      <c r="D9" s="17">
        <v>0.112019307205172</v>
      </c>
      <c r="E9" s="17">
        <v>0.13647286887058499</v>
      </c>
      <c r="F9" s="17"/>
      <c r="G9" s="17">
        <v>8.6343573662795797E-2</v>
      </c>
      <c r="H9" s="17">
        <v>0.14994281909689799</v>
      </c>
      <c r="I9" s="17">
        <v>8.3746490292955902E-2</v>
      </c>
      <c r="J9" s="17">
        <v>0.172490513980493</v>
      </c>
      <c r="K9" s="17"/>
      <c r="L9" s="17">
        <v>4.6265743301981403E-2</v>
      </c>
      <c r="M9" s="17">
        <v>0.131567999303845</v>
      </c>
      <c r="N9" s="17">
        <v>0.146135627709295</v>
      </c>
      <c r="O9" s="17">
        <v>0.16878792549413599</v>
      </c>
    </row>
    <row r="10" spans="2:15" x14ac:dyDescent="0.3">
      <c r="B10" s="18" t="s">
        <v>333</v>
      </c>
      <c r="C10" s="17">
        <v>0.14142198136506001</v>
      </c>
      <c r="D10" s="17">
        <v>0.16065644360512499</v>
      </c>
      <c r="E10" s="17">
        <v>0.1232399869745</v>
      </c>
      <c r="F10" s="17"/>
      <c r="G10" s="17">
        <v>0.111337300918345</v>
      </c>
      <c r="H10" s="17">
        <v>0.13674752500314599</v>
      </c>
      <c r="I10" s="17">
        <v>0.18646837147598599</v>
      </c>
      <c r="J10" s="17">
        <v>0.14589691952310699</v>
      </c>
      <c r="K10" s="17"/>
      <c r="L10" s="17">
        <v>0.11501944922327401</v>
      </c>
      <c r="M10" s="17">
        <v>0.14152848596831799</v>
      </c>
      <c r="N10" s="17">
        <v>0.14740988092636501</v>
      </c>
      <c r="O10" s="17">
        <v>0.161223049181624</v>
      </c>
    </row>
    <row r="11" spans="2:15" x14ac:dyDescent="0.3">
      <c r="B11" s="18" t="s">
        <v>334</v>
      </c>
      <c r="C11" s="17">
        <v>0.334267096135967</v>
      </c>
      <c r="D11" s="17">
        <v>0.28120689078677202</v>
      </c>
      <c r="E11" s="17">
        <v>0.38535721148028501</v>
      </c>
      <c r="F11" s="17"/>
      <c r="G11" s="17">
        <v>0.33345779796719899</v>
      </c>
      <c r="H11" s="17">
        <v>0.34448909790251803</v>
      </c>
      <c r="I11" s="17">
        <v>0.344148134668531</v>
      </c>
      <c r="J11" s="17">
        <v>0.31735293866395697</v>
      </c>
      <c r="K11" s="17"/>
      <c r="L11" s="17">
        <v>0.32910954407918402</v>
      </c>
      <c r="M11" s="17">
        <v>0.350218692307672</v>
      </c>
      <c r="N11" s="17">
        <v>0.31844559046669801</v>
      </c>
      <c r="O11" s="17">
        <v>0.33940456224065602</v>
      </c>
    </row>
    <row r="12" spans="2:15" x14ac:dyDescent="0.3">
      <c r="B12" s="18" t="s">
        <v>335</v>
      </c>
      <c r="C12" s="17">
        <v>0.24068605278673699</v>
      </c>
      <c r="D12" s="17">
        <v>0.26595231194167301</v>
      </c>
      <c r="E12" s="17">
        <v>0.214260823206955</v>
      </c>
      <c r="F12" s="17"/>
      <c r="G12" s="17">
        <v>0.308241314065967</v>
      </c>
      <c r="H12" s="17">
        <v>0.22704936509467499</v>
      </c>
      <c r="I12" s="17">
        <v>0.21749284572230199</v>
      </c>
      <c r="J12" s="17">
        <v>0.19131144185736701</v>
      </c>
      <c r="K12" s="17"/>
      <c r="L12" s="17">
        <v>0.30571577481130802</v>
      </c>
      <c r="M12" s="17">
        <v>0.26744166924644802</v>
      </c>
      <c r="N12" s="17">
        <v>0.24736270634042601</v>
      </c>
      <c r="O12" s="17">
        <v>0.13964073231173901</v>
      </c>
    </row>
    <row r="13" spans="2:15" x14ac:dyDescent="0.3">
      <c r="B13" s="18" t="s">
        <v>349</v>
      </c>
      <c r="C13" s="19">
        <v>0.15982316671649299</v>
      </c>
      <c r="D13" s="19">
        <v>0.180165046461258</v>
      </c>
      <c r="E13" s="19">
        <v>0.140669109467675</v>
      </c>
      <c r="F13" s="19"/>
      <c r="G13" s="19">
        <v>0.16062001338569301</v>
      </c>
      <c r="H13" s="19">
        <v>0.14177119290276299</v>
      </c>
      <c r="I13" s="19">
        <v>0.16814415784022499</v>
      </c>
      <c r="J13" s="19">
        <v>0.172948185975076</v>
      </c>
      <c r="K13" s="19"/>
      <c r="L13" s="19">
        <v>0.20388948858425299</v>
      </c>
      <c r="M13" s="19">
        <v>0.10924315317371699</v>
      </c>
      <c r="N13" s="19">
        <v>0.140646194557216</v>
      </c>
      <c r="O13" s="19">
        <v>0.19094373077184501</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370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348</v>
      </c>
      <c r="C9" s="17">
        <v>0.168585444789527</v>
      </c>
      <c r="D9" s="17">
        <v>0.21004939168280001</v>
      </c>
      <c r="E9" s="17">
        <v>0.12839720822860501</v>
      </c>
      <c r="F9" s="17"/>
      <c r="G9" s="17">
        <v>0.10503205906127799</v>
      </c>
      <c r="H9" s="17">
        <v>0.20383169415097299</v>
      </c>
      <c r="I9" s="17">
        <v>0.20625700019666099</v>
      </c>
      <c r="J9" s="17">
        <v>0.17825905978166401</v>
      </c>
      <c r="K9" s="17"/>
      <c r="L9" s="17">
        <v>0.10780450727093099</v>
      </c>
      <c r="M9" s="17">
        <v>0.221473414205476</v>
      </c>
      <c r="N9" s="17">
        <v>0.15760353953988401</v>
      </c>
      <c r="O9" s="17">
        <v>0.184368812562927</v>
      </c>
    </row>
    <row r="10" spans="2:15" x14ac:dyDescent="0.3">
      <c r="B10" s="18" t="s">
        <v>333</v>
      </c>
      <c r="C10" s="17">
        <v>0.12574765986524</v>
      </c>
      <c r="D10" s="17">
        <v>0.125668814248873</v>
      </c>
      <c r="E10" s="17">
        <v>0.12674277370279299</v>
      </c>
      <c r="F10" s="17"/>
      <c r="G10" s="17">
        <v>9.5654012113622205E-2</v>
      </c>
      <c r="H10" s="17">
        <v>0.15833740823234599</v>
      </c>
      <c r="I10" s="17">
        <v>9.9371529781608597E-2</v>
      </c>
      <c r="J10" s="17">
        <v>0.145064453621772</v>
      </c>
      <c r="K10" s="17"/>
      <c r="L10" s="17">
        <v>0.12627825826511899</v>
      </c>
      <c r="M10" s="17">
        <v>8.7049258048158301E-2</v>
      </c>
      <c r="N10" s="17">
        <v>0.10932692821753601</v>
      </c>
      <c r="O10" s="17">
        <v>0.184636286341476</v>
      </c>
    </row>
    <row r="11" spans="2:15" x14ac:dyDescent="0.3">
      <c r="B11" s="18" t="s">
        <v>334</v>
      </c>
      <c r="C11" s="17">
        <v>0.32613029356998902</v>
      </c>
      <c r="D11" s="17">
        <v>0.29557137998389099</v>
      </c>
      <c r="E11" s="17">
        <v>0.35903103587329199</v>
      </c>
      <c r="F11" s="17"/>
      <c r="G11" s="17">
        <v>0.320083221021286</v>
      </c>
      <c r="H11" s="17">
        <v>0.30319919065737899</v>
      </c>
      <c r="I11" s="17">
        <v>0.355268919703427</v>
      </c>
      <c r="J11" s="17">
        <v>0.33602177974123698</v>
      </c>
      <c r="K11" s="17"/>
      <c r="L11" s="17">
        <v>0.33204812037250098</v>
      </c>
      <c r="M11" s="17">
        <v>0.30777265737121301</v>
      </c>
      <c r="N11" s="17">
        <v>0.38723565144904498</v>
      </c>
      <c r="O11" s="17">
        <v>0.27376336194566703</v>
      </c>
    </row>
    <row r="12" spans="2:15" x14ac:dyDescent="0.3">
      <c r="B12" s="18" t="s">
        <v>335</v>
      </c>
      <c r="C12" s="17">
        <v>0.21198084485024499</v>
      </c>
      <c r="D12" s="17">
        <v>0.20666442040517899</v>
      </c>
      <c r="E12" s="17">
        <v>0.21154870646346999</v>
      </c>
      <c r="F12" s="17"/>
      <c r="G12" s="17">
        <v>0.26094972742959099</v>
      </c>
      <c r="H12" s="17">
        <v>0.15668881038257099</v>
      </c>
      <c r="I12" s="17">
        <v>0.21447141292549499</v>
      </c>
      <c r="J12" s="17">
        <v>0.21040777167990901</v>
      </c>
      <c r="K12" s="17"/>
      <c r="L12" s="17">
        <v>0.26560736962679599</v>
      </c>
      <c r="M12" s="17">
        <v>0.231962438330193</v>
      </c>
      <c r="N12" s="17">
        <v>0.16986460975633699</v>
      </c>
      <c r="O12" s="17">
        <v>0.18248489086366601</v>
      </c>
    </row>
    <row r="13" spans="2:15" x14ac:dyDescent="0.3">
      <c r="B13" s="18" t="s">
        <v>349</v>
      </c>
      <c r="C13" s="19">
        <v>0.16755575692499899</v>
      </c>
      <c r="D13" s="19">
        <v>0.16204599367925601</v>
      </c>
      <c r="E13" s="19">
        <v>0.17428027573183999</v>
      </c>
      <c r="F13" s="19"/>
      <c r="G13" s="19">
        <v>0.218280980374223</v>
      </c>
      <c r="H13" s="19">
        <v>0.17794289657672899</v>
      </c>
      <c r="I13" s="19">
        <v>0.124631137392809</v>
      </c>
      <c r="J13" s="19">
        <v>0.13024693517541699</v>
      </c>
      <c r="K13" s="19"/>
      <c r="L13" s="19">
        <v>0.168261744464652</v>
      </c>
      <c r="M13" s="19">
        <v>0.15174223204496001</v>
      </c>
      <c r="N13" s="19">
        <v>0.17596927103719701</v>
      </c>
      <c r="O13" s="19">
        <v>0.17474664828626399</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371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348</v>
      </c>
      <c r="C9" s="17">
        <v>4.0021688359829097E-2</v>
      </c>
      <c r="D9" s="17">
        <v>4.4888674284159498E-2</v>
      </c>
      <c r="E9" s="17">
        <v>3.5451889654932602E-2</v>
      </c>
      <c r="F9" s="17"/>
      <c r="G9" s="17">
        <v>1.9172931588444901E-2</v>
      </c>
      <c r="H9" s="17">
        <v>5.3380438863916399E-2</v>
      </c>
      <c r="I9" s="17">
        <v>4.20608023212653E-2</v>
      </c>
      <c r="J9" s="17">
        <v>5.0452380213610898E-2</v>
      </c>
      <c r="K9" s="17"/>
      <c r="L9" s="17">
        <v>1.01581573497193E-2</v>
      </c>
      <c r="M9" s="17">
        <v>3.2281995593837598E-2</v>
      </c>
      <c r="N9" s="17">
        <v>4.0267500025397703E-2</v>
      </c>
      <c r="O9" s="17">
        <v>7.7944956525957607E-2</v>
      </c>
    </row>
    <row r="10" spans="2:15" x14ac:dyDescent="0.3">
      <c r="B10" s="18" t="s">
        <v>333</v>
      </c>
      <c r="C10" s="17">
        <v>9.7483827830505604E-2</v>
      </c>
      <c r="D10" s="17">
        <v>0.103401243211202</v>
      </c>
      <c r="E10" s="17">
        <v>9.2283537433764204E-2</v>
      </c>
      <c r="F10" s="17"/>
      <c r="G10" s="17">
        <v>0.10008289287788499</v>
      </c>
      <c r="H10" s="17">
        <v>6.6861045735174804E-2</v>
      </c>
      <c r="I10" s="17">
        <v>0.14335015864859699</v>
      </c>
      <c r="J10" s="17">
        <v>8.7772630141764799E-2</v>
      </c>
      <c r="K10" s="17"/>
      <c r="L10" s="17">
        <v>6.8434623517700605E-2</v>
      </c>
      <c r="M10" s="17">
        <v>0.111111980661197</v>
      </c>
      <c r="N10" s="17">
        <v>9.3323527605938705E-2</v>
      </c>
      <c r="O10" s="17">
        <v>0.11637943540206</v>
      </c>
    </row>
    <row r="11" spans="2:15" x14ac:dyDescent="0.3">
      <c r="B11" s="18" t="s">
        <v>334</v>
      </c>
      <c r="C11" s="17">
        <v>0.28791655226135898</v>
      </c>
      <c r="D11" s="17">
        <v>0.26024927955131699</v>
      </c>
      <c r="E11" s="17">
        <v>0.31765046998171098</v>
      </c>
      <c r="F11" s="17"/>
      <c r="G11" s="17">
        <v>0.20847931793840699</v>
      </c>
      <c r="H11" s="17">
        <v>0.33152481129653999</v>
      </c>
      <c r="I11" s="17">
        <v>0.30147890509825798</v>
      </c>
      <c r="J11" s="17">
        <v>0.331721491346606</v>
      </c>
      <c r="K11" s="17"/>
      <c r="L11" s="17">
        <v>0.26010774521089403</v>
      </c>
      <c r="M11" s="17">
        <v>0.31910383895980399</v>
      </c>
      <c r="N11" s="17">
        <v>0.29219161457599102</v>
      </c>
      <c r="O11" s="17">
        <v>0.27754408187113</v>
      </c>
    </row>
    <row r="12" spans="2:15" x14ac:dyDescent="0.3">
      <c r="B12" s="18" t="s">
        <v>335</v>
      </c>
      <c r="C12" s="17">
        <v>0.34495584970165599</v>
      </c>
      <c r="D12" s="17">
        <v>0.35860198814516098</v>
      </c>
      <c r="E12" s="17">
        <v>0.326551751431294</v>
      </c>
      <c r="F12" s="17"/>
      <c r="G12" s="17">
        <v>0.42444513787652499</v>
      </c>
      <c r="H12" s="17">
        <v>0.30392065974253102</v>
      </c>
      <c r="I12" s="17">
        <v>0.33503487158830098</v>
      </c>
      <c r="J12" s="17">
        <v>0.29192786902624901</v>
      </c>
      <c r="K12" s="17"/>
      <c r="L12" s="17">
        <v>0.37080462637428502</v>
      </c>
      <c r="M12" s="17">
        <v>0.34043157369711602</v>
      </c>
      <c r="N12" s="17">
        <v>0.356786052465832</v>
      </c>
      <c r="O12" s="17">
        <v>0.31115804422120602</v>
      </c>
    </row>
    <row r="13" spans="2:15" x14ac:dyDescent="0.3">
      <c r="B13" s="18" t="s">
        <v>349</v>
      </c>
      <c r="C13" s="19">
        <v>0.22962208184665001</v>
      </c>
      <c r="D13" s="19">
        <v>0.23285881480816001</v>
      </c>
      <c r="E13" s="19">
        <v>0.22806235149829801</v>
      </c>
      <c r="F13" s="19"/>
      <c r="G13" s="19">
        <v>0.24781971971873801</v>
      </c>
      <c r="H13" s="19">
        <v>0.24431304436183701</v>
      </c>
      <c r="I13" s="19">
        <v>0.17807526234357901</v>
      </c>
      <c r="J13" s="19">
        <v>0.238125629271769</v>
      </c>
      <c r="K13" s="19"/>
      <c r="L13" s="19">
        <v>0.29049484754740101</v>
      </c>
      <c r="M13" s="19">
        <v>0.19707061108804599</v>
      </c>
      <c r="N13" s="19">
        <v>0.21743130532684099</v>
      </c>
      <c r="O13" s="19">
        <v>0.216973481979647</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372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348</v>
      </c>
      <c r="C9" s="17">
        <v>5.0057325777318203E-2</v>
      </c>
      <c r="D9" s="17">
        <v>3.7086071006216602E-2</v>
      </c>
      <c r="E9" s="17">
        <v>6.3378602184949603E-2</v>
      </c>
      <c r="F9" s="17"/>
      <c r="G9" s="17">
        <v>2.8495864475448E-2</v>
      </c>
      <c r="H9" s="17">
        <v>5.1555790978036198E-2</v>
      </c>
      <c r="I9" s="17">
        <v>4.2171045508348097E-2</v>
      </c>
      <c r="J9" s="17">
        <v>8.4013862086645505E-2</v>
      </c>
      <c r="K9" s="17"/>
      <c r="L9" s="17">
        <v>1.2669113803955899E-2</v>
      </c>
      <c r="M9" s="17">
        <v>7.5702592983183103E-2</v>
      </c>
      <c r="N9" s="17">
        <v>4.8188311194196601E-2</v>
      </c>
      <c r="O9" s="17">
        <v>6.1882213070025699E-2</v>
      </c>
    </row>
    <row r="10" spans="2:15" x14ac:dyDescent="0.3">
      <c r="B10" s="18" t="s">
        <v>333</v>
      </c>
      <c r="C10" s="17">
        <v>9.3548239337267303E-2</v>
      </c>
      <c r="D10" s="17">
        <v>9.4575211459468497E-2</v>
      </c>
      <c r="E10" s="17">
        <v>9.3204147667261705E-2</v>
      </c>
      <c r="F10" s="17"/>
      <c r="G10" s="17">
        <v>8.4895728497491899E-2</v>
      </c>
      <c r="H10" s="17">
        <v>9.8044174444322701E-2</v>
      </c>
      <c r="I10" s="17">
        <v>0.109562295275992</v>
      </c>
      <c r="J10" s="17">
        <v>8.5835013946382904E-2</v>
      </c>
      <c r="K10" s="17"/>
      <c r="L10" s="17">
        <v>8.0635023647085705E-2</v>
      </c>
      <c r="M10" s="17">
        <v>8.4324480703061797E-2</v>
      </c>
      <c r="N10" s="17">
        <v>7.8203789373740396E-2</v>
      </c>
      <c r="O10" s="17">
        <v>0.13300713738230899</v>
      </c>
    </row>
    <row r="11" spans="2:15" x14ac:dyDescent="0.3">
      <c r="B11" s="18" t="s">
        <v>334</v>
      </c>
      <c r="C11" s="17">
        <v>0.35538695204375098</v>
      </c>
      <c r="D11" s="17">
        <v>0.30821615307577099</v>
      </c>
      <c r="E11" s="17">
        <v>0.40509387850050399</v>
      </c>
      <c r="F11" s="17"/>
      <c r="G11" s="17">
        <v>0.249405253431533</v>
      </c>
      <c r="H11" s="17">
        <v>0.37572310133182601</v>
      </c>
      <c r="I11" s="17">
        <v>0.40593310629599899</v>
      </c>
      <c r="J11" s="17">
        <v>0.42693775590841099</v>
      </c>
      <c r="K11" s="17"/>
      <c r="L11" s="17">
        <v>0.34748609063656699</v>
      </c>
      <c r="M11" s="17">
        <v>0.32337191931231102</v>
      </c>
      <c r="N11" s="17">
        <v>0.35644515265312998</v>
      </c>
      <c r="O11" s="17">
        <v>0.39658184345641601</v>
      </c>
    </row>
    <row r="12" spans="2:15" x14ac:dyDescent="0.3">
      <c r="B12" s="18" t="s">
        <v>335</v>
      </c>
      <c r="C12" s="17">
        <v>0.29456202298849998</v>
      </c>
      <c r="D12" s="17">
        <v>0.303170266718016</v>
      </c>
      <c r="E12" s="17">
        <v>0.28082285309861799</v>
      </c>
      <c r="F12" s="17"/>
      <c r="G12" s="17">
        <v>0.38687809943111801</v>
      </c>
      <c r="H12" s="17">
        <v>0.28723455832892603</v>
      </c>
      <c r="I12" s="17">
        <v>0.23546183074806801</v>
      </c>
      <c r="J12" s="17">
        <v>0.23899489404433499</v>
      </c>
      <c r="K12" s="17"/>
      <c r="L12" s="17">
        <v>0.384855016240718</v>
      </c>
      <c r="M12" s="17">
        <v>0.31888064546948403</v>
      </c>
      <c r="N12" s="17">
        <v>0.25513628390696702</v>
      </c>
      <c r="O12" s="17">
        <v>0.22081930470870401</v>
      </c>
    </row>
    <row r="13" spans="2:15" x14ac:dyDescent="0.3">
      <c r="B13" s="18" t="s">
        <v>349</v>
      </c>
      <c r="C13" s="19">
        <v>0.20644545985316301</v>
      </c>
      <c r="D13" s="19">
        <v>0.25695229774052802</v>
      </c>
      <c r="E13" s="19">
        <v>0.15750051854866701</v>
      </c>
      <c r="F13" s="19"/>
      <c r="G13" s="19">
        <v>0.25032505416440798</v>
      </c>
      <c r="H13" s="19">
        <v>0.187442374916889</v>
      </c>
      <c r="I13" s="19">
        <v>0.206871722171592</v>
      </c>
      <c r="J13" s="19">
        <v>0.16421847401422601</v>
      </c>
      <c r="K13" s="19"/>
      <c r="L13" s="19">
        <v>0.17435475567167399</v>
      </c>
      <c r="M13" s="19">
        <v>0.19772036153195999</v>
      </c>
      <c r="N13" s="19">
        <v>0.26202646287196601</v>
      </c>
      <c r="O13" s="19">
        <v>0.187709501382545</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J19"/>
  <sheetViews>
    <sheetView showGridLines="0" workbookViewId="0">
      <pane xSplit="2" topLeftCell="C1" activePane="topRight" state="frozen"/>
      <selection pane="topRight" activeCell="B13" sqref="B13"/>
    </sheetView>
  </sheetViews>
  <sheetFormatPr defaultColWidth="11.5546875" defaultRowHeight="14.4" x14ac:dyDescent="0.3"/>
  <cols>
    <col min="2" max="2" width="25.6640625" customWidth="1"/>
    <col min="3" max="10" width="20.6640625" customWidth="1"/>
  </cols>
  <sheetData>
    <row r="2" spans="2:10" ht="40.049999999999997" customHeight="1" x14ac:dyDescent="0.3">
      <c r="D2" s="30" t="s">
        <v>385</v>
      </c>
      <c r="E2" s="26"/>
      <c r="F2" s="26"/>
      <c r="G2" s="26"/>
      <c r="H2" s="26"/>
      <c r="I2" s="26"/>
      <c r="J2" s="26"/>
    </row>
    <row r="6" spans="2:10" ht="49.95" customHeight="1" x14ac:dyDescent="0.3">
      <c r="B6" s="20" t="s">
        <v>14</v>
      </c>
      <c r="C6" s="20" t="s">
        <v>373</v>
      </c>
      <c r="D6" s="20" t="s">
        <v>374</v>
      </c>
      <c r="E6" s="20" t="s">
        <v>375</v>
      </c>
      <c r="F6" s="20" t="s">
        <v>376</v>
      </c>
      <c r="G6" s="20" t="s">
        <v>377</v>
      </c>
      <c r="H6" s="20" t="s">
        <v>378</v>
      </c>
      <c r="I6" s="20" t="s">
        <v>379</v>
      </c>
    </row>
    <row r="7" spans="2:10" x14ac:dyDescent="0.3">
      <c r="B7" s="18" t="s">
        <v>380</v>
      </c>
      <c r="C7" s="17">
        <v>4.9479112676239501E-2</v>
      </c>
      <c r="D7" s="17">
        <v>4.9479112676239501E-2</v>
      </c>
      <c r="E7" s="17">
        <v>5.6618467884532897E-2</v>
      </c>
      <c r="F7" s="17">
        <v>0</v>
      </c>
      <c r="G7" s="17">
        <v>4.9479112676239501E-2</v>
      </c>
      <c r="H7" s="17">
        <v>0.26674565787476401</v>
      </c>
      <c r="I7" s="17">
        <v>0</v>
      </c>
    </row>
    <row r="8" spans="2:10" x14ac:dyDescent="0.3">
      <c r="B8" s="18" t="s">
        <v>381</v>
      </c>
      <c r="C8" s="17">
        <v>0.18454758087129</v>
      </c>
      <c r="D8" s="17">
        <v>0.24116604875582301</v>
      </c>
      <c r="E8" s="17">
        <v>0.29740736731571599</v>
      </c>
      <c r="F8" s="17">
        <v>0.39332478349865202</v>
      </c>
      <c r="G8" s="17">
        <v>0.37182902855238797</v>
      </c>
      <c r="H8" s="17">
        <v>0.354926023343001</v>
      </c>
      <c r="I8" s="17">
        <v>0.65389172481195301</v>
      </c>
    </row>
    <row r="9" spans="2:10" x14ac:dyDescent="0.3">
      <c r="B9" s="18" t="s">
        <v>382</v>
      </c>
      <c r="C9" s="17">
        <v>0.45635482933802302</v>
      </c>
      <c r="D9" s="17">
        <v>0.446930077461551</v>
      </c>
      <c r="E9" s="17">
        <v>0.47406536262424398</v>
      </c>
      <c r="F9" s="17">
        <v>0.365518718224082</v>
      </c>
      <c r="G9" s="17">
        <v>0.39300586648762897</v>
      </c>
      <c r="H9" s="17">
        <v>0.323480903910283</v>
      </c>
      <c r="I9" s="17">
        <v>0.21452209149345</v>
      </c>
    </row>
    <row r="10" spans="2:10" x14ac:dyDescent="0.3">
      <c r="B10" s="18" t="s">
        <v>383</v>
      </c>
      <c r="C10" s="17">
        <v>0.30961847711444801</v>
      </c>
      <c r="D10" s="17">
        <v>0.26242476110638602</v>
      </c>
      <c r="E10" s="17">
        <v>0.171908802175508</v>
      </c>
      <c r="F10" s="17">
        <v>0.24115649827726601</v>
      </c>
      <c r="G10" s="17">
        <v>0.185685992283743</v>
      </c>
      <c r="H10" s="17">
        <v>5.4847414871953097E-2</v>
      </c>
      <c r="I10" s="17">
        <v>0.13158618369459599</v>
      </c>
    </row>
    <row r="11" spans="2:10" x14ac:dyDescent="0.3">
      <c r="B11" s="22" t="s">
        <v>142</v>
      </c>
      <c r="C11" s="21">
        <v>0</v>
      </c>
      <c r="D11" s="21">
        <v>0</v>
      </c>
      <c r="E11" s="21">
        <v>0</v>
      </c>
      <c r="F11" s="21">
        <v>0</v>
      </c>
      <c r="G11" s="21">
        <v>0</v>
      </c>
      <c r="H11" s="21">
        <v>0</v>
      </c>
      <c r="I11" s="21">
        <v>0</v>
      </c>
    </row>
    <row r="12" spans="2:10" x14ac:dyDescent="0.3">
      <c r="B12" s="22" t="s">
        <v>384</v>
      </c>
      <c r="C12" s="21">
        <v>0.23402669354753</v>
      </c>
      <c r="D12" s="21">
        <v>0.29064516143206298</v>
      </c>
      <c r="E12" s="21">
        <v>0.354025835200248</v>
      </c>
      <c r="F12" s="21">
        <v>0.39332478349865202</v>
      </c>
      <c r="G12" s="21">
        <v>0.42130814122862797</v>
      </c>
      <c r="H12" s="21">
        <v>0.62167168121776395</v>
      </c>
      <c r="I12" s="21">
        <v>0.65389172481195301</v>
      </c>
    </row>
    <row r="13" spans="2:10" x14ac:dyDescent="0.3">
      <c r="B13" s="24" t="s">
        <v>593</v>
      </c>
      <c r="C13" s="16"/>
      <c r="D13" s="16"/>
      <c r="E13" s="16"/>
      <c r="F13" s="16"/>
      <c r="G13" s="16"/>
      <c r="H13" s="16"/>
      <c r="I13" s="16"/>
    </row>
    <row r="14" spans="2:10" x14ac:dyDescent="0.3">
      <c r="B14" t="s">
        <v>47</v>
      </c>
    </row>
    <row r="15" spans="2:10" x14ac:dyDescent="0.3">
      <c r="B15" t="s">
        <v>48</v>
      </c>
    </row>
    <row r="19" spans="2:2" x14ac:dyDescent="0.3">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O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387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v>
      </c>
      <c r="D7" s="10">
        <v>8</v>
      </c>
      <c r="E7" s="10">
        <v>9</v>
      </c>
      <c r="F7" s="10"/>
      <c r="G7" s="10">
        <v>7</v>
      </c>
      <c r="H7" s="10">
        <v>4</v>
      </c>
      <c r="I7" s="10">
        <v>3</v>
      </c>
      <c r="J7" s="10">
        <v>3</v>
      </c>
      <c r="K7" s="10"/>
      <c r="L7" s="10" t="s">
        <v>255</v>
      </c>
      <c r="M7" s="10">
        <v>6</v>
      </c>
      <c r="N7" s="10">
        <v>7</v>
      </c>
      <c r="O7" s="10">
        <v>4</v>
      </c>
    </row>
    <row r="8" spans="2:15" ht="30" customHeight="1" x14ac:dyDescent="0.3">
      <c r="B8" s="11" t="s">
        <v>19</v>
      </c>
      <c r="C8" s="11">
        <v>17</v>
      </c>
      <c r="D8" s="11">
        <v>8</v>
      </c>
      <c r="E8" s="11">
        <v>9</v>
      </c>
      <c r="F8" s="11"/>
      <c r="G8" s="11">
        <v>7</v>
      </c>
      <c r="H8" s="11">
        <v>3</v>
      </c>
      <c r="I8" s="11">
        <v>3</v>
      </c>
      <c r="J8" s="11">
        <v>4</v>
      </c>
      <c r="K8" s="11"/>
      <c r="L8" s="11" t="s">
        <v>255</v>
      </c>
      <c r="M8" s="11">
        <v>6</v>
      </c>
      <c r="N8" s="11">
        <v>7</v>
      </c>
      <c r="O8" s="11">
        <v>4</v>
      </c>
    </row>
    <row r="9" spans="2:15" x14ac:dyDescent="0.3">
      <c r="B9" s="18" t="s">
        <v>380</v>
      </c>
      <c r="C9" s="17">
        <v>0</v>
      </c>
      <c r="D9" s="17">
        <v>0</v>
      </c>
      <c r="E9" s="17">
        <v>0</v>
      </c>
      <c r="F9" s="17"/>
      <c r="G9" s="17">
        <v>0</v>
      </c>
      <c r="H9" s="17">
        <v>0</v>
      </c>
      <c r="I9" s="17">
        <v>0</v>
      </c>
      <c r="J9" s="17">
        <v>0</v>
      </c>
      <c r="K9" s="17"/>
      <c r="L9" s="17" t="s">
        <v>256</v>
      </c>
      <c r="M9" s="17">
        <v>0</v>
      </c>
      <c r="N9" s="17">
        <v>0</v>
      </c>
      <c r="O9" s="17">
        <v>0</v>
      </c>
    </row>
    <row r="10" spans="2:15" x14ac:dyDescent="0.3">
      <c r="B10" s="18" t="s">
        <v>381</v>
      </c>
      <c r="C10" s="17">
        <v>0.65389172481195301</v>
      </c>
      <c r="D10" s="17">
        <v>0.52008569887771094</v>
      </c>
      <c r="E10" s="17">
        <v>0.77397524223704495</v>
      </c>
      <c r="F10" s="17"/>
      <c r="G10" s="17">
        <v>0.86604903942369105</v>
      </c>
      <c r="H10" s="17">
        <v>0.51354622180855802</v>
      </c>
      <c r="I10" s="17">
        <v>0.34942214525689902</v>
      </c>
      <c r="J10" s="17">
        <v>0.64623182194726503</v>
      </c>
      <c r="K10" s="17"/>
      <c r="L10" s="17" t="s">
        <v>256</v>
      </c>
      <c r="M10" s="17">
        <v>0.44449111304844502</v>
      </c>
      <c r="N10" s="17">
        <v>0.75629451257566005</v>
      </c>
      <c r="O10" s="17">
        <v>0.78839348964242595</v>
      </c>
    </row>
    <row r="11" spans="2:15" x14ac:dyDescent="0.3">
      <c r="B11" s="18" t="s">
        <v>382</v>
      </c>
      <c r="C11" s="17">
        <v>0.21452209149345</v>
      </c>
      <c r="D11" s="17">
        <v>0.31766746332049001</v>
      </c>
      <c r="E11" s="17">
        <v>0.121954817571147</v>
      </c>
      <c r="F11" s="17"/>
      <c r="G11" s="17">
        <v>0.13395096057630901</v>
      </c>
      <c r="H11" s="17">
        <v>0.206105739543918</v>
      </c>
      <c r="I11" s="17">
        <v>0.65057785474310104</v>
      </c>
      <c r="J11" s="17">
        <v>0</v>
      </c>
      <c r="K11" s="17"/>
      <c r="L11" s="17" t="s">
        <v>256</v>
      </c>
      <c r="M11" s="17">
        <v>0.33913308940889503</v>
      </c>
      <c r="N11" s="17">
        <v>0.10325564723384099</v>
      </c>
      <c r="O11" s="17">
        <v>0.211606510357574</v>
      </c>
    </row>
    <row r="12" spans="2:15" x14ac:dyDescent="0.3">
      <c r="B12" s="18" t="s">
        <v>383</v>
      </c>
      <c r="C12" s="17">
        <v>0.13158618369459599</v>
      </c>
      <c r="D12" s="17">
        <v>0.16224683780179899</v>
      </c>
      <c r="E12" s="17">
        <v>0.104069940191808</v>
      </c>
      <c r="F12" s="17"/>
      <c r="G12" s="17">
        <v>0</v>
      </c>
      <c r="H12" s="17">
        <v>0.280348038647524</v>
      </c>
      <c r="I12" s="17">
        <v>0</v>
      </c>
      <c r="J12" s="17">
        <v>0.35376817805273503</v>
      </c>
      <c r="K12" s="17"/>
      <c r="L12" s="17" t="s">
        <v>256</v>
      </c>
      <c r="M12" s="17">
        <v>0.21637579754265901</v>
      </c>
      <c r="N12" s="17">
        <v>0.140449840190499</v>
      </c>
      <c r="O12" s="17">
        <v>0</v>
      </c>
    </row>
    <row r="13" spans="2:15" x14ac:dyDescent="0.3">
      <c r="B13" s="18" t="s">
        <v>142</v>
      </c>
      <c r="C13" s="21">
        <v>0</v>
      </c>
      <c r="D13" s="21">
        <v>0</v>
      </c>
      <c r="E13" s="21">
        <v>0</v>
      </c>
      <c r="F13" s="21"/>
      <c r="G13" s="21">
        <v>0</v>
      </c>
      <c r="H13" s="21">
        <v>0</v>
      </c>
      <c r="I13" s="21">
        <v>0</v>
      </c>
      <c r="J13" s="21">
        <v>0</v>
      </c>
      <c r="K13" s="21"/>
      <c r="L13" s="21" t="s">
        <v>256</v>
      </c>
      <c r="M13" s="21">
        <v>0</v>
      </c>
      <c r="N13" s="21">
        <v>0</v>
      </c>
      <c r="O13" s="21">
        <v>0</v>
      </c>
    </row>
    <row r="14" spans="2:15" x14ac:dyDescent="0.3">
      <c r="B14" s="18" t="s">
        <v>384</v>
      </c>
      <c r="C14" s="21">
        <v>0.65389172481195301</v>
      </c>
      <c r="D14" s="21">
        <v>0.52008569887771094</v>
      </c>
      <c r="E14" s="21">
        <v>0.77397524223704495</v>
      </c>
      <c r="F14" s="21"/>
      <c r="G14" s="21">
        <v>0.86604903942369105</v>
      </c>
      <c r="H14" s="21">
        <v>0.51354622180855802</v>
      </c>
      <c r="I14" s="21">
        <v>0.34942214525689902</v>
      </c>
      <c r="J14" s="21">
        <v>0.64623182194726503</v>
      </c>
      <c r="K14" s="21"/>
      <c r="L14" s="21" t="s">
        <v>256</v>
      </c>
      <c r="M14" s="21">
        <v>0.44449111304844502</v>
      </c>
      <c r="N14" s="21">
        <v>0.75629451257566005</v>
      </c>
      <c r="O14" s="21">
        <v>0.78839348964242595</v>
      </c>
    </row>
    <row r="15" spans="2:15" x14ac:dyDescent="0.3">
      <c r="B15" s="24" t="s">
        <v>593</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O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388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v>
      </c>
      <c r="D7" s="10">
        <v>8</v>
      </c>
      <c r="E7" s="10">
        <v>9</v>
      </c>
      <c r="F7" s="10"/>
      <c r="G7" s="10">
        <v>7</v>
      </c>
      <c r="H7" s="10">
        <v>4</v>
      </c>
      <c r="I7" s="10">
        <v>3</v>
      </c>
      <c r="J7" s="10">
        <v>3</v>
      </c>
      <c r="K7" s="10"/>
      <c r="L7" s="10" t="s">
        <v>255</v>
      </c>
      <c r="M7" s="10">
        <v>6</v>
      </c>
      <c r="N7" s="10">
        <v>7</v>
      </c>
      <c r="O7" s="10">
        <v>4</v>
      </c>
    </row>
    <row r="8" spans="2:15" ht="30" customHeight="1" x14ac:dyDescent="0.3">
      <c r="B8" s="11" t="s">
        <v>19</v>
      </c>
      <c r="C8" s="11">
        <v>17</v>
      </c>
      <c r="D8" s="11">
        <v>8</v>
      </c>
      <c r="E8" s="11">
        <v>9</v>
      </c>
      <c r="F8" s="11"/>
      <c r="G8" s="11">
        <v>7</v>
      </c>
      <c r="H8" s="11">
        <v>3</v>
      </c>
      <c r="I8" s="11">
        <v>3</v>
      </c>
      <c r="J8" s="11">
        <v>4</v>
      </c>
      <c r="K8" s="11"/>
      <c r="L8" s="11" t="s">
        <v>255</v>
      </c>
      <c r="M8" s="11">
        <v>6</v>
      </c>
      <c r="N8" s="11">
        <v>7</v>
      </c>
      <c r="O8" s="11">
        <v>4</v>
      </c>
    </row>
    <row r="9" spans="2:15" x14ac:dyDescent="0.3">
      <c r="B9" s="18" t="s">
        <v>380</v>
      </c>
      <c r="C9" s="17">
        <v>4.9479112676239501E-2</v>
      </c>
      <c r="D9" s="17">
        <v>0</v>
      </c>
      <c r="E9" s="17">
        <v>9.3883883296624296E-2</v>
      </c>
      <c r="F9" s="17"/>
      <c r="G9" s="17">
        <v>0.122909070930141</v>
      </c>
      <c r="H9" s="17">
        <v>0</v>
      </c>
      <c r="I9" s="17">
        <v>0</v>
      </c>
      <c r="J9" s="17">
        <v>0</v>
      </c>
      <c r="K9" s="17"/>
      <c r="L9" s="17" t="s">
        <v>256</v>
      </c>
      <c r="M9" s="17">
        <v>0</v>
      </c>
      <c r="N9" s="17">
        <v>0.126703026648922</v>
      </c>
      <c r="O9" s="17">
        <v>0</v>
      </c>
    </row>
    <row r="10" spans="2:15" x14ac:dyDescent="0.3">
      <c r="B10" s="18" t="s">
        <v>381</v>
      </c>
      <c r="C10" s="17">
        <v>0.18454758087129</v>
      </c>
      <c r="D10" s="17">
        <v>0.19311351823166101</v>
      </c>
      <c r="E10" s="17">
        <v>0.17686012523471201</v>
      </c>
      <c r="F10" s="17"/>
      <c r="G10" s="17">
        <v>0.231538288723178</v>
      </c>
      <c r="H10" s="17">
        <v>0</v>
      </c>
      <c r="I10" s="17">
        <v>0</v>
      </c>
      <c r="J10" s="17">
        <v>0.421070872183191</v>
      </c>
      <c r="K10" s="17"/>
      <c r="L10" s="17" t="s">
        <v>256</v>
      </c>
      <c r="M10" s="17">
        <v>0</v>
      </c>
      <c r="N10" s="17">
        <v>0.23868540982636399</v>
      </c>
      <c r="O10" s="17">
        <v>0.35842350976023502</v>
      </c>
    </row>
    <row r="11" spans="2:15" x14ac:dyDescent="0.3">
      <c r="B11" s="18" t="s">
        <v>382</v>
      </c>
      <c r="C11" s="17">
        <v>0.45635482933802302</v>
      </c>
      <c r="D11" s="17">
        <v>0.55938655167968698</v>
      </c>
      <c r="E11" s="17">
        <v>0.36388954955135</v>
      </c>
      <c r="F11" s="17"/>
      <c r="G11" s="17">
        <v>0.41240442918439901</v>
      </c>
      <c r="H11" s="17">
        <v>0.28940063008828099</v>
      </c>
      <c r="I11" s="17">
        <v>1</v>
      </c>
      <c r="J11" s="17">
        <v>0.225160949764074</v>
      </c>
      <c r="K11" s="17"/>
      <c r="L11" s="17" t="s">
        <v>256</v>
      </c>
      <c r="M11" s="17">
        <v>0.65997745486827197</v>
      </c>
      <c r="N11" s="17">
        <v>0.27005535074162101</v>
      </c>
      <c r="O11" s="17">
        <v>0.458460050436167</v>
      </c>
    </row>
    <row r="12" spans="2:15" x14ac:dyDescent="0.3">
      <c r="B12" s="18" t="s">
        <v>383</v>
      </c>
      <c r="C12" s="17">
        <v>0.30961847711444801</v>
      </c>
      <c r="D12" s="17">
        <v>0.24749993008865201</v>
      </c>
      <c r="E12" s="17">
        <v>0.36536644191731299</v>
      </c>
      <c r="F12" s="17"/>
      <c r="G12" s="17">
        <v>0.23314821116228199</v>
      </c>
      <c r="H12" s="17">
        <v>0.71059936991171901</v>
      </c>
      <c r="I12" s="17">
        <v>0</v>
      </c>
      <c r="J12" s="17">
        <v>0.35376817805273503</v>
      </c>
      <c r="K12" s="17"/>
      <c r="L12" s="17" t="s">
        <v>256</v>
      </c>
      <c r="M12" s="17">
        <v>0.34002254513172803</v>
      </c>
      <c r="N12" s="17">
        <v>0.36455621278309303</v>
      </c>
      <c r="O12" s="17">
        <v>0.18311643980359801</v>
      </c>
    </row>
    <row r="13" spans="2:15" x14ac:dyDescent="0.3">
      <c r="B13" s="18" t="s">
        <v>142</v>
      </c>
      <c r="C13" s="21">
        <v>0</v>
      </c>
      <c r="D13" s="21">
        <v>0</v>
      </c>
      <c r="E13" s="21">
        <v>0</v>
      </c>
      <c r="F13" s="21"/>
      <c r="G13" s="21">
        <v>0</v>
      </c>
      <c r="H13" s="21">
        <v>0</v>
      </c>
      <c r="I13" s="21">
        <v>0</v>
      </c>
      <c r="J13" s="21">
        <v>0</v>
      </c>
      <c r="K13" s="21"/>
      <c r="L13" s="21" t="s">
        <v>256</v>
      </c>
      <c r="M13" s="21">
        <v>0</v>
      </c>
      <c r="N13" s="21">
        <v>0</v>
      </c>
      <c r="O13" s="21">
        <v>0</v>
      </c>
    </row>
    <row r="14" spans="2:15" x14ac:dyDescent="0.3">
      <c r="B14" s="18" t="s">
        <v>384</v>
      </c>
      <c r="C14" s="21">
        <v>0.23402669354753</v>
      </c>
      <c r="D14" s="21">
        <v>0.19311351823166101</v>
      </c>
      <c r="E14" s="21">
        <v>0.27074400853133701</v>
      </c>
      <c r="F14" s="21"/>
      <c r="G14" s="21">
        <v>0.35444735965331903</v>
      </c>
      <c r="H14" s="21">
        <v>0</v>
      </c>
      <c r="I14" s="21">
        <v>0</v>
      </c>
      <c r="J14" s="21">
        <v>0.421070872183191</v>
      </c>
      <c r="K14" s="21"/>
      <c r="L14" s="21" t="s">
        <v>256</v>
      </c>
      <c r="M14" s="21">
        <v>0</v>
      </c>
      <c r="N14" s="21">
        <v>0.36538843647528602</v>
      </c>
      <c r="O14" s="21">
        <v>0.35842350976023502</v>
      </c>
    </row>
    <row r="15" spans="2:15" x14ac:dyDescent="0.3">
      <c r="B15" s="24" t="s">
        <v>593</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O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389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v>
      </c>
      <c r="D7" s="10">
        <v>8</v>
      </c>
      <c r="E7" s="10">
        <v>9</v>
      </c>
      <c r="F7" s="10"/>
      <c r="G7" s="10">
        <v>7</v>
      </c>
      <c r="H7" s="10">
        <v>4</v>
      </c>
      <c r="I7" s="10">
        <v>3</v>
      </c>
      <c r="J7" s="10">
        <v>3</v>
      </c>
      <c r="K7" s="10"/>
      <c r="L7" s="10" t="s">
        <v>255</v>
      </c>
      <c r="M7" s="10">
        <v>6</v>
      </c>
      <c r="N7" s="10">
        <v>7</v>
      </c>
      <c r="O7" s="10">
        <v>4</v>
      </c>
    </row>
    <row r="8" spans="2:15" ht="30" customHeight="1" x14ac:dyDescent="0.3">
      <c r="B8" s="11" t="s">
        <v>19</v>
      </c>
      <c r="C8" s="11">
        <v>17</v>
      </c>
      <c r="D8" s="11">
        <v>8</v>
      </c>
      <c r="E8" s="11">
        <v>9</v>
      </c>
      <c r="F8" s="11"/>
      <c r="G8" s="11">
        <v>7</v>
      </c>
      <c r="H8" s="11">
        <v>3</v>
      </c>
      <c r="I8" s="11">
        <v>3</v>
      </c>
      <c r="J8" s="11">
        <v>4</v>
      </c>
      <c r="K8" s="11"/>
      <c r="L8" s="11" t="s">
        <v>255</v>
      </c>
      <c r="M8" s="11">
        <v>6</v>
      </c>
      <c r="N8" s="11">
        <v>7</v>
      </c>
      <c r="O8" s="11">
        <v>4</v>
      </c>
    </row>
    <row r="9" spans="2:15" x14ac:dyDescent="0.3">
      <c r="B9" s="18" t="s">
        <v>380</v>
      </c>
      <c r="C9" s="17">
        <v>4.9479112676239501E-2</v>
      </c>
      <c r="D9" s="17">
        <v>0</v>
      </c>
      <c r="E9" s="17">
        <v>9.3883883296624296E-2</v>
      </c>
      <c r="F9" s="17"/>
      <c r="G9" s="17">
        <v>0.122909070930141</v>
      </c>
      <c r="H9" s="17">
        <v>0</v>
      </c>
      <c r="I9" s="17">
        <v>0</v>
      </c>
      <c r="J9" s="17">
        <v>0</v>
      </c>
      <c r="K9" s="17"/>
      <c r="L9" s="17" t="s">
        <v>256</v>
      </c>
      <c r="M9" s="17">
        <v>0</v>
      </c>
      <c r="N9" s="17">
        <v>0.126703026648922</v>
      </c>
      <c r="O9" s="17">
        <v>0</v>
      </c>
    </row>
    <row r="10" spans="2:15" x14ac:dyDescent="0.3">
      <c r="B10" s="18" t="s">
        <v>381</v>
      </c>
      <c r="C10" s="17">
        <v>0.37182902855238797</v>
      </c>
      <c r="D10" s="17">
        <v>0.58907794574845196</v>
      </c>
      <c r="E10" s="17">
        <v>0.17686012523471201</v>
      </c>
      <c r="F10" s="17"/>
      <c r="G10" s="17">
        <v>0.36548924929948701</v>
      </c>
      <c r="H10" s="17">
        <v>0.28940063008828099</v>
      </c>
      <c r="I10" s="17">
        <v>0</v>
      </c>
      <c r="J10" s="17">
        <v>0.77483905023592603</v>
      </c>
      <c r="K10" s="17"/>
      <c r="L10" s="17" t="s">
        <v>256</v>
      </c>
      <c r="M10" s="17">
        <v>0.21637579754265901</v>
      </c>
      <c r="N10" s="17">
        <v>0.383670452143827</v>
      </c>
      <c r="O10" s="17">
        <v>0.57003002011780901</v>
      </c>
    </row>
    <row r="11" spans="2:15" x14ac:dyDescent="0.3">
      <c r="B11" s="18" t="s">
        <v>382</v>
      </c>
      <c r="C11" s="17">
        <v>0.39300586648762897</v>
      </c>
      <c r="D11" s="17">
        <v>0.32566896196469503</v>
      </c>
      <c r="E11" s="17">
        <v>0.45343701890527299</v>
      </c>
      <c r="F11" s="17"/>
      <c r="G11" s="17">
        <v>0.39568547772367102</v>
      </c>
      <c r="H11" s="17">
        <v>0</v>
      </c>
      <c r="I11" s="17">
        <v>1</v>
      </c>
      <c r="J11" s="17">
        <v>0.225160949764074</v>
      </c>
      <c r="K11" s="17"/>
      <c r="L11" s="17" t="s">
        <v>256</v>
      </c>
      <c r="M11" s="17">
        <v>0.65997745486827197</v>
      </c>
      <c r="N11" s="17">
        <v>0.245921033782912</v>
      </c>
      <c r="O11" s="17">
        <v>0.246853540078593</v>
      </c>
    </row>
    <row r="12" spans="2:15" x14ac:dyDescent="0.3">
      <c r="B12" s="18" t="s">
        <v>383</v>
      </c>
      <c r="C12" s="17">
        <v>0.185685992283743</v>
      </c>
      <c r="D12" s="17">
        <v>8.5253092286853405E-2</v>
      </c>
      <c r="E12" s="17">
        <v>0.27581897256339</v>
      </c>
      <c r="F12" s="17"/>
      <c r="G12" s="17">
        <v>0.115916202046701</v>
      </c>
      <c r="H12" s="17">
        <v>0.71059936991171901</v>
      </c>
      <c r="I12" s="17">
        <v>0</v>
      </c>
      <c r="J12" s="17">
        <v>0</v>
      </c>
      <c r="K12" s="17"/>
      <c r="L12" s="17" t="s">
        <v>256</v>
      </c>
      <c r="M12" s="17">
        <v>0.123646747589069</v>
      </c>
      <c r="N12" s="17">
        <v>0.24370548742434001</v>
      </c>
      <c r="O12" s="17">
        <v>0.18311643980359801</v>
      </c>
    </row>
    <row r="13" spans="2:15" x14ac:dyDescent="0.3">
      <c r="B13" s="18" t="s">
        <v>142</v>
      </c>
      <c r="C13" s="21">
        <v>0</v>
      </c>
      <c r="D13" s="21">
        <v>0</v>
      </c>
      <c r="E13" s="21">
        <v>0</v>
      </c>
      <c r="F13" s="21"/>
      <c r="G13" s="21">
        <v>0</v>
      </c>
      <c r="H13" s="21">
        <v>0</v>
      </c>
      <c r="I13" s="21">
        <v>0</v>
      </c>
      <c r="J13" s="21">
        <v>0</v>
      </c>
      <c r="K13" s="21"/>
      <c r="L13" s="21" t="s">
        <v>256</v>
      </c>
      <c r="M13" s="21">
        <v>0</v>
      </c>
      <c r="N13" s="21">
        <v>0</v>
      </c>
      <c r="O13" s="21">
        <v>0</v>
      </c>
    </row>
    <row r="14" spans="2:15" x14ac:dyDescent="0.3">
      <c r="B14" s="18" t="s">
        <v>384</v>
      </c>
      <c r="C14" s="21">
        <v>0.42130814122862797</v>
      </c>
      <c r="D14" s="21">
        <v>0.58907794574845196</v>
      </c>
      <c r="E14" s="21">
        <v>0.27074400853133701</v>
      </c>
      <c r="F14" s="21"/>
      <c r="G14" s="21">
        <v>0.48839832022962798</v>
      </c>
      <c r="H14" s="21">
        <v>0.28940063008828099</v>
      </c>
      <c r="I14" s="21">
        <v>0</v>
      </c>
      <c r="J14" s="21">
        <v>0.77483905023592603</v>
      </c>
      <c r="K14" s="21"/>
      <c r="L14" s="21" t="s">
        <v>256</v>
      </c>
      <c r="M14" s="21">
        <v>0.21637579754265901</v>
      </c>
      <c r="N14" s="21">
        <v>0.51037347879274797</v>
      </c>
      <c r="O14" s="21">
        <v>0.57003002011780901</v>
      </c>
    </row>
    <row r="15" spans="2:15" x14ac:dyDescent="0.3">
      <c r="B15" s="24" t="s">
        <v>593</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O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390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v>
      </c>
      <c r="D7" s="10">
        <v>8</v>
      </c>
      <c r="E7" s="10">
        <v>9</v>
      </c>
      <c r="F7" s="10"/>
      <c r="G7" s="10">
        <v>7</v>
      </c>
      <c r="H7" s="10">
        <v>4</v>
      </c>
      <c r="I7" s="10">
        <v>3</v>
      </c>
      <c r="J7" s="10">
        <v>3</v>
      </c>
      <c r="K7" s="10"/>
      <c r="L7" s="10" t="s">
        <v>255</v>
      </c>
      <c r="M7" s="10">
        <v>6</v>
      </c>
      <c r="N7" s="10">
        <v>7</v>
      </c>
      <c r="O7" s="10">
        <v>4</v>
      </c>
    </row>
    <row r="8" spans="2:15" ht="30" customHeight="1" x14ac:dyDescent="0.3">
      <c r="B8" s="11" t="s">
        <v>19</v>
      </c>
      <c r="C8" s="11">
        <v>17</v>
      </c>
      <c r="D8" s="11">
        <v>8</v>
      </c>
      <c r="E8" s="11">
        <v>9</v>
      </c>
      <c r="F8" s="11"/>
      <c r="G8" s="11">
        <v>7</v>
      </c>
      <c r="H8" s="11">
        <v>3</v>
      </c>
      <c r="I8" s="11">
        <v>3</v>
      </c>
      <c r="J8" s="11">
        <v>4</v>
      </c>
      <c r="K8" s="11"/>
      <c r="L8" s="11" t="s">
        <v>255</v>
      </c>
      <c r="M8" s="11">
        <v>6</v>
      </c>
      <c r="N8" s="11">
        <v>7</v>
      </c>
      <c r="O8" s="11">
        <v>4</v>
      </c>
    </row>
    <row r="9" spans="2:15" x14ac:dyDescent="0.3">
      <c r="B9" s="18" t="s">
        <v>380</v>
      </c>
      <c r="C9" s="17">
        <v>5.6618467884532897E-2</v>
      </c>
      <c r="D9" s="17">
        <v>0.11970699447471</v>
      </c>
      <c r="E9" s="17">
        <v>0</v>
      </c>
      <c r="F9" s="17"/>
      <c r="G9" s="17">
        <v>0</v>
      </c>
      <c r="H9" s="17">
        <v>0.28940063008828099</v>
      </c>
      <c r="I9" s="17">
        <v>0</v>
      </c>
      <c r="J9" s="17">
        <v>0</v>
      </c>
      <c r="K9" s="17"/>
      <c r="L9" s="17" t="s">
        <v>256</v>
      </c>
      <c r="M9" s="17">
        <v>0</v>
      </c>
      <c r="N9" s="17">
        <v>0.14498504231746201</v>
      </c>
      <c r="O9" s="17">
        <v>0</v>
      </c>
    </row>
    <row r="10" spans="2:15" x14ac:dyDescent="0.3">
      <c r="B10" s="18" t="s">
        <v>381</v>
      </c>
      <c r="C10" s="17">
        <v>0.29740736731571599</v>
      </c>
      <c r="D10" s="17">
        <v>0.425527889265297</v>
      </c>
      <c r="E10" s="17">
        <v>0.182426275674855</v>
      </c>
      <c r="F10" s="17"/>
      <c r="G10" s="17">
        <v>0.37277623355315098</v>
      </c>
      <c r="H10" s="17">
        <v>0</v>
      </c>
      <c r="I10" s="17">
        <v>0.30291941001017197</v>
      </c>
      <c r="J10" s="17">
        <v>0.421070872183191</v>
      </c>
      <c r="K10" s="17"/>
      <c r="L10" s="17" t="s">
        <v>256</v>
      </c>
      <c r="M10" s="17">
        <v>0.15790576732624101</v>
      </c>
      <c r="N10" s="17">
        <v>0.126703026648922</v>
      </c>
      <c r="O10" s="17">
        <v>0.75314645992140705</v>
      </c>
    </row>
    <row r="11" spans="2:15" x14ac:dyDescent="0.3">
      <c r="B11" s="18" t="s">
        <v>382</v>
      </c>
      <c r="C11" s="17">
        <v>0.47406536262424398</v>
      </c>
      <c r="D11" s="17">
        <v>0.20726518617134099</v>
      </c>
      <c r="E11" s="17">
        <v>0.71350378413333704</v>
      </c>
      <c r="F11" s="17"/>
      <c r="G11" s="17">
        <v>0.62722376644684896</v>
      </c>
      <c r="H11" s="17">
        <v>0.22414559172027601</v>
      </c>
      <c r="I11" s="17">
        <v>0.69708058998982803</v>
      </c>
      <c r="J11" s="17">
        <v>0.225160949764074</v>
      </c>
      <c r="K11" s="17"/>
      <c r="L11" s="17" t="s">
        <v>256</v>
      </c>
      <c r="M11" s="17">
        <v>0.62571843513109904</v>
      </c>
      <c r="N11" s="17">
        <v>0.48460644360927602</v>
      </c>
      <c r="O11" s="17">
        <v>0.246853540078593</v>
      </c>
    </row>
    <row r="12" spans="2:15" x14ac:dyDescent="0.3">
      <c r="B12" s="18" t="s">
        <v>383</v>
      </c>
      <c r="C12" s="17">
        <v>0.171908802175508</v>
      </c>
      <c r="D12" s="17">
        <v>0.24749993008865201</v>
      </c>
      <c r="E12" s="17">
        <v>0.104069940191808</v>
      </c>
      <c r="F12" s="17"/>
      <c r="G12" s="17">
        <v>0</v>
      </c>
      <c r="H12" s="17">
        <v>0.48645377819144198</v>
      </c>
      <c r="I12" s="17">
        <v>0</v>
      </c>
      <c r="J12" s="17">
        <v>0.35376817805273503</v>
      </c>
      <c r="K12" s="17"/>
      <c r="L12" s="17" t="s">
        <v>256</v>
      </c>
      <c r="M12" s="17">
        <v>0.21637579754265901</v>
      </c>
      <c r="N12" s="17">
        <v>0.24370548742434001</v>
      </c>
      <c r="O12" s="17">
        <v>0</v>
      </c>
    </row>
    <row r="13" spans="2:15" x14ac:dyDescent="0.3">
      <c r="B13" s="18" t="s">
        <v>142</v>
      </c>
      <c r="C13" s="21">
        <v>0</v>
      </c>
      <c r="D13" s="21">
        <v>0</v>
      </c>
      <c r="E13" s="21">
        <v>0</v>
      </c>
      <c r="F13" s="21"/>
      <c r="G13" s="21">
        <v>0</v>
      </c>
      <c r="H13" s="21">
        <v>0</v>
      </c>
      <c r="I13" s="21">
        <v>0</v>
      </c>
      <c r="J13" s="21">
        <v>0</v>
      </c>
      <c r="K13" s="21"/>
      <c r="L13" s="21" t="s">
        <v>256</v>
      </c>
      <c r="M13" s="21">
        <v>0</v>
      </c>
      <c r="N13" s="21">
        <v>0</v>
      </c>
      <c r="O13" s="21">
        <v>0</v>
      </c>
    </row>
    <row r="14" spans="2:15" x14ac:dyDescent="0.3">
      <c r="B14" s="18" t="s">
        <v>384</v>
      </c>
      <c r="C14" s="21">
        <v>0.354025835200248</v>
      </c>
      <c r="D14" s="21">
        <v>0.54523488374000695</v>
      </c>
      <c r="E14" s="21">
        <v>0.182426275674855</v>
      </c>
      <c r="F14" s="21"/>
      <c r="G14" s="21">
        <v>0.37277623355315098</v>
      </c>
      <c r="H14" s="21">
        <v>0.28940063008828099</v>
      </c>
      <c r="I14" s="21">
        <v>0.30291941001017197</v>
      </c>
      <c r="J14" s="21">
        <v>0.421070872183191</v>
      </c>
      <c r="K14" s="21"/>
      <c r="L14" s="21" t="s">
        <v>256</v>
      </c>
      <c r="M14" s="21">
        <v>0.15790576732624101</v>
      </c>
      <c r="N14" s="21">
        <v>0.27168806896638398</v>
      </c>
      <c r="O14" s="21">
        <v>0.75314645992140705</v>
      </c>
    </row>
    <row r="15" spans="2:15" x14ac:dyDescent="0.3">
      <c r="B15" s="24" t="s">
        <v>593</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O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391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v>
      </c>
      <c r="D7" s="10">
        <v>8</v>
      </c>
      <c r="E7" s="10">
        <v>9</v>
      </c>
      <c r="F7" s="10"/>
      <c r="G7" s="10">
        <v>7</v>
      </c>
      <c r="H7" s="10">
        <v>4</v>
      </c>
      <c r="I7" s="10">
        <v>3</v>
      </c>
      <c r="J7" s="10">
        <v>3</v>
      </c>
      <c r="K7" s="10"/>
      <c r="L7" s="10" t="s">
        <v>255</v>
      </c>
      <c r="M7" s="10">
        <v>6</v>
      </c>
      <c r="N7" s="10">
        <v>7</v>
      </c>
      <c r="O7" s="10">
        <v>4</v>
      </c>
    </row>
    <row r="8" spans="2:15" ht="30" customHeight="1" x14ac:dyDescent="0.3">
      <c r="B8" s="11" t="s">
        <v>19</v>
      </c>
      <c r="C8" s="11">
        <v>17</v>
      </c>
      <c r="D8" s="11">
        <v>8</v>
      </c>
      <c r="E8" s="11">
        <v>9</v>
      </c>
      <c r="F8" s="11"/>
      <c r="G8" s="11">
        <v>7</v>
      </c>
      <c r="H8" s="11">
        <v>3</v>
      </c>
      <c r="I8" s="11">
        <v>3</v>
      </c>
      <c r="J8" s="11">
        <v>4</v>
      </c>
      <c r="K8" s="11"/>
      <c r="L8" s="11" t="s">
        <v>255</v>
      </c>
      <c r="M8" s="11">
        <v>6</v>
      </c>
      <c r="N8" s="11">
        <v>7</v>
      </c>
      <c r="O8" s="11">
        <v>4</v>
      </c>
    </row>
    <row r="9" spans="2:15" x14ac:dyDescent="0.3">
      <c r="B9" s="18" t="s">
        <v>380</v>
      </c>
      <c r="C9" s="17">
        <v>4.9479112676239501E-2</v>
      </c>
      <c r="D9" s="17">
        <v>0</v>
      </c>
      <c r="E9" s="17">
        <v>9.3883883296624296E-2</v>
      </c>
      <c r="F9" s="17"/>
      <c r="G9" s="17">
        <v>0.122909070930141</v>
      </c>
      <c r="H9" s="17">
        <v>0</v>
      </c>
      <c r="I9" s="17">
        <v>0</v>
      </c>
      <c r="J9" s="17">
        <v>0</v>
      </c>
      <c r="K9" s="17"/>
      <c r="L9" s="17" t="s">
        <v>256</v>
      </c>
      <c r="M9" s="17">
        <v>0</v>
      </c>
      <c r="N9" s="17">
        <v>0.126703026648922</v>
      </c>
      <c r="O9" s="17">
        <v>0</v>
      </c>
    </row>
    <row r="10" spans="2:15" x14ac:dyDescent="0.3">
      <c r="B10" s="18" t="s">
        <v>381</v>
      </c>
      <c r="C10" s="17">
        <v>0.24116604875582301</v>
      </c>
      <c r="D10" s="17">
        <v>0.31282051270637001</v>
      </c>
      <c r="E10" s="17">
        <v>0.17686012523471201</v>
      </c>
      <c r="F10" s="17"/>
      <c r="G10" s="17">
        <v>0.231538288723178</v>
      </c>
      <c r="H10" s="17">
        <v>0.28940063008828099</v>
      </c>
      <c r="I10" s="17">
        <v>0</v>
      </c>
      <c r="J10" s="17">
        <v>0.421070872183191</v>
      </c>
      <c r="K10" s="17"/>
      <c r="L10" s="17" t="s">
        <v>256</v>
      </c>
      <c r="M10" s="17">
        <v>0</v>
      </c>
      <c r="N10" s="17">
        <v>0.383670452143827</v>
      </c>
      <c r="O10" s="17">
        <v>0.35842350976023502</v>
      </c>
    </row>
    <row r="11" spans="2:15" x14ac:dyDescent="0.3">
      <c r="B11" s="18" t="s">
        <v>382</v>
      </c>
      <c r="C11" s="17">
        <v>0.446930077461551</v>
      </c>
      <c r="D11" s="17">
        <v>0.43967955720497698</v>
      </c>
      <c r="E11" s="17">
        <v>0.45343701890527299</v>
      </c>
      <c r="F11" s="17"/>
      <c r="G11" s="17">
        <v>0.52963643829997997</v>
      </c>
      <c r="H11" s="17">
        <v>0</v>
      </c>
      <c r="I11" s="17">
        <v>1</v>
      </c>
      <c r="J11" s="17">
        <v>0.225160949764074</v>
      </c>
      <c r="K11" s="17"/>
      <c r="L11" s="17" t="s">
        <v>256</v>
      </c>
      <c r="M11" s="17">
        <v>0.65997745486827197</v>
      </c>
      <c r="N11" s="17">
        <v>0.245921033782912</v>
      </c>
      <c r="O11" s="17">
        <v>0.458460050436167</v>
      </c>
    </row>
    <row r="12" spans="2:15" x14ac:dyDescent="0.3">
      <c r="B12" s="18" t="s">
        <v>383</v>
      </c>
      <c r="C12" s="17">
        <v>0.26242476110638602</v>
      </c>
      <c r="D12" s="17">
        <v>0.24749993008865201</v>
      </c>
      <c r="E12" s="17">
        <v>0.27581897256339</v>
      </c>
      <c r="F12" s="17"/>
      <c r="G12" s="17">
        <v>0.115916202046701</v>
      </c>
      <c r="H12" s="17">
        <v>0.71059936991171901</v>
      </c>
      <c r="I12" s="17">
        <v>0</v>
      </c>
      <c r="J12" s="17">
        <v>0.35376817805273503</v>
      </c>
      <c r="K12" s="17"/>
      <c r="L12" s="17" t="s">
        <v>256</v>
      </c>
      <c r="M12" s="17">
        <v>0.34002254513172803</v>
      </c>
      <c r="N12" s="17">
        <v>0.24370548742434001</v>
      </c>
      <c r="O12" s="17">
        <v>0.18311643980359801</v>
      </c>
    </row>
    <row r="13" spans="2:15" x14ac:dyDescent="0.3">
      <c r="B13" s="18" t="s">
        <v>142</v>
      </c>
      <c r="C13" s="21">
        <v>0</v>
      </c>
      <c r="D13" s="21">
        <v>0</v>
      </c>
      <c r="E13" s="21">
        <v>0</v>
      </c>
      <c r="F13" s="21"/>
      <c r="G13" s="21">
        <v>0</v>
      </c>
      <c r="H13" s="21">
        <v>0</v>
      </c>
      <c r="I13" s="21">
        <v>0</v>
      </c>
      <c r="J13" s="21">
        <v>0</v>
      </c>
      <c r="K13" s="21"/>
      <c r="L13" s="21" t="s">
        <v>256</v>
      </c>
      <c r="M13" s="21">
        <v>0</v>
      </c>
      <c r="N13" s="21">
        <v>0</v>
      </c>
      <c r="O13" s="21">
        <v>0</v>
      </c>
    </row>
    <row r="14" spans="2:15" x14ac:dyDescent="0.3">
      <c r="B14" s="18" t="s">
        <v>384</v>
      </c>
      <c r="C14" s="21">
        <v>0.29064516143206298</v>
      </c>
      <c r="D14" s="21">
        <v>0.31282051270637001</v>
      </c>
      <c r="E14" s="21">
        <v>0.27074400853133701</v>
      </c>
      <c r="F14" s="21"/>
      <c r="G14" s="21">
        <v>0.35444735965331903</v>
      </c>
      <c r="H14" s="21">
        <v>0.28940063008828099</v>
      </c>
      <c r="I14" s="21">
        <v>0</v>
      </c>
      <c r="J14" s="21">
        <v>0.421070872183191</v>
      </c>
      <c r="K14" s="21"/>
      <c r="L14" s="21" t="s">
        <v>256</v>
      </c>
      <c r="M14" s="21">
        <v>0</v>
      </c>
      <c r="N14" s="21">
        <v>0.51037347879274797</v>
      </c>
      <c r="O14" s="21">
        <v>0.35842350976023502</v>
      </c>
    </row>
    <row r="15" spans="2:15" x14ac:dyDescent="0.3">
      <c r="B15" s="24" t="s">
        <v>593</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O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392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v>
      </c>
      <c r="D7" s="10">
        <v>8</v>
      </c>
      <c r="E7" s="10">
        <v>9</v>
      </c>
      <c r="F7" s="10"/>
      <c r="G7" s="10">
        <v>7</v>
      </c>
      <c r="H7" s="10">
        <v>4</v>
      </c>
      <c r="I7" s="10">
        <v>3</v>
      </c>
      <c r="J7" s="10">
        <v>3</v>
      </c>
      <c r="K7" s="10"/>
      <c r="L7" s="10" t="s">
        <v>255</v>
      </c>
      <c r="M7" s="10">
        <v>6</v>
      </c>
      <c r="N7" s="10">
        <v>7</v>
      </c>
      <c r="O7" s="10">
        <v>4</v>
      </c>
    </row>
    <row r="8" spans="2:15" ht="30" customHeight="1" x14ac:dyDescent="0.3">
      <c r="B8" s="11" t="s">
        <v>19</v>
      </c>
      <c r="C8" s="11">
        <v>17</v>
      </c>
      <c r="D8" s="11">
        <v>8</v>
      </c>
      <c r="E8" s="11">
        <v>9</v>
      </c>
      <c r="F8" s="11"/>
      <c r="G8" s="11">
        <v>7</v>
      </c>
      <c r="H8" s="11">
        <v>3</v>
      </c>
      <c r="I8" s="11">
        <v>3</v>
      </c>
      <c r="J8" s="11">
        <v>4</v>
      </c>
      <c r="K8" s="11"/>
      <c r="L8" s="11" t="s">
        <v>255</v>
      </c>
      <c r="M8" s="11">
        <v>6</v>
      </c>
      <c r="N8" s="11">
        <v>7</v>
      </c>
      <c r="O8" s="11">
        <v>4</v>
      </c>
    </row>
    <row r="9" spans="2:15" x14ac:dyDescent="0.3">
      <c r="B9" s="18" t="s">
        <v>380</v>
      </c>
      <c r="C9" s="17">
        <v>0.26674565787476401</v>
      </c>
      <c r="D9" s="17">
        <v>0.459361160719858</v>
      </c>
      <c r="E9" s="17">
        <v>9.3883883296624296E-2</v>
      </c>
      <c r="F9" s="17"/>
      <c r="G9" s="17">
        <v>0.245099536290768</v>
      </c>
      <c r="H9" s="17">
        <v>0</v>
      </c>
      <c r="I9" s="17">
        <v>0</v>
      </c>
      <c r="J9" s="17">
        <v>0.77483905023592603</v>
      </c>
      <c r="K9" s="17"/>
      <c r="L9" s="17" t="s">
        <v>256</v>
      </c>
      <c r="M9" s="17">
        <v>0.355073459475447</v>
      </c>
      <c r="N9" s="17">
        <v>0.126703026648922</v>
      </c>
      <c r="O9" s="17">
        <v>0.35842350976023502</v>
      </c>
    </row>
    <row r="10" spans="2:15" x14ac:dyDescent="0.3">
      <c r="B10" s="18" t="s">
        <v>381</v>
      </c>
      <c r="C10" s="17">
        <v>0.354926023343001</v>
      </c>
      <c r="D10" s="17">
        <v>0.323363862554918</v>
      </c>
      <c r="E10" s="17">
        <v>0.38325131929665202</v>
      </c>
      <c r="F10" s="17"/>
      <c r="G10" s="17">
        <v>0.23314821116228199</v>
      </c>
      <c r="H10" s="17">
        <v>0.719651961352476</v>
      </c>
      <c r="I10" s="17">
        <v>0.65057785474310104</v>
      </c>
      <c r="J10" s="17">
        <v>0</v>
      </c>
      <c r="K10" s="17"/>
      <c r="L10" s="17" t="s">
        <v>256</v>
      </c>
      <c r="M10" s="17">
        <v>0.46277983699796399</v>
      </c>
      <c r="N10" s="17">
        <v>0.36909141491005698</v>
      </c>
      <c r="O10" s="17">
        <v>0.18311643980359801</v>
      </c>
    </row>
    <row r="11" spans="2:15" x14ac:dyDescent="0.3">
      <c r="B11" s="18" t="s">
        <v>382</v>
      </c>
      <c r="C11" s="17">
        <v>0.323480903910283</v>
      </c>
      <c r="D11" s="17">
        <v>0.217274976725225</v>
      </c>
      <c r="E11" s="17">
        <v>0.41879485721491599</v>
      </c>
      <c r="F11" s="17"/>
      <c r="G11" s="17">
        <v>0.52175225254695001</v>
      </c>
      <c r="H11" s="17">
        <v>0</v>
      </c>
      <c r="I11" s="17">
        <v>0.34942214525689902</v>
      </c>
      <c r="J11" s="17">
        <v>0.225160949764074</v>
      </c>
      <c r="K11" s="17"/>
      <c r="L11" s="17" t="s">
        <v>256</v>
      </c>
      <c r="M11" s="17">
        <v>0.18214670352658899</v>
      </c>
      <c r="N11" s="17">
        <v>0.363755718250523</v>
      </c>
      <c r="O11" s="17">
        <v>0.458460050436167</v>
      </c>
    </row>
    <row r="12" spans="2:15" x14ac:dyDescent="0.3">
      <c r="B12" s="18" t="s">
        <v>383</v>
      </c>
      <c r="C12" s="17">
        <v>5.4847414871953097E-2</v>
      </c>
      <c r="D12" s="17">
        <v>0</v>
      </c>
      <c r="E12" s="17">
        <v>0.104069940191808</v>
      </c>
      <c r="F12" s="17"/>
      <c r="G12" s="17">
        <v>0</v>
      </c>
      <c r="H12" s="17">
        <v>0.280348038647524</v>
      </c>
      <c r="I12" s="17">
        <v>0</v>
      </c>
      <c r="J12" s="17">
        <v>0</v>
      </c>
      <c r="K12" s="17"/>
      <c r="L12" s="17" t="s">
        <v>256</v>
      </c>
      <c r="M12" s="17">
        <v>0</v>
      </c>
      <c r="N12" s="17">
        <v>0.140449840190499</v>
      </c>
      <c r="O12" s="17">
        <v>0</v>
      </c>
    </row>
    <row r="13" spans="2:15" x14ac:dyDescent="0.3">
      <c r="B13" s="18" t="s">
        <v>142</v>
      </c>
      <c r="C13" s="21">
        <v>0</v>
      </c>
      <c r="D13" s="21">
        <v>0</v>
      </c>
      <c r="E13" s="21">
        <v>0</v>
      </c>
      <c r="F13" s="21"/>
      <c r="G13" s="21">
        <v>0</v>
      </c>
      <c r="H13" s="21">
        <v>0</v>
      </c>
      <c r="I13" s="21">
        <v>0</v>
      </c>
      <c r="J13" s="21">
        <v>0</v>
      </c>
      <c r="K13" s="21"/>
      <c r="L13" s="21" t="s">
        <v>256</v>
      </c>
      <c r="M13" s="21">
        <v>0</v>
      </c>
      <c r="N13" s="21">
        <v>0</v>
      </c>
      <c r="O13" s="21">
        <v>0</v>
      </c>
    </row>
    <row r="14" spans="2:15" x14ac:dyDescent="0.3">
      <c r="B14" s="18" t="s">
        <v>384</v>
      </c>
      <c r="C14" s="21">
        <v>0.62167168121776395</v>
      </c>
      <c r="D14" s="21">
        <v>0.782725023274775</v>
      </c>
      <c r="E14" s="21">
        <v>0.47713520259327602</v>
      </c>
      <c r="F14" s="21"/>
      <c r="G14" s="21">
        <v>0.47824774745304999</v>
      </c>
      <c r="H14" s="21">
        <v>0.719651961352476</v>
      </c>
      <c r="I14" s="21">
        <v>0.65057785474310104</v>
      </c>
      <c r="J14" s="21">
        <v>0.77483905023592603</v>
      </c>
      <c r="K14" s="21"/>
      <c r="L14" s="21" t="s">
        <v>256</v>
      </c>
      <c r="M14" s="21">
        <v>0.81785329647341098</v>
      </c>
      <c r="N14" s="21">
        <v>0.49579444155897801</v>
      </c>
      <c r="O14" s="21">
        <v>0.541539949563833</v>
      </c>
    </row>
    <row r="15" spans="2:15" x14ac:dyDescent="0.3">
      <c r="B15" s="24" t="s">
        <v>593</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O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393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v>
      </c>
      <c r="D7" s="10">
        <v>8</v>
      </c>
      <c r="E7" s="10">
        <v>9</v>
      </c>
      <c r="F7" s="10"/>
      <c r="G7" s="10">
        <v>7</v>
      </c>
      <c r="H7" s="10">
        <v>4</v>
      </c>
      <c r="I7" s="10">
        <v>3</v>
      </c>
      <c r="J7" s="10">
        <v>3</v>
      </c>
      <c r="K7" s="10"/>
      <c r="L7" s="10" t="s">
        <v>255</v>
      </c>
      <c r="M7" s="10">
        <v>6</v>
      </c>
      <c r="N7" s="10">
        <v>7</v>
      </c>
      <c r="O7" s="10">
        <v>4</v>
      </c>
    </row>
    <row r="8" spans="2:15" ht="30" customHeight="1" x14ac:dyDescent="0.3">
      <c r="B8" s="11" t="s">
        <v>19</v>
      </c>
      <c r="C8" s="11">
        <v>17</v>
      </c>
      <c r="D8" s="11">
        <v>8</v>
      </c>
      <c r="E8" s="11">
        <v>9</v>
      </c>
      <c r="F8" s="11"/>
      <c r="G8" s="11">
        <v>7</v>
      </c>
      <c r="H8" s="11">
        <v>3</v>
      </c>
      <c r="I8" s="11">
        <v>3</v>
      </c>
      <c r="J8" s="11">
        <v>4</v>
      </c>
      <c r="K8" s="11"/>
      <c r="L8" s="11" t="s">
        <v>255</v>
      </c>
      <c r="M8" s="11">
        <v>6</v>
      </c>
      <c r="N8" s="11">
        <v>7</v>
      </c>
      <c r="O8" s="11">
        <v>4</v>
      </c>
    </row>
    <row r="9" spans="2:15" x14ac:dyDescent="0.3">
      <c r="B9" s="18" t="s">
        <v>380</v>
      </c>
      <c r="C9" s="17">
        <v>0</v>
      </c>
      <c r="D9" s="17">
        <v>0</v>
      </c>
      <c r="E9" s="17">
        <v>0</v>
      </c>
      <c r="F9" s="17"/>
      <c r="G9" s="17">
        <v>0</v>
      </c>
      <c r="H9" s="17">
        <v>0</v>
      </c>
      <c r="I9" s="17">
        <v>0</v>
      </c>
      <c r="J9" s="17">
        <v>0</v>
      </c>
      <c r="K9" s="17"/>
      <c r="L9" s="17" t="s">
        <v>256</v>
      </c>
      <c r="M9" s="17">
        <v>0</v>
      </c>
      <c r="N9" s="17">
        <v>0</v>
      </c>
      <c r="O9" s="17">
        <v>0</v>
      </c>
    </row>
    <row r="10" spans="2:15" x14ac:dyDescent="0.3">
      <c r="B10" s="18" t="s">
        <v>381</v>
      </c>
      <c r="C10" s="17">
        <v>0.39332478349865202</v>
      </c>
      <c r="D10" s="17">
        <v>0.53448866998466704</v>
      </c>
      <c r="E10" s="17">
        <v>0.26663799264389898</v>
      </c>
      <c r="F10" s="17"/>
      <c r="G10" s="17">
        <v>0.24014108004572199</v>
      </c>
      <c r="H10" s="17">
        <v>0.51354622180855802</v>
      </c>
      <c r="I10" s="17">
        <v>0.30291941001017197</v>
      </c>
      <c r="J10" s="17">
        <v>0.64623182194726503</v>
      </c>
      <c r="K10" s="17"/>
      <c r="L10" s="17" t="s">
        <v>256</v>
      </c>
      <c r="M10" s="17">
        <v>0.28155251491531003</v>
      </c>
      <c r="N10" s="17">
        <v>0.51760910274929595</v>
      </c>
      <c r="O10" s="17">
        <v>0.35842350976023502</v>
      </c>
    </row>
    <row r="11" spans="2:15" x14ac:dyDescent="0.3">
      <c r="B11" s="18" t="s">
        <v>382</v>
      </c>
      <c r="C11" s="17">
        <v>0.365518718224082</v>
      </c>
      <c r="D11" s="17">
        <v>0.30326449221353402</v>
      </c>
      <c r="E11" s="17">
        <v>0.42138844742145798</v>
      </c>
      <c r="F11" s="17"/>
      <c r="G11" s="17">
        <v>0.48767971466011401</v>
      </c>
      <c r="H11" s="17">
        <v>0.206105739543918</v>
      </c>
      <c r="I11" s="17">
        <v>0.69708058998982803</v>
      </c>
      <c r="J11" s="17">
        <v>0</v>
      </c>
      <c r="K11" s="17"/>
      <c r="L11" s="17" t="s">
        <v>256</v>
      </c>
      <c r="M11" s="17">
        <v>0.50207168754203102</v>
      </c>
      <c r="N11" s="17">
        <v>0.341941057060205</v>
      </c>
      <c r="O11" s="17">
        <v>0.211606510357574</v>
      </c>
    </row>
    <row r="12" spans="2:15" x14ac:dyDescent="0.3">
      <c r="B12" s="18" t="s">
        <v>383</v>
      </c>
      <c r="C12" s="17">
        <v>0.24115649827726601</v>
      </c>
      <c r="D12" s="17">
        <v>0.16224683780179899</v>
      </c>
      <c r="E12" s="17">
        <v>0.31197355993464299</v>
      </c>
      <c r="F12" s="17"/>
      <c r="G12" s="17">
        <v>0.27217920529416401</v>
      </c>
      <c r="H12" s="17">
        <v>0.280348038647524</v>
      </c>
      <c r="I12" s="17">
        <v>0</v>
      </c>
      <c r="J12" s="17">
        <v>0.35376817805273503</v>
      </c>
      <c r="K12" s="17"/>
      <c r="L12" s="17" t="s">
        <v>256</v>
      </c>
      <c r="M12" s="17">
        <v>0.21637579754265901</v>
      </c>
      <c r="N12" s="17">
        <v>0.140449840190499</v>
      </c>
      <c r="O12" s="17">
        <v>0.42996997988219099</v>
      </c>
    </row>
    <row r="13" spans="2:15" x14ac:dyDescent="0.3">
      <c r="B13" s="18" t="s">
        <v>142</v>
      </c>
      <c r="C13" s="21">
        <v>0</v>
      </c>
      <c r="D13" s="21">
        <v>0</v>
      </c>
      <c r="E13" s="21">
        <v>0</v>
      </c>
      <c r="F13" s="21"/>
      <c r="G13" s="21">
        <v>0</v>
      </c>
      <c r="H13" s="21">
        <v>0</v>
      </c>
      <c r="I13" s="21">
        <v>0</v>
      </c>
      <c r="J13" s="21">
        <v>0</v>
      </c>
      <c r="K13" s="21"/>
      <c r="L13" s="21" t="s">
        <v>256</v>
      </c>
      <c r="M13" s="21">
        <v>0</v>
      </c>
      <c r="N13" s="21">
        <v>0</v>
      </c>
      <c r="O13" s="21">
        <v>0</v>
      </c>
    </row>
    <row r="14" spans="2:15" x14ac:dyDescent="0.3">
      <c r="B14" s="18" t="s">
        <v>384</v>
      </c>
      <c r="C14" s="21">
        <v>0.39332478349865202</v>
      </c>
      <c r="D14" s="21">
        <v>0.53448866998466704</v>
      </c>
      <c r="E14" s="21">
        <v>0.26663799264389898</v>
      </c>
      <c r="F14" s="21"/>
      <c r="G14" s="21">
        <v>0.24014108004572199</v>
      </c>
      <c r="H14" s="21">
        <v>0.51354622180855802</v>
      </c>
      <c r="I14" s="21">
        <v>0.30291941001017197</v>
      </c>
      <c r="J14" s="21">
        <v>0.64623182194726503</v>
      </c>
      <c r="K14" s="21"/>
      <c r="L14" s="21" t="s">
        <v>256</v>
      </c>
      <c r="M14" s="21">
        <v>0.28155251491531003</v>
      </c>
      <c r="N14" s="21">
        <v>0.51760910274929595</v>
      </c>
      <c r="O14" s="21">
        <v>0.35842350976023502</v>
      </c>
    </row>
    <row r="15" spans="2:15" x14ac:dyDescent="0.3">
      <c r="B15" s="24" t="s">
        <v>593</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J19"/>
  <sheetViews>
    <sheetView showGridLines="0" workbookViewId="0">
      <pane xSplit="2" topLeftCell="C1" activePane="topRight" state="frozen"/>
      <selection pane="topRight" activeCell="B13" sqref="B13"/>
    </sheetView>
  </sheetViews>
  <sheetFormatPr defaultColWidth="11.5546875" defaultRowHeight="14.4" x14ac:dyDescent="0.3"/>
  <cols>
    <col min="2" max="2" width="25.6640625" customWidth="1"/>
    <col min="3" max="10" width="20.6640625" customWidth="1"/>
  </cols>
  <sheetData>
    <row r="2" spans="2:10" ht="40.049999999999997" customHeight="1" x14ac:dyDescent="0.3">
      <c r="D2" s="30" t="s">
        <v>385</v>
      </c>
      <c r="E2" s="26"/>
      <c r="F2" s="26"/>
      <c r="G2" s="26"/>
      <c r="H2" s="26"/>
      <c r="I2" s="26"/>
      <c r="J2" s="26"/>
    </row>
    <row r="6" spans="2:10" ht="49.95" customHeight="1" x14ac:dyDescent="0.3">
      <c r="B6" s="20" t="s">
        <v>14</v>
      </c>
      <c r="C6" s="20" t="s">
        <v>394</v>
      </c>
      <c r="D6" s="20" t="s">
        <v>395</v>
      </c>
      <c r="E6" s="20" t="s">
        <v>396</v>
      </c>
      <c r="F6" s="20" t="s">
        <v>397</v>
      </c>
      <c r="G6" s="20" t="s">
        <v>398</v>
      </c>
      <c r="H6" s="20" t="s">
        <v>399</v>
      </c>
      <c r="I6" s="20" t="s">
        <v>400</v>
      </c>
    </row>
    <row r="7" spans="2:10" x14ac:dyDescent="0.3">
      <c r="B7" s="18" t="s">
        <v>380</v>
      </c>
      <c r="C7" s="17">
        <v>4.9479112676239501E-2</v>
      </c>
      <c r="D7" s="17">
        <v>0</v>
      </c>
      <c r="E7" s="17">
        <v>0</v>
      </c>
      <c r="F7" s="17">
        <v>0.15611592924913301</v>
      </c>
      <c r="G7" s="17">
        <v>4.9479112676239501E-2</v>
      </c>
      <c r="H7" s="17">
        <v>4.6664015752997903E-2</v>
      </c>
      <c r="I7" s="17">
        <v>0.10328248363753099</v>
      </c>
    </row>
    <row r="8" spans="2:10" x14ac:dyDescent="0.3">
      <c r="B8" s="18" t="s">
        <v>381</v>
      </c>
      <c r="C8" s="17">
        <v>5.60020774607266E-2</v>
      </c>
      <c r="D8" s="17">
        <v>0.14268874309570001</v>
      </c>
      <c r="E8" s="17">
        <v>0.19869082055642701</v>
      </c>
      <c r="F8" s="17">
        <v>0.10845119102572499</v>
      </c>
      <c r="G8" s="17">
        <v>0.24116604875582301</v>
      </c>
      <c r="H8" s="17">
        <v>0.56166912005927905</v>
      </c>
      <c r="I8" s="17">
        <v>0.506698452006067</v>
      </c>
    </row>
    <row r="9" spans="2:10" x14ac:dyDescent="0.3">
      <c r="B9" s="18" t="s">
        <v>382</v>
      </c>
      <c r="C9" s="17">
        <v>0.59807121486362802</v>
      </c>
      <c r="D9" s="17">
        <v>0.47213483666613698</v>
      </c>
      <c r="E9" s="17">
        <v>0.42499996664855</v>
      </c>
      <c r="F9" s="17">
        <v>0.35712755701412902</v>
      </c>
      <c r="G9" s="17">
        <v>0.387667983741457</v>
      </c>
      <c r="H9" s="17">
        <v>0.11311470041727199</v>
      </c>
      <c r="I9" s="17">
        <v>0.204508669687883</v>
      </c>
    </row>
    <row r="10" spans="2:10" x14ac:dyDescent="0.3">
      <c r="B10" s="18" t="s">
        <v>383</v>
      </c>
      <c r="C10" s="17">
        <v>0.17825019944759399</v>
      </c>
      <c r="D10" s="17">
        <v>0.27463374137970697</v>
      </c>
      <c r="E10" s="17">
        <v>0.218572817928506</v>
      </c>
      <c r="F10" s="17">
        <v>0.32438111173709</v>
      </c>
      <c r="G10" s="17">
        <v>0.26776264385255799</v>
      </c>
      <c r="H10" s="17">
        <v>0.18077600961864801</v>
      </c>
      <c r="I10" s="17">
        <v>0.13158618369459599</v>
      </c>
    </row>
    <row r="11" spans="2:10" x14ac:dyDescent="0.3">
      <c r="B11" s="22" t="s">
        <v>142</v>
      </c>
      <c r="C11" s="21">
        <v>0.118197395551812</v>
      </c>
      <c r="D11" s="21">
        <v>0.11054267885845501</v>
      </c>
      <c r="E11" s="21">
        <v>0.157736394866517</v>
      </c>
      <c r="F11" s="21">
        <v>5.3924210973922297E-2</v>
      </c>
      <c r="G11" s="21">
        <v>5.3924210973922297E-2</v>
      </c>
      <c r="H11" s="21">
        <v>9.7776154151802699E-2</v>
      </c>
      <c r="I11" s="21">
        <v>5.3924210973922297E-2</v>
      </c>
    </row>
    <row r="12" spans="2:10" x14ac:dyDescent="0.3">
      <c r="B12" s="22" t="s">
        <v>384</v>
      </c>
      <c r="C12" s="21">
        <v>0.105481190136966</v>
      </c>
      <c r="D12" s="21">
        <v>0.14268874309570001</v>
      </c>
      <c r="E12" s="21">
        <v>0.19869082055642701</v>
      </c>
      <c r="F12" s="21">
        <v>0.26456712027485801</v>
      </c>
      <c r="G12" s="21">
        <v>0.29064516143206298</v>
      </c>
      <c r="H12" s="21">
        <v>0.60833313581227699</v>
      </c>
      <c r="I12" s="21">
        <v>0.60998093564359801</v>
      </c>
    </row>
    <row r="13" spans="2:10" x14ac:dyDescent="0.3">
      <c r="B13" s="24" t="s">
        <v>593</v>
      </c>
      <c r="C13" s="16"/>
      <c r="D13" s="16"/>
      <c r="E13" s="16"/>
      <c r="F13" s="16"/>
      <c r="G13" s="16"/>
      <c r="H13" s="16"/>
      <c r="I13" s="16"/>
    </row>
    <row r="14" spans="2:10" x14ac:dyDescent="0.3">
      <c r="B14" t="s">
        <v>47</v>
      </c>
    </row>
    <row r="15" spans="2:10" x14ac:dyDescent="0.3">
      <c r="B15" t="s">
        <v>48</v>
      </c>
    </row>
    <row r="19" spans="2:2" x14ac:dyDescent="0.3">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O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401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v>
      </c>
      <c r="D7" s="10">
        <v>8</v>
      </c>
      <c r="E7" s="10">
        <v>9</v>
      </c>
      <c r="F7" s="10"/>
      <c r="G7" s="10">
        <v>7</v>
      </c>
      <c r="H7" s="10">
        <v>4</v>
      </c>
      <c r="I7" s="10">
        <v>3</v>
      </c>
      <c r="J7" s="10">
        <v>3</v>
      </c>
      <c r="K7" s="10"/>
      <c r="L7" s="10" t="s">
        <v>255</v>
      </c>
      <c r="M7" s="10">
        <v>6</v>
      </c>
      <c r="N7" s="10">
        <v>7</v>
      </c>
      <c r="O7" s="10">
        <v>4</v>
      </c>
    </row>
    <row r="8" spans="2:15" ht="30" customHeight="1" x14ac:dyDescent="0.3">
      <c r="B8" s="11" t="s">
        <v>19</v>
      </c>
      <c r="C8" s="11">
        <v>17</v>
      </c>
      <c r="D8" s="11">
        <v>8</v>
      </c>
      <c r="E8" s="11">
        <v>9</v>
      </c>
      <c r="F8" s="11"/>
      <c r="G8" s="11">
        <v>7</v>
      </c>
      <c r="H8" s="11">
        <v>3</v>
      </c>
      <c r="I8" s="11">
        <v>3</v>
      </c>
      <c r="J8" s="11">
        <v>4</v>
      </c>
      <c r="K8" s="11"/>
      <c r="L8" s="11" t="s">
        <v>255</v>
      </c>
      <c r="M8" s="11">
        <v>6</v>
      </c>
      <c r="N8" s="11">
        <v>7</v>
      </c>
      <c r="O8" s="11">
        <v>4</v>
      </c>
    </row>
    <row r="9" spans="2:15" x14ac:dyDescent="0.3">
      <c r="B9" s="18" t="s">
        <v>380</v>
      </c>
      <c r="C9" s="17">
        <v>0</v>
      </c>
      <c r="D9" s="17">
        <v>0</v>
      </c>
      <c r="E9" s="17">
        <v>0</v>
      </c>
      <c r="F9" s="17"/>
      <c r="G9" s="17">
        <v>0</v>
      </c>
      <c r="H9" s="17">
        <v>0</v>
      </c>
      <c r="I9" s="17">
        <v>0</v>
      </c>
      <c r="J9" s="17">
        <v>0</v>
      </c>
      <c r="K9" s="17"/>
      <c r="L9" s="17" t="s">
        <v>256</v>
      </c>
      <c r="M9" s="17">
        <v>0</v>
      </c>
      <c r="N9" s="17">
        <v>0</v>
      </c>
      <c r="O9" s="17">
        <v>0</v>
      </c>
    </row>
    <row r="10" spans="2:15" x14ac:dyDescent="0.3">
      <c r="B10" s="18" t="s">
        <v>381</v>
      </c>
      <c r="C10" s="17">
        <v>0.19869082055642701</v>
      </c>
      <c r="D10" s="17">
        <v>0.118403775793354</v>
      </c>
      <c r="E10" s="17">
        <v>0.27074400853133701</v>
      </c>
      <c r="F10" s="17"/>
      <c r="G10" s="17">
        <v>0.35444735965331903</v>
      </c>
      <c r="H10" s="17">
        <v>0</v>
      </c>
      <c r="I10" s="17">
        <v>0.30291941001017197</v>
      </c>
      <c r="J10" s="17">
        <v>0</v>
      </c>
      <c r="K10" s="17"/>
      <c r="L10" s="17" t="s">
        <v>256</v>
      </c>
      <c r="M10" s="17">
        <v>0.15790576732624101</v>
      </c>
      <c r="N10" s="17">
        <v>0.36538843647528602</v>
      </c>
      <c r="O10" s="17">
        <v>0</v>
      </c>
    </row>
    <row r="11" spans="2:15" x14ac:dyDescent="0.3">
      <c r="B11" s="18" t="s">
        <v>382</v>
      </c>
      <c r="C11" s="17">
        <v>0.42499996664855</v>
      </c>
      <c r="D11" s="17">
        <v>0.400378704403001</v>
      </c>
      <c r="E11" s="17">
        <v>0.44709618954470098</v>
      </c>
      <c r="F11" s="17"/>
      <c r="G11" s="17">
        <v>0.27845346860809</v>
      </c>
      <c r="H11" s="17">
        <v>0.22414559172027601</v>
      </c>
      <c r="I11" s="17">
        <v>0.69708058998982803</v>
      </c>
      <c r="J11" s="17">
        <v>0.64623182194726503</v>
      </c>
      <c r="K11" s="17"/>
      <c r="L11" s="17" t="s">
        <v>256</v>
      </c>
      <c r="M11" s="17">
        <v>0.62571843513109904</v>
      </c>
      <c r="N11" s="17">
        <v>0.12507030842415801</v>
      </c>
      <c r="O11" s="17">
        <v>0.60527704983882802</v>
      </c>
    </row>
    <row r="12" spans="2:15" x14ac:dyDescent="0.3">
      <c r="B12" s="18" t="s">
        <v>383</v>
      </c>
      <c r="C12" s="17">
        <v>0.218572817928506</v>
      </c>
      <c r="D12" s="17">
        <v>0.24749993008865201</v>
      </c>
      <c r="E12" s="17">
        <v>0.19261233257003901</v>
      </c>
      <c r="F12" s="17"/>
      <c r="G12" s="17">
        <v>0.115916202046701</v>
      </c>
      <c r="H12" s="17">
        <v>0.48645377819144198</v>
      </c>
      <c r="I12" s="17">
        <v>0</v>
      </c>
      <c r="J12" s="17">
        <v>0.35376817805273503</v>
      </c>
      <c r="K12" s="17"/>
      <c r="L12" s="17" t="s">
        <v>256</v>
      </c>
      <c r="M12" s="17">
        <v>0.21637579754265901</v>
      </c>
      <c r="N12" s="17">
        <v>0.24370548742434001</v>
      </c>
      <c r="O12" s="17">
        <v>0.18311643980359801</v>
      </c>
    </row>
    <row r="13" spans="2:15" x14ac:dyDescent="0.3">
      <c r="B13" s="18" t="s">
        <v>142</v>
      </c>
      <c r="C13" s="21">
        <v>0.157736394866517</v>
      </c>
      <c r="D13" s="21">
        <v>0.23371758971499201</v>
      </c>
      <c r="E13" s="21">
        <v>8.9547469353923201E-2</v>
      </c>
      <c r="F13" s="21"/>
      <c r="G13" s="21">
        <v>0.25118296969189002</v>
      </c>
      <c r="H13" s="21">
        <v>0.28940063008828099</v>
      </c>
      <c r="I13" s="21">
        <v>0</v>
      </c>
      <c r="J13" s="21">
        <v>0</v>
      </c>
      <c r="K13" s="21"/>
      <c r="L13" s="21" t="s">
        <v>256</v>
      </c>
      <c r="M13" s="21">
        <v>0</v>
      </c>
      <c r="N13" s="21">
        <v>0.26583576767621597</v>
      </c>
      <c r="O13" s="21">
        <v>0.211606510357574</v>
      </c>
    </row>
    <row r="14" spans="2:15" x14ac:dyDescent="0.3">
      <c r="B14" s="18" t="s">
        <v>384</v>
      </c>
      <c r="C14" s="21">
        <v>0.19869082055642701</v>
      </c>
      <c r="D14" s="21">
        <v>0.118403775793354</v>
      </c>
      <c r="E14" s="21">
        <v>0.27074400853133701</v>
      </c>
      <c r="F14" s="21"/>
      <c r="G14" s="21">
        <v>0.35444735965331903</v>
      </c>
      <c r="H14" s="21">
        <v>0</v>
      </c>
      <c r="I14" s="21">
        <v>0.30291941001017197</v>
      </c>
      <c r="J14" s="21">
        <v>0</v>
      </c>
      <c r="K14" s="21"/>
      <c r="L14" s="21" t="s">
        <v>256</v>
      </c>
      <c r="M14" s="21">
        <v>0.15790576732624101</v>
      </c>
      <c r="N14" s="21">
        <v>0.36538843647528602</v>
      </c>
      <c r="O14" s="21">
        <v>0</v>
      </c>
    </row>
    <row r="15" spans="2:15" x14ac:dyDescent="0.3">
      <c r="B15" s="24" t="s">
        <v>593</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O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402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v>
      </c>
      <c r="D7" s="10">
        <v>8</v>
      </c>
      <c r="E7" s="10">
        <v>9</v>
      </c>
      <c r="F7" s="10"/>
      <c r="G7" s="10">
        <v>7</v>
      </c>
      <c r="H7" s="10">
        <v>4</v>
      </c>
      <c r="I7" s="10">
        <v>3</v>
      </c>
      <c r="J7" s="10">
        <v>3</v>
      </c>
      <c r="K7" s="10"/>
      <c r="L7" s="10" t="s">
        <v>255</v>
      </c>
      <c r="M7" s="10">
        <v>6</v>
      </c>
      <c r="N7" s="10">
        <v>7</v>
      </c>
      <c r="O7" s="10">
        <v>4</v>
      </c>
    </row>
    <row r="8" spans="2:15" ht="30" customHeight="1" x14ac:dyDescent="0.3">
      <c r="B8" s="11" t="s">
        <v>19</v>
      </c>
      <c r="C8" s="11">
        <v>17</v>
      </c>
      <c r="D8" s="11">
        <v>8</v>
      </c>
      <c r="E8" s="11">
        <v>9</v>
      </c>
      <c r="F8" s="11"/>
      <c r="G8" s="11">
        <v>7</v>
      </c>
      <c r="H8" s="11">
        <v>3</v>
      </c>
      <c r="I8" s="11">
        <v>3</v>
      </c>
      <c r="J8" s="11">
        <v>4</v>
      </c>
      <c r="K8" s="11"/>
      <c r="L8" s="11" t="s">
        <v>255</v>
      </c>
      <c r="M8" s="11">
        <v>6</v>
      </c>
      <c r="N8" s="11">
        <v>7</v>
      </c>
      <c r="O8" s="11">
        <v>4</v>
      </c>
    </row>
    <row r="9" spans="2:15" x14ac:dyDescent="0.3">
      <c r="B9" s="18" t="s">
        <v>380</v>
      </c>
      <c r="C9" s="17">
        <v>4.9479112676239501E-2</v>
      </c>
      <c r="D9" s="17">
        <v>0</v>
      </c>
      <c r="E9" s="17">
        <v>9.3883883296624296E-2</v>
      </c>
      <c r="F9" s="17"/>
      <c r="G9" s="17">
        <v>0.122909070930141</v>
      </c>
      <c r="H9" s="17">
        <v>0</v>
      </c>
      <c r="I9" s="17">
        <v>0</v>
      </c>
      <c r="J9" s="17">
        <v>0</v>
      </c>
      <c r="K9" s="17"/>
      <c r="L9" s="17" t="s">
        <v>256</v>
      </c>
      <c r="M9" s="17">
        <v>0</v>
      </c>
      <c r="N9" s="17">
        <v>0.126703026648922</v>
      </c>
      <c r="O9" s="17">
        <v>0</v>
      </c>
    </row>
    <row r="10" spans="2:15" x14ac:dyDescent="0.3">
      <c r="B10" s="18" t="s">
        <v>381</v>
      </c>
      <c r="C10" s="17">
        <v>5.60020774607266E-2</v>
      </c>
      <c r="D10" s="17">
        <v>0.118403775793354</v>
      </c>
      <c r="E10" s="17">
        <v>0</v>
      </c>
      <c r="F10" s="17"/>
      <c r="G10" s="17">
        <v>0</v>
      </c>
      <c r="H10" s="17">
        <v>0</v>
      </c>
      <c r="I10" s="17">
        <v>0.30291941001017197</v>
      </c>
      <c r="J10" s="17">
        <v>0</v>
      </c>
      <c r="K10" s="17"/>
      <c r="L10" s="17" t="s">
        <v>256</v>
      </c>
      <c r="M10" s="17">
        <v>0.15790576732624101</v>
      </c>
      <c r="N10" s="17">
        <v>0</v>
      </c>
      <c r="O10" s="17">
        <v>0</v>
      </c>
    </row>
    <row r="11" spans="2:15" x14ac:dyDescent="0.3">
      <c r="B11" s="18" t="s">
        <v>382</v>
      </c>
      <c r="C11" s="17">
        <v>0.59807121486362802</v>
      </c>
      <c r="D11" s="17">
        <v>0.60533879116456402</v>
      </c>
      <c r="E11" s="17">
        <v>0.59154896656219003</v>
      </c>
      <c r="F11" s="17"/>
      <c r="G11" s="17">
        <v>0.62722376644684896</v>
      </c>
      <c r="H11" s="17">
        <v>0.719651961352476</v>
      </c>
      <c r="I11" s="17">
        <v>0.34942214525689902</v>
      </c>
      <c r="J11" s="17">
        <v>0.64623182194726503</v>
      </c>
      <c r="K11" s="17"/>
      <c r="L11" s="17" t="s">
        <v>256</v>
      </c>
      <c r="M11" s="17">
        <v>0.44449111304844502</v>
      </c>
      <c r="N11" s="17">
        <v>0.73284713316057903</v>
      </c>
      <c r="O11" s="17">
        <v>0.60527704983882802</v>
      </c>
    </row>
    <row r="12" spans="2:15" x14ac:dyDescent="0.3">
      <c r="B12" s="18" t="s">
        <v>383</v>
      </c>
      <c r="C12" s="17">
        <v>0.17825019944759399</v>
      </c>
      <c r="D12" s="17">
        <v>0.16224683780179899</v>
      </c>
      <c r="E12" s="17">
        <v>0.19261233257003901</v>
      </c>
      <c r="F12" s="17"/>
      <c r="G12" s="17">
        <v>0.115916202046701</v>
      </c>
      <c r="H12" s="17">
        <v>0.280348038647524</v>
      </c>
      <c r="I12" s="17">
        <v>0</v>
      </c>
      <c r="J12" s="17">
        <v>0.35376817805273503</v>
      </c>
      <c r="K12" s="17"/>
      <c r="L12" s="17" t="s">
        <v>256</v>
      </c>
      <c r="M12" s="17">
        <v>0.21637579754265901</v>
      </c>
      <c r="N12" s="17">
        <v>0.140449840190499</v>
      </c>
      <c r="O12" s="17">
        <v>0.18311643980359801</v>
      </c>
    </row>
    <row r="13" spans="2:15" x14ac:dyDescent="0.3">
      <c r="B13" s="18" t="s">
        <v>142</v>
      </c>
      <c r="C13" s="21">
        <v>0.118197395551812</v>
      </c>
      <c r="D13" s="21">
        <v>0.11401059524028199</v>
      </c>
      <c r="E13" s="21">
        <v>0.121954817571147</v>
      </c>
      <c r="F13" s="21"/>
      <c r="G13" s="21">
        <v>0.13395096057630901</v>
      </c>
      <c r="H13" s="21">
        <v>0</v>
      </c>
      <c r="I13" s="21">
        <v>0.34765844473293001</v>
      </c>
      <c r="J13" s="21">
        <v>0</v>
      </c>
      <c r="K13" s="21"/>
      <c r="L13" s="21" t="s">
        <v>256</v>
      </c>
      <c r="M13" s="21">
        <v>0.18122732208265399</v>
      </c>
      <c r="N13" s="21">
        <v>0</v>
      </c>
      <c r="O13" s="21">
        <v>0.211606510357574</v>
      </c>
    </row>
    <row r="14" spans="2:15" x14ac:dyDescent="0.3">
      <c r="B14" s="18" t="s">
        <v>384</v>
      </c>
      <c r="C14" s="21">
        <v>0.105481190136966</v>
      </c>
      <c r="D14" s="21">
        <v>0.118403775793354</v>
      </c>
      <c r="E14" s="21">
        <v>9.3883883296624296E-2</v>
      </c>
      <c r="F14" s="21"/>
      <c r="G14" s="21">
        <v>0.122909070930141</v>
      </c>
      <c r="H14" s="21">
        <v>0</v>
      </c>
      <c r="I14" s="21">
        <v>0.30291941001017197</v>
      </c>
      <c r="J14" s="21">
        <v>0</v>
      </c>
      <c r="K14" s="21"/>
      <c r="L14" s="21" t="s">
        <v>256</v>
      </c>
      <c r="M14" s="21">
        <v>0.15790576732624101</v>
      </c>
      <c r="N14" s="21">
        <v>0.126703026648922</v>
      </c>
      <c r="O14" s="21">
        <v>0</v>
      </c>
    </row>
    <row r="15" spans="2:15" x14ac:dyDescent="0.3">
      <c r="B15" s="24" t="s">
        <v>593</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O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403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v>
      </c>
      <c r="D7" s="10">
        <v>8</v>
      </c>
      <c r="E7" s="10">
        <v>9</v>
      </c>
      <c r="F7" s="10"/>
      <c r="G7" s="10">
        <v>7</v>
      </c>
      <c r="H7" s="10">
        <v>4</v>
      </c>
      <c r="I7" s="10">
        <v>3</v>
      </c>
      <c r="J7" s="10">
        <v>3</v>
      </c>
      <c r="K7" s="10"/>
      <c r="L7" s="10" t="s">
        <v>255</v>
      </c>
      <c r="M7" s="10">
        <v>6</v>
      </c>
      <c r="N7" s="10">
        <v>7</v>
      </c>
      <c r="O7" s="10">
        <v>4</v>
      </c>
    </row>
    <row r="8" spans="2:15" ht="30" customHeight="1" x14ac:dyDescent="0.3">
      <c r="B8" s="11" t="s">
        <v>19</v>
      </c>
      <c r="C8" s="11">
        <v>17</v>
      </c>
      <c r="D8" s="11">
        <v>8</v>
      </c>
      <c r="E8" s="11">
        <v>9</v>
      </c>
      <c r="F8" s="11"/>
      <c r="G8" s="11">
        <v>7</v>
      </c>
      <c r="H8" s="11">
        <v>3</v>
      </c>
      <c r="I8" s="11">
        <v>3</v>
      </c>
      <c r="J8" s="11">
        <v>4</v>
      </c>
      <c r="K8" s="11"/>
      <c r="L8" s="11" t="s">
        <v>255</v>
      </c>
      <c r="M8" s="11">
        <v>6</v>
      </c>
      <c r="N8" s="11">
        <v>7</v>
      </c>
      <c r="O8" s="11">
        <v>4</v>
      </c>
    </row>
    <row r="9" spans="2:15" x14ac:dyDescent="0.3">
      <c r="B9" s="18" t="s">
        <v>380</v>
      </c>
      <c r="C9" s="17">
        <v>0.15611592924913301</v>
      </c>
      <c r="D9" s="17">
        <v>0</v>
      </c>
      <c r="E9" s="17">
        <v>0.29622135259931598</v>
      </c>
      <c r="F9" s="17"/>
      <c r="G9" s="17">
        <v>0.387801291970641</v>
      </c>
      <c r="H9" s="17">
        <v>0</v>
      </c>
      <c r="I9" s="17">
        <v>0</v>
      </c>
      <c r="J9" s="17">
        <v>0</v>
      </c>
      <c r="K9" s="17"/>
      <c r="L9" s="17" t="s">
        <v>256</v>
      </c>
      <c r="M9" s="17">
        <v>0</v>
      </c>
      <c r="N9" s="17">
        <v>0.23868540982636399</v>
      </c>
      <c r="O9" s="17">
        <v>0.246853540078593</v>
      </c>
    </row>
    <row r="10" spans="2:15" x14ac:dyDescent="0.3">
      <c r="B10" s="18" t="s">
        <v>381</v>
      </c>
      <c r="C10" s="17">
        <v>0.10845119102572499</v>
      </c>
      <c r="D10" s="17">
        <v>0</v>
      </c>
      <c r="E10" s="17">
        <v>0.20578014460895</v>
      </c>
      <c r="F10" s="17"/>
      <c r="G10" s="17">
        <v>0</v>
      </c>
      <c r="H10" s="17">
        <v>0.22414559172027601</v>
      </c>
      <c r="I10" s="17">
        <v>0.34942214525689902</v>
      </c>
      <c r="J10" s="17">
        <v>0</v>
      </c>
      <c r="K10" s="17"/>
      <c r="L10" s="17" t="s">
        <v>256</v>
      </c>
      <c r="M10" s="17">
        <v>0.30579345111565798</v>
      </c>
      <c r="N10" s="17">
        <v>0</v>
      </c>
      <c r="O10" s="17">
        <v>0</v>
      </c>
    </row>
    <row r="11" spans="2:15" x14ac:dyDescent="0.3">
      <c r="B11" s="18" t="s">
        <v>382</v>
      </c>
      <c r="C11" s="17">
        <v>0.35712755701412902</v>
      </c>
      <c r="D11" s="17">
        <v>0.41478167550995798</v>
      </c>
      <c r="E11" s="17">
        <v>0.30538617022169401</v>
      </c>
      <c r="F11" s="17"/>
      <c r="G11" s="17">
        <v>0.24014108004572199</v>
      </c>
      <c r="H11" s="17">
        <v>0</v>
      </c>
      <c r="I11" s="17">
        <v>0.65057785474310104</v>
      </c>
      <c r="J11" s="17">
        <v>0.64623182194726503</v>
      </c>
      <c r="K11" s="17"/>
      <c r="L11" s="17" t="s">
        <v>256</v>
      </c>
      <c r="M11" s="17">
        <v>0.33913308940889503</v>
      </c>
      <c r="N11" s="17">
        <v>0.37262406043183299</v>
      </c>
      <c r="O11" s="17">
        <v>0.35842350976023502</v>
      </c>
    </row>
    <row r="12" spans="2:15" x14ac:dyDescent="0.3">
      <c r="B12" s="18" t="s">
        <v>383</v>
      </c>
      <c r="C12" s="17">
        <v>0.32438111173709</v>
      </c>
      <c r="D12" s="17">
        <v>0.47120772924976001</v>
      </c>
      <c r="E12" s="17">
        <v>0.19261233257003901</v>
      </c>
      <c r="F12" s="17"/>
      <c r="G12" s="17">
        <v>0.238106667407327</v>
      </c>
      <c r="H12" s="17">
        <v>0.77585440827972396</v>
      </c>
      <c r="I12" s="17">
        <v>0</v>
      </c>
      <c r="J12" s="17">
        <v>0.35376817805273503</v>
      </c>
      <c r="K12" s="17"/>
      <c r="L12" s="17" t="s">
        <v>256</v>
      </c>
      <c r="M12" s="17">
        <v>0.355073459475447</v>
      </c>
      <c r="N12" s="17">
        <v>0.38869052974180202</v>
      </c>
      <c r="O12" s="17">
        <v>0.18311643980359801</v>
      </c>
    </row>
    <row r="13" spans="2:15" x14ac:dyDescent="0.3">
      <c r="B13" s="18" t="s">
        <v>142</v>
      </c>
      <c r="C13" s="21">
        <v>5.3924210973922297E-2</v>
      </c>
      <c r="D13" s="21">
        <v>0.11401059524028199</v>
      </c>
      <c r="E13" s="21">
        <v>0</v>
      </c>
      <c r="F13" s="21"/>
      <c r="G13" s="21">
        <v>0.13395096057630901</v>
      </c>
      <c r="H13" s="21">
        <v>0</v>
      </c>
      <c r="I13" s="21">
        <v>0</v>
      </c>
      <c r="J13" s="21">
        <v>0</v>
      </c>
      <c r="K13" s="21"/>
      <c r="L13" s="21" t="s">
        <v>256</v>
      </c>
      <c r="M13" s="21">
        <v>0</v>
      </c>
      <c r="N13" s="21">
        <v>0</v>
      </c>
      <c r="O13" s="21">
        <v>0.211606510357574</v>
      </c>
    </row>
    <row r="14" spans="2:15" x14ac:dyDescent="0.3">
      <c r="B14" s="18" t="s">
        <v>384</v>
      </c>
      <c r="C14" s="21">
        <v>0.26456712027485801</v>
      </c>
      <c r="D14" s="21">
        <v>0</v>
      </c>
      <c r="E14" s="21">
        <v>0.50200149720826703</v>
      </c>
      <c r="F14" s="21"/>
      <c r="G14" s="21">
        <v>0.387801291970641</v>
      </c>
      <c r="H14" s="21">
        <v>0.22414559172027601</v>
      </c>
      <c r="I14" s="21">
        <v>0.34942214525689902</v>
      </c>
      <c r="J14" s="21">
        <v>0</v>
      </c>
      <c r="K14" s="21"/>
      <c r="L14" s="21" t="s">
        <v>256</v>
      </c>
      <c r="M14" s="21">
        <v>0.30579345111565798</v>
      </c>
      <c r="N14" s="21">
        <v>0.23868540982636399</v>
      </c>
      <c r="O14" s="21">
        <v>0.246853540078593</v>
      </c>
    </row>
    <row r="15" spans="2:15" x14ac:dyDescent="0.3">
      <c r="B15" s="24" t="s">
        <v>593</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O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404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v>
      </c>
      <c r="D7" s="10">
        <v>8</v>
      </c>
      <c r="E7" s="10">
        <v>9</v>
      </c>
      <c r="F7" s="10"/>
      <c r="G7" s="10">
        <v>7</v>
      </c>
      <c r="H7" s="10">
        <v>4</v>
      </c>
      <c r="I7" s="10">
        <v>3</v>
      </c>
      <c r="J7" s="10">
        <v>3</v>
      </c>
      <c r="K7" s="10"/>
      <c r="L7" s="10" t="s">
        <v>255</v>
      </c>
      <c r="M7" s="10">
        <v>6</v>
      </c>
      <c r="N7" s="10">
        <v>7</v>
      </c>
      <c r="O7" s="10">
        <v>4</v>
      </c>
    </row>
    <row r="8" spans="2:15" ht="30" customHeight="1" x14ac:dyDescent="0.3">
      <c r="B8" s="11" t="s">
        <v>19</v>
      </c>
      <c r="C8" s="11">
        <v>17</v>
      </c>
      <c r="D8" s="11">
        <v>8</v>
      </c>
      <c r="E8" s="11">
        <v>9</v>
      </c>
      <c r="F8" s="11"/>
      <c r="G8" s="11">
        <v>7</v>
      </c>
      <c r="H8" s="11">
        <v>3</v>
      </c>
      <c r="I8" s="11">
        <v>3</v>
      </c>
      <c r="J8" s="11">
        <v>4</v>
      </c>
      <c r="K8" s="11"/>
      <c r="L8" s="11" t="s">
        <v>255</v>
      </c>
      <c r="M8" s="11">
        <v>6</v>
      </c>
      <c r="N8" s="11">
        <v>7</v>
      </c>
      <c r="O8" s="11">
        <v>4</v>
      </c>
    </row>
    <row r="9" spans="2:15" x14ac:dyDescent="0.3">
      <c r="B9" s="18" t="s">
        <v>380</v>
      </c>
      <c r="C9" s="17">
        <v>0.10328248363753099</v>
      </c>
      <c r="D9" s="17">
        <v>0.11970699447471</v>
      </c>
      <c r="E9" s="17">
        <v>8.8542392378230805E-2</v>
      </c>
      <c r="F9" s="17"/>
      <c r="G9" s="17">
        <v>0.115916202046701</v>
      </c>
      <c r="H9" s="17">
        <v>0.28940063008828099</v>
      </c>
      <c r="I9" s="17">
        <v>0</v>
      </c>
      <c r="J9" s="17">
        <v>0</v>
      </c>
      <c r="K9" s="17"/>
      <c r="L9" s="17" t="s">
        <v>256</v>
      </c>
      <c r="M9" s="17">
        <v>0</v>
      </c>
      <c r="N9" s="17">
        <v>0.14498504231746201</v>
      </c>
      <c r="O9" s="17">
        <v>0.18311643980359801</v>
      </c>
    </row>
    <row r="10" spans="2:15" x14ac:dyDescent="0.3">
      <c r="B10" s="18" t="s">
        <v>381</v>
      </c>
      <c r="C10" s="17">
        <v>0.506698452006067</v>
      </c>
      <c r="D10" s="17">
        <v>0.500034767796811</v>
      </c>
      <c r="E10" s="17">
        <v>0.51267874051154005</v>
      </c>
      <c r="F10" s="17"/>
      <c r="G10" s="17">
        <v>0.51071036290078198</v>
      </c>
      <c r="H10" s="17">
        <v>0.206105739543918</v>
      </c>
      <c r="I10" s="17">
        <v>0.65234155526707005</v>
      </c>
      <c r="J10" s="17">
        <v>0.64623182194726503</v>
      </c>
      <c r="K10" s="17"/>
      <c r="L10" s="17" t="s">
        <v>256</v>
      </c>
      <c r="M10" s="17">
        <v>0.34005247085283002</v>
      </c>
      <c r="N10" s="17">
        <v>0.59371439213328503</v>
      </c>
      <c r="O10" s="17">
        <v>0.60527704983882802</v>
      </c>
    </row>
    <row r="11" spans="2:15" x14ac:dyDescent="0.3">
      <c r="B11" s="18" t="s">
        <v>382</v>
      </c>
      <c r="C11" s="17">
        <v>0.204508669687883</v>
      </c>
      <c r="D11" s="17">
        <v>0.104000804686398</v>
      </c>
      <c r="E11" s="17">
        <v>0.29470892691842099</v>
      </c>
      <c r="F11" s="17"/>
      <c r="G11" s="17">
        <v>0.23942247447620801</v>
      </c>
      <c r="H11" s="17">
        <v>0.22414559172027601</v>
      </c>
      <c r="I11" s="17">
        <v>0.34765844473293001</v>
      </c>
      <c r="J11" s="17">
        <v>0</v>
      </c>
      <c r="K11" s="17"/>
      <c r="L11" s="17" t="s">
        <v>256</v>
      </c>
      <c r="M11" s="17">
        <v>0.44357173160451002</v>
      </c>
      <c r="N11" s="17">
        <v>0.120850725358754</v>
      </c>
      <c r="O11" s="17">
        <v>0</v>
      </c>
    </row>
    <row r="12" spans="2:15" x14ac:dyDescent="0.3">
      <c r="B12" s="18" t="s">
        <v>383</v>
      </c>
      <c r="C12" s="17">
        <v>0.13158618369459599</v>
      </c>
      <c r="D12" s="17">
        <v>0.16224683780179899</v>
      </c>
      <c r="E12" s="17">
        <v>0.104069940191808</v>
      </c>
      <c r="F12" s="17"/>
      <c r="G12" s="17">
        <v>0</v>
      </c>
      <c r="H12" s="17">
        <v>0.280348038647524</v>
      </c>
      <c r="I12" s="17">
        <v>0</v>
      </c>
      <c r="J12" s="17">
        <v>0.35376817805273503</v>
      </c>
      <c r="K12" s="17"/>
      <c r="L12" s="17" t="s">
        <v>256</v>
      </c>
      <c r="M12" s="17">
        <v>0.21637579754265901</v>
      </c>
      <c r="N12" s="17">
        <v>0.140449840190499</v>
      </c>
      <c r="O12" s="17">
        <v>0</v>
      </c>
    </row>
    <row r="13" spans="2:15" x14ac:dyDescent="0.3">
      <c r="B13" s="18" t="s">
        <v>142</v>
      </c>
      <c r="C13" s="21">
        <v>5.3924210973922297E-2</v>
      </c>
      <c r="D13" s="21">
        <v>0.11401059524028199</v>
      </c>
      <c r="E13" s="21">
        <v>0</v>
      </c>
      <c r="F13" s="21"/>
      <c r="G13" s="21">
        <v>0.13395096057630901</v>
      </c>
      <c r="H13" s="21">
        <v>0</v>
      </c>
      <c r="I13" s="21">
        <v>0</v>
      </c>
      <c r="J13" s="21">
        <v>0</v>
      </c>
      <c r="K13" s="21"/>
      <c r="L13" s="21" t="s">
        <v>256</v>
      </c>
      <c r="M13" s="21">
        <v>0</v>
      </c>
      <c r="N13" s="21">
        <v>0</v>
      </c>
      <c r="O13" s="21">
        <v>0.211606510357574</v>
      </c>
    </row>
    <row r="14" spans="2:15" x14ac:dyDescent="0.3">
      <c r="B14" s="18" t="s">
        <v>384</v>
      </c>
      <c r="C14" s="21">
        <v>0.60998093564359801</v>
      </c>
      <c r="D14" s="21">
        <v>0.619741762271521</v>
      </c>
      <c r="E14" s="21">
        <v>0.60122113288977097</v>
      </c>
      <c r="F14" s="21"/>
      <c r="G14" s="21">
        <v>0.62662656494748303</v>
      </c>
      <c r="H14" s="21">
        <v>0.49550636963220002</v>
      </c>
      <c r="I14" s="21">
        <v>0.65234155526707005</v>
      </c>
      <c r="J14" s="21">
        <v>0.64623182194726503</v>
      </c>
      <c r="K14" s="21"/>
      <c r="L14" s="21" t="s">
        <v>256</v>
      </c>
      <c r="M14" s="21">
        <v>0.34005247085283002</v>
      </c>
      <c r="N14" s="21">
        <v>0.73869943445074704</v>
      </c>
      <c r="O14" s="21">
        <v>0.78839348964242595</v>
      </c>
    </row>
    <row r="15" spans="2:15" x14ac:dyDescent="0.3">
      <c r="B15" s="24" t="s">
        <v>593</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O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405</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v>
      </c>
      <c r="D7" s="10">
        <v>8</v>
      </c>
      <c r="E7" s="10">
        <v>9</v>
      </c>
      <c r="F7" s="10"/>
      <c r="G7" s="10">
        <v>7</v>
      </c>
      <c r="H7" s="10">
        <v>4</v>
      </c>
      <c r="I7" s="10">
        <v>3</v>
      </c>
      <c r="J7" s="10">
        <v>3</v>
      </c>
      <c r="K7" s="10"/>
      <c r="L7" s="10" t="s">
        <v>255</v>
      </c>
      <c r="M7" s="10">
        <v>6</v>
      </c>
      <c r="N7" s="10">
        <v>7</v>
      </c>
      <c r="O7" s="10">
        <v>4</v>
      </c>
    </row>
    <row r="8" spans="2:15" ht="30" customHeight="1" x14ac:dyDescent="0.3">
      <c r="B8" s="11" t="s">
        <v>19</v>
      </c>
      <c r="C8" s="11">
        <v>17</v>
      </c>
      <c r="D8" s="11">
        <v>8</v>
      </c>
      <c r="E8" s="11">
        <v>9</v>
      </c>
      <c r="F8" s="11"/>
      <c r="G8" s="11">
        <v>7</v>
      </c>
      <c r="H8" s="11">
        <v>3</v>
      </c>
      <c r="I8" s="11">
        <v>3</v>
      </c>
      <c r="J8" s="11">
        <v>4</v>
      </c>
      <c r="K8" s="11"/>
      <c r="L8" s="11" t="s">
        <v>255</v>
      </c>
      <c r="M8" s="11">
        <v>6</v>
      </c>
      <c r="N8" s="11">
        <v>7</v>
      </c>
      <c r="O8" s="11">
        <v>4</v>
      </c>
    </row>
    <row r="9" spans="2:15" x14ac:dyDescent="0.3">
      <c r="B9" s="18" t="s">
        <v>380</v>
      </c>
      <c r="C9" s="17">
        <v>4.6664015752997903E-2</v>
      </c>
      <c r="D9" s="17">
        <v>0</v>
      </c>
      <c r="E9" s="17">
        <v>8.8542392378230805E-2</v>
      </c>
      <c r="F9" s="17"/>
      <c r="G9" s="17">
        <v>0.115916202046701</v>
      </c>
      <c r="H9" s="17">
        <v>0</v>
      </c>
      <c r="I9" s="17">
        <v>0</v>
      </c>
      <c r="J9" s="17">
        <v>0</v>
      </c>
      <c r="K9" s="17"/>
      <c r="L9" s="17" t="s">
        <v>256</v>
      </c>
      <c r="M9" s="17">
        <v>0</v>
      </c>
      <c r="N9" s="17">
        <v>0</v>
      </c>
      <c r="O9" s="17">
        <v>0.18311643980359801</v>
      </c>
    </row>
    <row r="10" spans="2:15" x14ac:dyDescent="0.3">
      <c r="B10" s="18" t="s">
        <v>381</v>
      </c>
      <c r="C10" s="17">
        <v>0.56166912005927905</v>
      </c>
      <c r="D10" s="17">
        <v>0.51647738078657801</v>
      </c>
      <c r="E10" s="17">
        <v>0.60222620986546305</v>
      </c>
      <c r="F10" s="17"/>
      <c r="G10" s="17">
        <v>0.62794237201636305</v>
      </c>
      <c r="H10" s="17">
        <v>0.49550636963220002</v>
      </c>
      <c r="I10" s="17">
        <v>0.65234155526707005</v>
      </c>
      <c r="J10" s="17">
        <v>0.421070872183191</v>
      </c>
      <c r="K10" s="17"/>
      <c r="L10" s="17" t="s">
        <v>256</v>
      </c>
      <c r="M10" s="17">
        <v>0.34005247085283002</v>
      </c>
      <c r="N10" s="17">
        <v>0.734479851385343</v>
      </c>
      <c r="O10" s="17">
        <v>0.60527704983882802</v>
      </c>
    </row>
    <row r="11" spans="2:15" x14ac:dyDescent="0.3">
      <c r="B11" s="18" t="s">
        <v>382</v>
      </c>
      <c r="C11" s="17">
        <v>0.11311470041727199</v>
      </c>
      <c r="D11" s="17">
        <v>0.103264381484943</v>
      </c>
      <c r="E11" s="17">
        <v>0.121954817571147</v>
      </c>
      <c r="F11" s="17"/>
      <c r="G11" s="17">
        <v>0</v>
      </c>
      <c r="H11" s="17">
        <v>0</v>
      </c>
      <c r="I11" s="17">
        <v>0.34765844473293001</v>
      </c>
      <c r="J11" s="17">
        <v>0.225160949764074</v>
      </c>
      <c r="K11" s="17"/>
      <c r="L11" s="17" t="s">
        <v>256</v>
      </c>
      <c r="M11" s="17">
        <v>0.18122732208265399</v>
      </c>
      <c r="N11" s="17">
        <v>0.12507030842415801</v>
      </c>
      <c r="O11" s="17">
        <v>0</v>
      </c>
    </row>
    <row r="12" spans="2:15" x14ac:dyDescent="0.3">
      <c r="B12" s="18" t="s">
        <v>383</v>
      </c>
      <c r="C12" s="17">
        <v>0.18077600961864801</v>
      </c>
      <c r="D12" s="17">
        <v>0.26624764248819699</v>
      </c>
      <c r="E12" s="17">
        <v>0.104069940191808</v>
      </c>
      <c r="F12" s="17"/>
      <c r="G12" s="17">
        <v>0.122190465360627</v>
      </c>
      <c r="H12" s="17">
        <v>0.280348038647524</v>
      </c>
      <c r="I12" s="17">
        <v>0</v>
      </c>
      <c r="J12" s="17">
        <v>0.35376817805273503</v>
      </c>
      <c r="K12" s="17"/>
      <c r="L12" s="17" t="s">
        <v>256</v>
      </c>
      <c r="M12" s="17">
        <v>0.355073459475447</v>
      </c>
      <c r="N12" s="17">
        <v>0.140449840190499</v>
      </c>
      <c r="O12" s="17">
        <v>0</v>
      </c>
    </row>
    <row r="13" spans="2:15" x14ac:dyDescent="0.3">
      <c r="B13" s="18" t="s">
        <v>142</v>
      </c>
      <c r="C13" s="21">
        <v>9.7776154151802699E-2</v>
      </c>
      <c r="D13" s="21">
        <v>0.11401059524028199</v>
      </c>
      <c r="E13" s="21">
        <v>8.3206639993351206E-2</v>
      </c>
      <c r="F13" s="21"/>
      <c r="G13" s="21">
        <v>0.13395096057630901</v>
      </c>
      <c r="H13" s="21">
        <v>0.22414559172027601</v>
      </c>
      <c r="I13" s="21">
        <v>0</v>
      </c>
      <c r="J13" s="21">
        <v>0</v>
      </c>
      <c r="K13" s="21"/>
      <c r="L13" s="21" t="s">
        <v>256</v>
      </c>
      <c r="M13" s="21">
        <v>0.123646747589069</v>
      </c>
      <c r="N13" s="21">
        <v>0</v>
      </c>
      <c r="O13" s="21">
        <v>0.211606510357574</v>
      </c>
    </row>
    <row r="14" spans="2:15" x14ac:dyDescent="0.3">
      <c r="B14" s="18" t="s">
        <v>384</v>
      </c>
      <c r="C14" s="21">
        <v>0.60833313581227699</v>
      </c>
      <c r="D14" s="21">
        <v>0.51647738078657801</v>
      </c>
      <c r="E14" s="21">
        <v>0.69076860224369396</v>
      </c>
      <c r="F14" s="21"/>
      <c r="G14" s="21">
        <v>0.74385857406306399</v>
      </c>
      <c r="H14" s="21">
        <v>0.49550636963220002</v>
      </c>
      <c r="I14" s="21">
        <v>0.65234155526707005</v>
      </c>
      <c r="J14" s="21">
        <v>0.421070872183191</v>
      </c>
      <c r="K14" s="21"/>
      <c r="L14" s="21" t="s">
        <v>256</v>
      </c>
      <c r="M14" s="21">
        <v>0.34005247085283002</v>
      </c>
      <c r="N14" s="21">
        <v>0.734479851385343</v>
      </c>
      <c r="O14" s="21">
        <v>0.78839348964242595</v>
      </c>
    </row>
    <row r="15" spans="2:15" x14ac:dyDescent="0.3">
      <c r="B15" s="24" t="s">
        <v>593</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O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406</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v>
      </c>
      <c r="D7" s="10">
        <v>8</v>
      </c>
      <c r="E7" s="10">
        <v>9</v>
      </c>
      <c r="F7" s="10"/>
      <c r="G7" s="10">
        <v>7</v>
      </c>
      <c r="H7" s="10">
        <v>4</v>
      </c>
      <c r="I7" s="10">
        <v>3</v>
      </c>
      <c r="J7" s="10">
        <v>3</v>
      </c>
      <c r="K7" s="10"/>
      <c r="L7" s="10" t="s">
        <v>255</v>
      </c>
      <c r="M7" s="10">
        <v>6</v>
      </c>
      <c r="N7" s="10">
        <v>7</v>
      </c>
      <c r="O7" s="10">
        <v>4</v>
      </c>
    </row>
    <row r="8" spans="2:15" ht="30" customHeight="1" x14ac:dyDescent="0.3">
      <c r="B8" s="11" t="s">
        <v>19</v>
      </c>
      <c r="C8" s="11">
        <v>17</v>
      </c>
      <c r="D8" s="11">
        <v>8</v>
      </c>
      <c r="E8" s="11">
        <v>9</v>
      </c>
      <c r="F8" s="11"/>
      <c r="G8" s="11">
        <v>7</v>
      </c>
      <c r="H8" s="11">
        <v>3</v>
      </c>
      <c r="I8" s="11">
        <v>3</v>
      </c>
      <c r="J8" s="11">
        <v>4</v>
      </c>
      <c r="K8" s="11"/>
      <c r="L8" s="11" t="s">
        <v>255</v>
      </c>
      <c r="M8" s="11">
        <v>6</v>
      </c>
      <c r="N8" s="11">
        <v>7</v>
      </c>
      <c r="O8" s="11">
        <v>4</v>
      </c>
    </row>
    <row r="9" spans="2:15" x14ac:dyDescent="0.3">
      <c r="B9" s="18" t="s">
        <v>380</v>
      </c>
      <c r="C9" s="17">
        <v>4.9479112676239501E-2</v>
      </c>
      <c r="D9" s="17">
        <v>0</v>
      </c>
      <c r="E9" s="17">
        <v>9.3883883296624296E-2</v>
      </c>
      <c r="F9" s="17"/>
      <c r="G9" s="17">
        <v>0.122909070930141</v>
      </c>
      <c r="H9" s="17">
        <v>0</v>
      </c>
      <c r="I9" s="17">
        <v>0</v>
      </c>
      <c r="J9" s="17">
        <v>0</v>
      </c>
      <c r="K9" s="17"/>
      <c r="L9" s="17" t="s">
        <v>256</v>
      </c>
      <c r="M9" s="17">
        <v>0</v>
      </c>
      <c r="N9" s="17">
        <v>0.126703026648922</v>
      </c>
      <c r="O9" s="17">
        <v>0</v>
      </c>
    </row>
    <row r="10" spans="2:15" x14ac:dyDescent="0.3">
      <c r="B10" s="18" t="s">
        <v>381</v>
      </c>
      <c r="C10" s="17">
        <v>0.24116604875582301</v>
      </c>
      <c r="D10" s="17">
        <v>0.31282051270637001</v>
      </c>
      <c r="E10" s="17">
        <v>0.17686012523471201</v>
      </c>
      <c r="F10" s="17"/>
      <c r="G10" s="17">
        <v>0.231538288723178</v>
      </c>
      <c r="H10" s="17">
        <v>0.28940063008828099</v>
      </c>
      <c r="I10" s="17">
        <v>0</v>
      </c>
      <c r="J10" s="17">
        <v>0.421070872183191</v>
      </c>
      <c r="K10" s="17"/>
      <c r="L10" s="17" t="s">
        <v>256</v>
      </c>
      <c r="M10" s="17">
        <v>0</v>
      </c>
      <c r="N10" s="17">
        <v>0.383670452143827</v>
      </c>
      <c r="O10" s="17">
        <v>0.35842350976023502</v>
      </c>
    </row>
    <row r="11" spans="2:15" x14ac:dyDescent="0.3">
      <c r="B11" s="18" t="s">
        <v>382</v>
      </c>
      <c r="C11" s="17">
        <v>0.387667983741457</v>
      </c>
      <c r="D11" s="17">
        <v>0.221668157278297</v>
      </c>
      <c r="E11" s="17">
        <v>0.53664365889862498</v>
      </c>
      <c r="F11" s="17"/>
      <c r="G11" s="17">
        <v>0.27349501236304402</v>
      </c>
      <c r="H11" s="17">
        <v>0.22414559172027601</v>
      </c>
      <c r="I11" s="17">
        <v>1</v>
      </c>
      <c r="J11" s="17">
        <v>0.225160949764074</v>
      </c>
      <c r="K11" s="17"/>
      <c r="L11" s="17" t="s">
        <v>256</v>
      </c>
      <c r="M11" s="17">
        <v>0.644926540524553</v>
      </c>
      <c r="N11" s="17">
        <v>0.245921033782912</v>
      </c>
      <c r="O11" s="17">
        <v>0.246853540078593</v>
      </c>
    </row>
    <row r="12" spans="2:15" x14ac:dyDescent="0.3">
      <c r="B12" s="18" t="s">
        <v>383</v>
      </c>
      <c r="C12" s="17">
        <v>0.26776264385255799</v>
      </c>
      <c r="D12" s="17">
        <v>0.35150073477505001</v>
      </c>
      <c r="E12" s="17">
        <v>0.19261233257003901</v>
      </c>
      <c r="F12" s="17"/>
      <c r="G12" s="17">
        <v>0.238106667407327</v>
      </c>
      <c r="H12" s="17">
        <v>0.48645377819144198</v>
      </c>
      <c r="I12" s="17">
        <v>0</v>
      </c>
      <c r="J12" s="17">
        <v>0.35376817805273503</v>
      </c>
      <c r="K12" s="17"/>
      <c r="L12" s="17" t="s">
        <v>256</v>
      </c>
      <c r="M12" s="17">
        <v>0.355073459475447</v>
      </c>
      <c r="N12" s="17">
        <v>0.24370548742434001</v>
      </c>
      <c r="O12" s="17">
        <v>0.18311643980359801</v>
      </c>
    </row>
    <row r="13" spans="2:15" x14ac:dyDescent="0.3">
      <c r="B13" s="18" t="s">
        <v>142</v>
      </c>
      <c r="C13" s="21">
        <v>5.3924210973922297E-2</v>
      </c>
      <c r="D13" s="21">
        <v>0.11401059524028199</v>
      </c>
      <c r="E13" s="21">
        <v>0</v>
      </c>
      <c r="F13" s="21"/>
      <c r="G13" s="21">
        <v>0.13395096057630901</v>
      </c>
      <c r="H13" s="21">
        <v>0</v>
      </c>
      <c r="I13" s="21">
        <v>0</v>
      </c>
      <c r="J13" s="21">
        <v>0</v>
      </c>
      <c r="K13" s="21"/>
      <c r="L13" s="21" t="s">
        <v>256</v>
      </c>
      <c r="M13" s="21">
        <v>0</v>
      </c>
      <c r="N13" s="21">
        <v>0</v>
      </c>
      <c r="O13" s="21">
        <v>0.211606510357574</v>
      </c>
    </row>
    <row r="14" spans="2:15" x14ac:dyDescent="0.3">
      <c r="B14" s="18" t="s">
        <v>384</v>
      </c>
      <c r="C14" s="21">
        <v>0.29064516143206298</v>
      </c>
      <c r="D14" s="21">
        <v>0.31282051270637001</v>
      </c>
      <c r="E14" s="21">
        <v>0.27074400853133701</v>
      </c>
      <c r="F14" s="21"/>
      <c r="G14" s="21">
        <v>0.35444735965331903</v>
      </c>
      <c r="H14" s="21">
        <v>0.28940063008828099</v>
      </c>
      <c r="I14" s="21">
        <v>0</v>
      </c>
      <c r="J14" s="21">
        <v>0.421070872183191</v>
      </c>
      <c r="K14" s="21"/>
      <c r="L14" s="21" t="s">
        <v>256</v>
      </c>
      <c r="M14" s="21">
        <v>0</v>
      </c>
      <c r="N14" s="21">
        <v>0.51037347879274797</v>
      </c>
      <c r="O14" s="21">
        <v>0.35842350976023502</v>
      </c>
    </row>
    <row r="15" spans="2:15" x14ac:dyDescent="0.3">
      <c r="B15" s="24" t="s">
        <v>593</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O19"/>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407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v>
      </c>
      <c r="D7" s="10">
        <v>8</v>
      </c>
      <c r="E7" s="10">
        <v>9</v>
      </c>
      <c r="F7" s="10"/>
      <c r="G7" s="10">
        <v>7</v>
      </c>
      <c r="H7" s="10">
        <v>4</v>
      </c>
      <c r="I7" s="10">
        <v>3</v>
      </c>
      <c r="J7" s="10">
        <v>3</v>
      </c>
      <c r="K7" s="10"/>
      <c r="L7" s="10" t="s">
        <v>255</v>
      </c>
      <c r="M7" s="10">
        <v>6</v>
      </c>
      <c r="N7" s="10">
        <v>7</v>
      </c>
      <c r="O7" s="10">
        <v>4</v>
      </c>
    </row>
    <row r="8" spans="2:15" ht="30" customHeight="1" x14ac:dyDescent="0.3">
      <c r="B8" s="11" t="s">
        <v>19</v>
      </c>
      <c r="C8" s="11">
        <v>17</v>
      </c>
      <c r="D8" s="11">
        <v>8</v>
      </c>
      <c r="E8" s="11">
        <v>9</v>
      </c>
      <c r="F8" s="11"/>
      <c r="G8" s="11">
        <v>7</v>
      </c>
      <c r="H8" s="11">
        <v>3</v>
      </c>
      <c r="I8" s="11">
        <v>3</v>
      </c>
      <c r="J8" s="11">
        <v>4</v>
      </c>
      <c r="K8" s="11"/>
      <c r="L8" s="11" t="s">
        <v>255</v>
      </c>
      <c r="M8" s="11">
        <v>6</v>
      </c>
      <c r="N8" s="11">
        <v>7</v>
      </c>
      <c r="O8" s="11">
        <v>4</v>
      </c>
    </row>
    <row r="9" spans="2:15" x14ac:dyDescent="0.3">
      <c r="B9" s="18" t="s">
        <v>380</v>
      </c>
      <c r="C9" s="17">
        <v>0</v>
      </c>
      <c r="D9" s="17">
        <v>0</v>
      </c>
      <c r="E9" s="17">
        <v>0</v>
      </c>
      <c r="F9" s="17"/>
      <c r="G9" s="17">
        <v>0</v>
      </c>
      <c r="H9" s="17">
        <v>0</v>
      </c>
      <c r="I9" s="17">
        <v>0</v>
      </c>
      <c r="J9" s="17">
        <v>0</v>
      </c>
      <c r="K9" s="17"/>
      <c r="L9" s="17" t="s">
        <v>256</v>
      </c>
      <c r="M9" s="17">
        <v>0</v>
      </c>
      <c r="N9" s="17">
        <v>0</v>
      </c>
      <c r="O9" s="17">
        <v>0</v>
      </c>
    </row>
    <row r="10" spans="2:15" x14ac:dyDescent="0.3">
      <c r="B10" s="18" t="s">
        <v>381</v>
      </c>
      <c r="C10" s="17">
        <v>0.14268874309570001</v>
      </c>
      <c r="D10" s="17">
        <v>0</v>
      </c>
      <c r="E10" s="17">
        <v>0.27074400853133701</v>
      </c>
      <c r="F10" s="17"/>
      <c r="G10" s="17">
        <v>0.35444735965331903</v>
      </c>
      <c r="H10" s="17">
        <v>0</v>
      </c>
      <c r="I10" s="17">
        <v>0</v>
      </c>
      <c r="J10" s="17">
        <v>0</v>
      </c>
      <c r="K10" s="17"/>
      <c r="L10" s="17" t="s">
        <v>256</v>
      </c>
      <c r="M10" s="17">
        <v>0</v>
      </c>
      <c r="N10" s="17">
        <v>0.36538843647528602</v>
      </c>
      <c r="O10" s="17">
        <v>0</v>
      </c>
    </row>
    <row r="11" spans="2:15" x14ac:dyDescent="0.3">
      <c r="B11" s="18" t="s">
        <v>382</v>
      </c>
      <c r="C11" s="17">
        <v>0.47213483666613698</v>
      </c>
      <c r="D11" s="17">
        <v>0.500034767796811</v>
      </c>
      <c r="E11" s="17">
        <v>0.44709618954470098</v>
      </c>
      <c r="F11" s="17"/>
      <c r="G11" s="17">
        <v>0.15626300324746301</v>
      </c>
      <c r="H11" s="17">
        <v>0.43025133126419501</v>
      </c>
      <c r="I11" s="17">
        <v>1</v>
      </c>
      <c r="J11" s="17">
        <v>0.64623182194726503</v>
      </c>
      <c r="K11" s="17"/>
      <c r="L11" s="17" t="s">
        <v>256</v>
      </c>
      <c r="M11" s="17">
        <v>0.644926540524553</v>
      </c>
      <c r="N11" s="17">
        <v>0.22832595565799901</v>
      </c>
      <c r="O11" s="17">
        <v>0.60527704983882802</v>
      </c>
    </row>
    <row r="12" spans="2:15" x14ac:dyDescent="0.3">
      <c r="B12" s="18" t="s">
        <v>383</v>
      </c>
      <c r="C12" s="17">
        <v>0.27463374137970697</v>
      </c>
      <c r="D12" s="17">
        <v>0.26624764248819699</v>
      </c>
      <c r="E12" s="17">
        <v>0.28215980192396201</v>
      </c>
      <c r="F12" s="17"/>
      <c r="G12" s="17">
        <v>0.35533867652290801</v>
      </c>
      <c r="H12" s="17">
        <v>0.280348038647524</v>
      </c>
      <c r="I12" s="17">
        <v>0</v>
      </c>
      <c r="J12" s="17">
        <v>0.35376817805273503</v>
      </c>
      <c r="K12" s="17"/>
      <c r="L12" s="17" t="s">
        <v>256</v>
      </c>
      <c r="M12" s="17">
        <v>0.355073459475447</v>
      </c>
      <c r="N12" s="17">
        <v>0.26130056554925302</v>
      </c>
      <c r="O12" s="17">
        <v>0.18311643980359801</v>
      </c>
    </row>
    <row r="13" spans="2:15" x14ac:dyDescent="0.3">
      <c r="B13" s="18" t="s">
        <v>142</v>
      </c>
      <c r="C13" s="21">
        <v>0.11054267885845501</v>
      </c>
      <c r="D13" s="21">
        <v>0.23371758971499201</v>
      </c>
      <c r="E13" s="21">
        <v>0</v>
      </c>
      <c r="F13" s="21"/>
      <c r="G13" s="21">
        <v>0.13395096057630901</v>
      </c>
      <c r="H13" s="21">
        <v>0.28940063008828099</v>
      </c>
      <c r="I13" s="21">
        <v>0</v>
      </c>
      <c r="J13" s="21">
        <v>0</v>
      </c>
      <c r="K13" s="21"/>
      <c r="L13" s="21" t="s">
        <v>256</v>
      </c>
      <c r="M13" s="21">
        <v>0</v>
      </c>
      <c r="N13" s="21">
        <v>0.14498504231746201</v>
      </c>
      <c r="O13" s="21">
        <v>0.211606510357574</v>
      </c>
    </row>
    <row r="14" spans="2:15" x14ac:dyDescent="0.3">
      <c r="B14" s="18" t="s">
        <v>384</v>
      </c>
      <c r="C14" s="21">
        <v>0.14268874309570001</v>
      </c>
      <c r="D14" s="21">
        <v>0</v>
      </c>
      <c r="E14" s="21">
        <v>0.27074400853133701</v>
      </c>
      <c r="F14" s="21"/>
      <c r="G14" s="21">
        <v>0.35444735965331903</v>
      </c>
      <c r="H14" s="21">
        <v>0</v>
      </c>
      <c r="I14" s="21">
        <v>0</v>
      </c>
      <c r="J14" s="21">
        <v>0</v>
      </c>
      <c r="K14" s="21"/>
      <c r="L14" s="21" t="s">
        <v>256</v>
      </c>
      <c r="M14" s="21">
        <v>0</v>
      </c>
      <c r="N14" s="21">
        <v>0.36538843647528602</v>
      </c>
      <c r="O14" s="21">
        <v>0</v>
      </c>
    </row>
    <row r="15" spans="2:15" x14ac:dyDescent="0.3">
      <c r="B15" s="24" t="s">
        <v>593</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K18"/>
  <sheetViews>
    <sheetView showGridLines="0" workbookViewId="0">
      <pane xSplit="2" topLeftCell="C1" activePane="topRight" state="frozen"/>
      <selection pane="topRight" activeCell="B18" sqref="B18"/>
    </sheetView>
  </sheetViews>
  <sheetFormatPr defaultColWidth="11.5546875" defaultRowHeight="14.4" x14ac:dyDescent="0.3"/>
  <cols>
    <col min="2" max="2" width="25.6640625" customWidth="1"/>
    <col min="3" max="11" width="20.6640625" customWidth="1"/>
  </cols>
  <sheetData>
    <row r="2" spans="2:11" ht="40.049999999999997" customHeight="1" x14ac:dyDescent="0.3">
      <c r="D2" s="30" t="s">
        <v>416</v>
      </c>
      <c r="E2" s="26"/>
      <c r="F2" s="26"/>
      <c r="G2" s="26"/>
      <c r="H2" s="26"/>
      <c r="I2" s="26"/>
      <c r="J2" s="26"/>
      <c r="K2" s="26"/>
    </row>
    <row r="6" spans="2:11" ht="49.95" customHeight="1" x14ac:dyDescent="0.3">
      <c r="B6" s="20" t="s">
        <v>14</v>
      </c>
      <c r="C6" s="20" t="s">
        <v>408</v>
      </c>
      <c r="D6" s="20" t="s">
        <v>409</v>
      </c>
      <c r="E6" s="20" t="s">
        <v>410</v>
      </c>
      <c r="F6" s="20" t="s">
        <v>411</v>
      </c>
      <c r="G6" s="20" t="s">
        <v>412</v>
      </c>
      <c r="H6" s="20" t="s">
        <v>413</v>
      </c>
      <c r="I6" s="20" t="s">
        <v>414</v>
      </c>
      <c r="J6" s="20" t="s">
        <v>415</v>
      </c>
    </row>
    <row r="7" spans="2:11" x14ac:dyDescent="0.3">
      <c r="B7" s="18" t="s">
        <v>380</v>
      </c>
      <c r="C7" s="17">
        <v>0.45212426933757699</v>
      </c>
      <c r="D7" s="17">
        <v>0.411781497289333</v>
      </c>
      <c r="E7" s="17">
        <v>0.41789075881244298</v>
      </c>
      <c r="F7" s="17">
        <v>0.3637006219142</v>
      </c>
      <c r="G7" s="17">
        <v>0.40859964864491399</v>
      </c>
      <c r="H7" s="17">
        <v>0.37678411321286498</v>
      </c>
      <c r="I7" s="17">
        <v>0.34632146607402198</v>
      </c>
      <c r="J7" s="17">
        <v>0.31580918140577902</v>
      </c>
    </row>
    <row r="8" spans="2:11" x14ac:dyDescent="0.3">
      <c r="B8" s="18" t="s">
        <v>381</v>
      </c>
      <c r="C8" s="17">
        <v>0.47294464424866001</v>
      </c>
      <c r="D8" s="17">
        <v>0.48036029306904499</v>
      </c>
      <c r="E8" s="17">
        <v>0.47398600296710602</v>
      </c>
      <c r="F8" s="17">
        <v>0.502222964761594</v>
      </c>
      <c r="G8" s="17">
        <v>0.43552888110860499</v>
      </c>
      <c r="H8" s="17">
        <v>0.466122266189332</v>
      </c>
      <c r="I8" s="17">
        <v>0.44177975420707499</v>
      </c>
      <c r="J8" s="17">
        <v>0.43303895202397902</v>
      </c>
    </row>
    <row r="9" spans="2:11" x14ac:dyDescent="0.3">
      <c r="B9" s="18" t="s">
        <v>382</v>
      </c>
      <c r="C9" s="17">
        <v>6.1423909071850198E-2</v>
      </c>
      <c r="D9" s="17">
        <v>9.5706408472229804E-2</v>
      </c>
      <c r="E9" s="17">
        <v>9.7645057372919605E-2</v>
      </c>
      <c r="F9" s="17">
        <v>0.10831302458478401</v>
      </c>
      <c r="G9" s="17">
        <v>0.14489460550997399</v>
      </c>
      <c r="H9" s="17">
        <v>0.130110515670013</v>
      </c>
      <c r="I9" s="17">
        <v>0.19759131226805399</v>
      </c>
      <c r="J9" s="17">
        <v>0.23751098268903201</v>
      </c>
    </row>
    <row r="10" spans="2:11" x14ac:dyDescent="0.3">
      <c r="B10" s="18" t="s">
        <v>142</v>
      </c>
      <c r="C10" s="17">
        <v>1.35071773419121E-2</v>
      </c>
      <c r="D10" s="17">
        <v>1.21518011693925E-2</v>
      </c>
      <c r="E10" s="17">
        <v>1.04781808475304E-2</v>
      </c>
      <c r="F10" s="17">
        <v>2.5763388739422501E-2</v>
      </c>
      <c r="G10" s="17">
        <v>1.0976864736507301E-2</v>
      </c>
      <c r="H10" s="17">
        <v>2.6983104927789301E-2</v>
      </c>
      <c r="I10" s="17">
        <v>1.4307467450848699E-2</v>
      </c>
      <c r="J10" s="17">
        <v>1.36408838812099E-2</v>
      </c>
    </row>
    <row r="11" spans="2:11" x14ac:dyDescent="0.3">
      <c r="B11" s="22" t="s">
        <v>384</v>
      </c>
      <c r="C11" s="21">
        <v>0.925068913586238</v>
      </c>
      <c r="D11" s="21">
        <v>0.89214179035837804</v>
      </c>
      <c r="E11" s="21">
        <v>0.89187676177955</v>
      </c>
      <c r="F11" s="21">
        <v>0.86592358667579405</v>
      </c>
      <c r="G11" s="21">
        <v>0.84412852975351804</v>
      </c>
      <c r="H11" s="21">
        <v>0.84290637940219804</v>
      </c>
      <c r="I11" s="21">
        <v>0.78810122028109697</v>
      </c>
      <c r="J11" s="21">
        <v>0.74884813342975798</v>
      </c>
    </row>
    <row r="12" spans="2:11" x14ac:dyDescent="0.3">
      <c r="B12" s="16" t="s">
        <v>318</v>
      </c>
      <c r="C12" s="16"/>
      <c r="D12" s="16"/>
      <c r="E12" s="16"/>
      <c r="F12" s="16"/>
      <c r="G12" s="16"/>
      <c r="H12" s="16"/>
      <c r="I12" s="16"/>
      <c r="J12" s="16"/>
    </row>
    <row r="13" spans="2:11" x14ac:dyDescent="0.3">
      <c r="B13" t="s">
        <v>47</v>
      </c>
    </row>
    <row r="14" spans="2:11" x14ac:dyDescent="0.3">
      <c r="B14" t="s">
        <v>48</v>
      </c>
    </row>
    <row r="18" spans="2:2" x14ac:dyDescent="0.3">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O18"/>
  <sheetViews>
    <sheetView showGridLines="0" workbookViewId="0">
      <pane xSplit="2" topLeftCell="C1" activePane="topRight" state="frozen"/>
      <selection pane="topRight" activeCell="A14" sqref="A14:XFD14"/>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417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441</v>
      </c>
      <c r="D7" s="10">
        <v>238</v>
      </c>
      <c r="E7" s="10">
        <v>202</v>
      </c>
      <c r="F7" s="10"/>
      <c r="G7" s="10">
        <v>183</v>
      </c>
      <c r="H7" s="10">
        <v>110</v>
      </c>
      <c r="I7" s="10">
        <v>70</v>
      </c>
      <c r="J7" s="10">
        <v>77</v>
      </c>
      <c r="K7" s="10"/>
      <c r="L7" s="10">
        <v>97</v>
      </c>
      <c r="M7" s="10">
        <v>128</v>
      </c>
      <c r="N7" s="10">
        <v>139</v>
      </c>
      <c r="O7" s="10">
        <v>77</v>
      </c>
    </row>
    <row r="8" spans="2:15" ht="30" customHeight="1" x14ac:dyDescent="0.3">
      <c r="B8" s="11" t="s">
        <v>19</v>
      </c>
      <c r="C8" s="11">
        <v>432</v>
      </c>
      <c r="D8" s="11">
        <v>226</v>
      </c>
      <c r="E8" s="11">
        <v>205</v>
      </c>
      <c r="F8" s="11"/>
      <c r="G8" s="11">
        <v>141</v>
      </c>
      <c r="H8" s="11">
        <v>108</v>
      </c>
      <c r="I8" s="11">
        <v>86</v>
      </c>
      <c r="J8" s="11">
        <v>95</v>
      </c>
      <c r="K8" s="11"/>
      <c r="L8" s="11">
        <v>110</v>
      </c>
      <c r="M8" s="11">
        <v>118</v>
      </c>
      <c r="N8" s="11">
        <v>116</v>
      </c>
      <c r="O8" s="11">
        <v>88</v>
      </c>
    </row>
    <row r="9" spans="2:15" x14ac:dyDescent="0.3">
      <c r="B9" s="18" t="s">
        <v>380</v>
      </c>
      <c r="C9" s="17">
        <v>0.411781497289333</v>
      </c>
      <c r="D9" s="17">
        <v>0.48218398283464597</v>
      </c>
      <c r="E9" s="17">
        <v>0.335904697953472</v>
      </c>
      <c r="F9" s="17"/>
      <c r="G9" s="17">
        <v>0.50880274108642998</v>
      </c>
      <c r="H9" s="17">
        <v>0.34037355019048399</v>
      </c>
      <c r="I9" s="17">
        <v>0.37150829891896803</v>
      </c>
      <c r="J9" s="17">
        <v>0.37989434711532399</v>
      </c>
      <c r="K9" s="17"/>
      <c r="L9" s="17">
        <v>0.39429526752080202</v>
      </c>
      <c r="M9" s="17">
        <v>0.40851308745635401</v>
      </c>
      <c r="N9" s="17">
        <v>0.42383352211229502</v>
      </c>
      <c r="O9" s="17">
        <v>0.42199566549546103</v>
      </c>
    </row>
    <row r="10" spans="2:15" x14ac:dyDescent="0.3">
      <c r="B10" s="18" t="s">
        <v>381</v>
      </c>
      <c r="C10" s="17">
        <v>0.48036029306904499</v>
      </c>
      <c r="D10" s="17">
        <v>0.44870115813295303</v>
      </c>
      <c r="E10" s="17">
        <v>0.51316969294345205</v>
      </c>
      <c r="F10" s="17"/>
      <c r="G10" s="17">
        <v>0.39221386475292902</v>
      </c>
      <c r="H10" s="17">
        <v>0.541932499527082</v>
      </c>
      <c r="I10" s="17">
        <v>0.53183804107344401</v>
      </c>
      <c r="J10" s="17">
        <v>0.49903117411395198</v>
      </c>
      <c r="K10" s="17"/>
      <c r="L10" s="17">
        <v>0.46183970202222802</v>
      </c>
      <c r="M10" s="17">
        <v>0.50500549509588399</v>
      </c>
      <c r="N10" s="17">
        <v>0.44933116822247199</v>
      </c>
      <c r="O10" s="17">
        <v>0.51135768065980303</v>
      </c>
    </row>
    <row r="11" spans="2:15" x14ac:dyDescent="0.3">
      <c r="B11" s="18" t="s">
        <v>382</v>
      </c>
      <c r="C11" s="17">
        <v>9.5706408472229804E-2</v>
      </c>
      <c r="D11" s="17">
        <v>5.3294332677724501E-2</v>
      </c>
      <c r="E11" s="17">
        <v>0.1427642948068</v>
      </c>
      <c r="F11" s="17"/>
      <c r="G11" s="17">
        <v>8.2931562727530994E-2</v>
      </c>
      <c r="H11" s="17">
        <v>0.117693950282434</v>
      </c>
      <c r="I11" s="17">
        <v>8.4837838529588802E-2</v>
      </c>
      <c r="J11" s="17">
        <v>0.100453712500277</v>
      </c>
      <c r="K11" s="17"/>
      <c r="L11" s="17">
        <v>0.135684784251904</v>
      </c>
      <c r="M11" s="17">
        <v>7.8453387010258502E-2</v>
      </c>
      <c r="N11" s="17">
        <v>9.7540117943708093E-2</v>
      </c>
      <c r="O11" s="17">
        <v>6.6646653844736503E-2</v>
      </c>
    </row>
    <row r="12" spans="2:15" x14ac:dyDescent="0.3">
      <c r="B12" s="18" t="s">
        <v>142</v>
      </c>
      <c r="C12" s="17">
        <v>1.21518011693925E-2</v>
      </c>
      <c r="D12" s="17">
        <v>1.5820526354676699E-2</v>
      </c>
      <c r="E12" s="17">
        <v>8.1613142962749206E-3</v>
      </c>
      <c r="F12" s="17"/>
      <c r="G12" s="17">
        <v>1.6051831433109901E-2</v>
      </c>
      <c r="H12" s="17">
        <v>0</v>
      </c>
      <c r="I12" s="17">
        <v>1.18158214779983E-2</v>
      </c>
      <c r="J12" s="17">
        <v>2.0620766270447798E-2</v>
      </c>
      <c r="K12" s="17"/>
      <c r="L12" s="17">
        <v>8.1802462050665197E-3</v>
      </c>
      <c r="M12" s="17">
        <v>8.0280304375028692E-3</v>
      </c>
      <c r="N12" s="17">
        <v>2.9295191721525098E-2</v>
      </c>
      <c r="O12" s="17">
        <v>0</v>
      </c>
    </row>
    <row r="13" spans="2:15" x14ac:dyDescent="0.3">
      <c r="B13" s="18" t="s">
        <v>384</v>
      </c>
      <c r="C13" s="21">
        <v>0.89214179035837804</v>
      </c>
      <c r="D13" s="21">
        <v>0.930885140967599</v>
      </c>
      <c r="E13" s="21">
        <v>0.84907439089692505</v>
      </c>
      <c r="F13" s="21"/>
      <c r="G13" s="21">
        <v>0.90101660583935905</v>
      </c>
      <c r="H13" s="21">
        <v>0.88230604971756599</v>
      </c>
      <c r="I13" s="21">
        <v>0.90334633999241298</v>
      </c>
      <c r="J13" s="21">
        <v>0.87892552122927503</v>
      </c>
      <c r="K13" s="21"/>
      <c r="L13" s="21">
        <v>0.85613496954303003</v>
      </c>
      <c r="M13" s="21">
        <v>0.91351858255223894</v>
      </c>
      <c r="N13" s="21">
        <v>0.87316469033476696</v>
      </c>
      <c r="O13" s="21">
        <v>0.933353346155263</v>
      </c>
    </row>
    <row r="14" spans="2:15" x14ac:dyDescent="0.3">
      <c r="B14" s="16" t="s">
        <v>318</v>
      </c>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O18"/>
  <sheetViews>
    <sheetView showGridLines="0" workbookViewId="0">
      <pane xSplit="2" topLeftCell="C1" activePane="topRight" state="frozen"/>
      <selection pane="topRight" activeCell="A15" sqref="A14: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418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441</v>
      </c>
      <c r="D7" s="10">
        <v>238</v>
      </c>
      <c r="E7" s="10">
        <v>202</v>
      </c>
      <c r="F7" s="10"/>
      <c r="G7" s="10">
        <v>183</v>
      </c>
      <c r="H7" s="10">
        <v>110</v>
      </c>
      <c r="I7" s="10">
        <v>70</v>
      </c>
      <c r="J7" s="10">
        <v>77</v>
      </c>
      <c r="K7" s="10"/>
      <c r="L7" s="10">
        <v>97</v>
      </c>
      <c r="M7" s="10">
        <v>128</v>
      </c>
      <c r="N7" s="10">
        <v>139</v>
      </c>
      <c r="O7" s="10">
        <v>77</v>
      </c>
    </row>
    <row r="8" spans="2:15" ht="30" customHeight="1" x14ac:dyDescent="0.3">
      <c r="B8" s="11" t="s">
        <v>19</v>
      </c>
      <c r="C8" s="11">
        <v>432</v>
      </c>
      <c r="D8" s="11">
        <v>226</v>
      </c>
      <c r="E8" s="11">
        <v>205</v>
      </c>
      <c r="F8" s="11"/>
      <c r="G8" s="11">
        <v>141</v>
      </c>
      <c r="H8" s="11">
        <v>108</v>
      </c>
      <c r="I8" s="11">
        <v>86</v>
      </c>
      <c r="J8" s="11">
        <v>95</v>
      </c>
      <c r="K8" s="11"/>
      <c r="L8" s="11">
        <v>110</v>
      </c>
      <c r="M8" s="11">
        <v>118</v>
      </c>
      <c r="N8" s="11">
        <v>116</v>
      </c>
      <c r="O8" s="11">
        <v>88</v>
      </c>
    </row>
    <row r="9" spans="2:15" x14ac:dyDescent="0.3">
      <c r="B9" s="18" t="s">
        <v>380</v>
      </c>
      <c r="C9" s="17">
        <v>0.41789075881244298</v>
      </c>
      <c r="D9" s="17">
        <v>0.46077612852038302</v>
      </c>
      <c r="E9" s="17">
        <v>0.37232577210594398</v>
      </c>
      <c r="F9" s="17"/>
      <c r="G9" s="17">
        <v>0.52262339905729105</v>
      </c>
      <c r="H9" s="17">
        <v>0.38636327708447799</v>
      </c>
      <c r="I9" s="17">
        <v>0.34233858587368499</v>
      </c>
      <c r="J9" s="17">
        <v>0.36135289462205999</v>
      </c>
      <c r="K9" s="17"/>
      <c r="L9" s="17">
        <v>0.35464174967958001</v>
      </c>
      <c r="M9" s="17">
        <v>0.41672483469490701</v>
      </c>
      <c r="N9" s="17">
        <v>0.46763751459235098</v>
      </c>
      <c r="O9" s="17">
        <v>0.43249016154897402</v>
      </c>
    </row>
    <row r="10" spans="2:15" x14ac:dyDescent="0.3">
      <c r="B10" s="18" t="s">
        <v>381</v>
      </c>
      <c r="C10" s="17">
        <v>0.47398600296710602</v>
      </c>
      <c r="D10" s="17">
        <v>0.453028805786579</v>
      </c>
      <c r="E10" s="17">
        <v>0.49499087599726599</v>
      </c>
      <c r="F10" s="17"/>
      <c r="G10" s="17">
        <v>0.38659064434896201</v>
      </c>
      <c r="H10" s="17">
        <v>0.47659636729418697</v>
      </c>
      <c r="I10" s="17">
        <v>0.63228392137802003</v>
      </c>
      <c r="J10" s="17">
        <v>0.46167776785706699</v>
      </c>
      <c r="K10" s="17"/>
      <c r="L10" s="17">
        <v>0.522912267329259</v>
      </c>
      <c r="M10" s="17">
        <v>0.43628757485286701</v>
      </c>
      <c r="N10" s="17">
        <v>0.41403353305811802</v>
      </c>
      <c r="O10" s="17">
        <v>0.54255699312848005</v>
      </c>
    </row>
    <row r="11" spans="2:15" x14ac:dyDescent="0.3">
      <c r="B11" s="18" t="s">
        <v>382</v>
      </c>
      <c r="C11" s="17">
        <v>9.7645057372919605E-2</v>
      </c>
      <c r="D11" s="17">
        <v>8.0867667385614198E-2</v>
      </c>
      <c r="E11" s="17">
        <v>0.116494662385003</v>
      </c>
      <c r="F11" s="17"/>
      <c r="G11" s="17">
        <v>6.6385236792335198E-2</v>
      </c>
      <c r="H11" s="17">
        <v>0.12698677123991101</v>
      </c>
      <c r="I11" s="17">
        <v>2.53774927482944E-2</v>
      </c>
      <c r="J11" s="17">
        <v>0.17696933752087199</v>
      </c>
      <c r="K11" s="17"/>
      <c r="L11" s="17">
        <v>0.112514864784603</v>
      </c>
      <c r="M11" s="17">
        <v>0.13959820087326599</v>
      </c>
      <c r="N11" s="17">
        <v>9.6255151987712007E-2</v>
      </c>
      <c r="O11" s="17">
        <v>2.4952845322546002E-2</v>
      </c>
    </row>
    <row r="12" spans="2:15" x14ac:dyDescent="0.3">
      <c r="B12" s="18" t="s">
        <v>142</v>
      </c>
      <c r="C12" s="17">
        <v>1.04781808475304E-2</v>
      </c>
      <c r="D12" s="17">
        <v>5.3273983074233399E-3</v>
      </c>
      <c r="E12" s="17">
        <v>1.6188689511787101E-2</v>
      </c>
      <c r="F12" s="17"/>
      <c r="G12" s="17">
        <v>2.4400719801411699E-2</v>
      </c>
      <c r="H12" s="17">
        <v>1.00535843814238E-2</v>
      </c>
      <c r="I12" s="17">
        <v>0</v>
      </c>
      <c r="J12" s="17">
        <v>0</v>
      </c>
      <c r="K12" s="17"/>
      <c r="L12" s="17">
        <v>9.9311182065571803E-3</v>
      </c>
      <c r="M12" s="17">
        <v>7.38938957896027E-3</v>
      </c>
      <c r="N12" s="17">
        <v>2.2073800361819398E-2</v>
      </c>
      <c r="O12" s="17">
        <v>0</v>
      </c>
    </row>
    <row r="13" spans="2:15" x14ac:dyDescent="0.3">
      <c r="B13" s="18" t="s">
        <v>384</v>
      </c>
      <c r="C13" s="21">
        <v>0.89187676177955</v>
      </c>
      <c r="D13" s="21">
        <v>0.91380493430696297</v>
      </c>
      <c r="E13" s="21">
        <v>0.86731664810320996</v>
      </c>
      <c r="F13" s="21"/>
      <c r="G13" s="21">
        <v>0.909214043406253</v>
      </c>
      <c r="H13" s="21">
        <v>0.86295964437866501</v>
      </c>
      <c r="I13" s="21">
        <v>0.97462250725170596</v>
      </c>
      <c r="J13" s="21">
        <v>0.82303066247912804</v>
      </c>
      <c r="K13" s="21"/>
      <c r="L13" s="21">
        <v>0.87755401700883995</v>
      </c>
      <c r="M13" s="21">
        <v>0.85301240954777402</v>
      </c>
      <c r="N13" s="21">
        <v>0.881671047650469</v>
      </c>
      <c r="O13" s="21">
        <v>0.97504715467745395</v>
      </c>
    </row>
    <row r="14" spans="2:15" x14ac:dyDescent="0.3">
      <c r="B14" s="16" t="s">
        <v>318</v>
      </c>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O18"/>
  <sheetViews>
    <sheetView showGridLines="0" workbookViewId="0">
      <pane xSplit="2" topLeftCell="C1" activePane="topRight" state="frozen"/>
      <selection pane="topRight" activeCell="A14" sqref="A14: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419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441</v>
      </c>
      <c r="D7" s="10">
        <v>238</v>
      </c>
      <c r="E7" s="10">
        <v>202</v>
      </c>
      <c r="F7" s="10"/>
      <c r="G7" s="10">
        <v>183</v>
      </c>
      <c r="H7" s="10">
        <v>110</v>
      </c>
      <c r="I7" s="10">
        <v>70</v>
      </c>
      <c r="J7" s="10">
        <v>77</v>
      </c>
      <c r="K7" s="10"/>
      <c r="L7" s="10">
        <v>97</v>
      </c>
      <c r="M7" s="10">
        <v>128</v>
      </c>
      <c r="N7" s="10">
        <v>139</v>
      </c>
      <c r="O7" s="10">
        <v>77</v>
      </c>
    </row>
    <row r="8" spans="2:15" ht="30" customHeight="1" x14ac:dyDescent="0.3">
      <c r="B8" s="11" t="s">
        <v>19</v>
      </c>
      <c r="C8" s="11">
        <v>432</v>
      </c>
      <c r="D8" s="11">
        <v>226</v>
      </c>
      <c r="E8" s="11">
        <v>205</v>
      </c>
      <c r="F8" s="11"/>
      <c r="G8" s="11">
        <v>141</v>
      </c>
      <c r="H8" s="11">
        <v>108</v>
      </c>
      <c r="I8" s="11">
        <v>86</v>
      </c>
      <c r="J8" s="11">
        <v>95</v>
      </c>
      <c r="K8" s="11"/>
      <c r="L8" s="11">
        <v>110</v>
      </c>
      <c r="M8" s="11">
        <v>118</v>
      </c>
      <c r="N8" s="11">
        <v>116</v>
      </c>
      <c r="O8" s="11">
        <v>88</v>
      </c>
    </row>
    <row r="9" spans="2:15" x14ac:dyDescent="0.3">
      <c r="B9" s="18" t="s">
        <v>380</v>
      </c>
      <c r="C9" s="17">
        <v>0.34632146607402198</v>
      </c>
      <c r="D9" s="17">
        <v>0.38642199658897097</v>
      </c>
      <c r="E9" s="17">
        <v>0.30354110024692599</v>
      </c>
      <c r="F9" s="17"/>
      <c r="G9" s="17">
        <v>0.42816199898025697</v>
      </c>
      <c r="H9" s="17">
        <v>0.32728961416253299</v>
      </c>
      <c r="I9" s="17">
        <v>0.34366795138572998</v>
      </c>
      <c r="J9" s="17">
        <v>0.242628731900697</v>
      </c>
      <c r="K9" s="17"/>
      <c r="L9" s="17">
        <v>0.40015236387217301</v>
      </c>
      <c r="M9" s="17">
        <v>0.334145654585635</v>
      </c>
      <c r="N9" s="17">
        <v>0.34167312512882703</v>
      </c>
      <c r="O9" s="17">
        <v>0.30180588602952702</v>
      </c>
    </row>
    <row r="10" spans="2:15" x14ac:dyDescent="0.3">
      <c r="B10" s="18" t="s">
        <v>381</v>
      </c>
      <c r="C10" s="17">
        <v>0.44177975420707499</v>
      </c>
      <c r="D10" s="17">
        <v>0.44487977927495898</v>
      </c>
      <c r="E10" s="17">
        <v>0.43617876225508601</v>
      </c>
      <c r="F10" s="17"/>
      <c r="G10" s="17">
        <v>0.44881027114634697</v>
      </c>
      <c r="H10" s="17">
        <v>0.38954923971345701</v>
      </c>
      <c r="I10" s="17">
        <v>0.48259301453394698</v>
      </c>
      <c r="J10" s="17">
        <v>0.458361014471729</v>
      </c>
      <c r="K10" s="17"/>
      <c r="L10" s="17">
        <v>0.34609448647262198</v>
      </c>
      <c r="M10" s="17">
        <v>0.39198162287747701</v>
      </c>
      <c r="N10" s="17">
        <v>0.50665925390433797</v>
      </c>
      <c r="O10" s="17">
        <v>0.54171263311941498</v>
      </c>
    </row>
    <row r="11" spans="2:15" x14ac:dyDescent="0.3">
      <c r="B11" s="18" t="s">
        <v>382</v>
      </c>
      <c r="C11" s="17">
        <v>0.19759131226805399</v>
      </c>
      <c r="D11" s="17">
        <v>0.16257783941936399</v>
      </c>
      <c r="E11" s="17">
        <v>0.23690511641656201</v>
      </c>
      <c r="F11" s="17"/>
      <c r="G11" s="17">
        <v>0.110804831722147</v>
      </c>
      <c r="H11" s="17">
        <v>0.27441884096306901</v>
      </c>
      <c r="I11" s="17">
        <v>0.161062410011858</v>
      </c>
      <c r="J11" s="17">
        <v>0.27367901175326897</v>
      </c>
      <c r="K11" s="17"/>
      <c r="L11" s="17">
        <v>0.24511733752520301</v>
      </c>
      <c r="M11" s="17">
        <v>0.26752992527712399</v>
      </c>
      <c r="N11" s="17">
        <v>0.13678481965720099</v>
      </c>
      <c r="O11" s="17">
        <v>0.125243508734243</v>
      </c>
    </row>
    <row r="12" spans="2:15" x14ac:dyDescent="0.3">
      <c r="B12" s="18" t="s">
        <v>142</v>
      </c>
      <c r="C12" s="17">
        <v>1.4307467450848699E-2</v>
      </c>
      <c r="D12" s="17">
        <v>6.1203847167069199E-3</v>
      </c>
      <c r="E12" s="17">
        <v>2.3375021081426001E-2</v>
      </c>
      <c r="F12" s="17"/>
      <c r="G12" s="17">
        <v>1.22228981512486E-2</v>
      </c>
      <c r="H12" s="17">
        <v>8.7423051609404299E-3</v>
      </c>
      <c r="I12" s="17">
        <v>1.2676624068465E-2</v>
      </c>
      <c r="J12" s="17">
        <v>2.5331241874304699E-2</v>
      </c>
      <c r="K12" s="17"/>
      <c r="L12" s="17">
        <v>8.6358121300015803E-3</v>
      </c>
      <c r="M12" s="17">
        <v>6.3427972597647599E-3</v>
      </c>
      <c r="N12" s="17">
        <v>1.48828013096335E-2</v>
      </c>
      <c r="O12" s="17">
        <v>3.1237972116815699E-2</v>
      </c>
    </row>
    <row r="13" spans="2:15" x14ac:dyDescent="0.3">
      <c r="B13" s="18" t="s">
        <v>384</v>
      </c>
      <c r="C13" s="21">
        <v>0.78810122028109697</v>
      </c>
      <c r="D13" s="21">
        <v>0.83130177586392895</v>
      </c>
      <c r="E13" s="21">
        <v>0.73971986250201205</v>
      </c>
      <c r="F13" s="21"/>
      <c r="G13" s="21">
        <v>0.87697227012660395</v>
      </c>
      <c r="H13" s="21">
        <v>0.71683885387599</v>
      </c>
      <c r="I13" s="21">
        <v>0.82626096591967702</v>
      </c>
      <c r="J13" s="21">
        <v>0.70098974637242595</v>
      </c>
      <c r="K13" s="21"/>
      <c r="L13" s="21">
        <v>0.74624685034479499</v>
      </c>
      <c r="M13" s="21">
        <v>0.72612727746311201</v>
      </c>
      <c r="N13" s="21">
        <v>0.84833237903316505</v>
      </c>
      <c r="O13" s="21">
        <v>0.84351851914894205</v>
      </c>
    </row>
    <row r="14" spans="2:15" x14ac:dyDescent="0.3">
      <c r="B14" s="16" t="s">
        <v>318</v>
      </c>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O18"/>
  <sheetViews>
    <sheetView showGridLines="0" workbookViewId="0">
      <pane xSplit="2" topLeftCell="C1" activePane="topRight" state="frozen"/>
      <selection pane="topRight" activeCell="A14" sqref="A14: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420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441</v>
      </c>
      <c r="D7" s="10">
        <v>238</v>
      </c>
      <c r="E7" s="10">
        <v>202</v>
      </c>
      <c r="F7" s="10"/>
      <c r="G7" s="10">
        <v>183</v>
      </c>
      <c r="H7" s="10">
        <v>110</v>
      </c>
      <c r="I7" s="10">
        <v>70</v>
      </c>
      <c r="J7" s="10">
        <v>77</v>
      </c>
      <c r="K7" s="10"/>
      <c r="L7" s="10">
        <v>97</v>
      </c>
      <c r="M7" s="10">
        <v>128</v>
      </c>
      <c r="N7" s="10">
        <v>139</v>
      </c>
      <c r="O7" s="10">
        <v>77</v>
      </c>
    </row>
    <row r="8" spans="2:15" ht="30" customHeight="1" x14ac:dyDescent="0.3">
      <c r="B8" s="11" t="s">
        <v>19</v>
      </c>
      <c r="C8" s="11">
        <v>432</v>
      </c>
      <c r="D8" s="11">
        <v>226</v>
      </c>
      <c r="E8" s="11">
        <v>205</v>
      </c>
      <c r="F8" s="11"/>
      <c r="G8" s="11">
        <v>141</v>
      </c>
      <c r="H8" s="11">
        <v>108</v>
      </c>
      <c r="I8" s="11">
        <v>86</v>
      </c>
      <c r="J8" s="11">
        <v>95</v>
      </c>
      <c r="K8" s="11"/>
      <c r="L8" s="11">
        <v>110</v>
      </c>
      <c r="M8" s="11">
        <v>118</v>
      </c>
      <c r="N8" s="11">
        <v>116</v>
      </c>
      <c r="O8" s="11">
        <v>88</v>
      </c>
    </row>
    <row r="9" spans="2:15" x14ac:dyDescent="0.3">
      <c r="B9" s="18" t="s">
        <v>380</v>
      </c>
      <c r="C9" s="17">
        <v>0.31580918140577902</v>
      </c>
      <c r="D9" s="17">
        <v>0.36185353428224798</v>
      </c>
      <c r="E9" s="17">
        <v>0.26244578991167</v>
      </c>
      <c r="F9" s="17"/>
      <c r="G9" s="17">
        <v>0.46230791475163702</v>
      </c>
      <c r="H9" s="17">
        <v>0.25762268774667701</v>
      </c>
      <c r="I9" s="17">
        <v>0.26057594467361</v>
      </c>
      <c r="J9" s="17">
        <v>0.208389248478696</v>
      </c>
      <c r="K9" s="17"/>
      <c r="L9" s="17">
        <v>0.33698060940107799</v>
      </c>
      <c r="M9" s="17">
        <v>0.31248786043457699</v>
      </c>
      <c r="N9" s="17">
        <v>0.33265771177015502</v>
      </c>
      <c r="O9" s="17">
        <v>0.271723428887086</v>
      </c>
    </row>
    <row r="10" spans="2:15" x14ac:dyDescent="0.3">
      <c r="B10" s="18" t="s">
        <v>381</v>
      </c>
      <c r="C10" s="17">
        <v>0.43303895202397902</v>
      </c>
      <c r="D10" s="17">
        <v>0.47141018620312802</v>
      </c>
      <c r="E10" s="17">
        <v>0.39250203341871598</v>
      </c>
      <c r="F10" s="17"/>
      <c r="G10" s="17">
        <v>0.38390578382877399</v>
      </c>
      <c r="H10" s="17">
        <v>0.39814915839703302</v>
      </c>
      <c r="I10" s="17">
        <v>0.47764499815622502</v>
      </c>
      <c r="J10" s="17">
        <v>0.50934491505759605</v>
      </c>
      <c r="K10" s="17"/>
      <c r="L10" s="17">
        <v>0.41109387850701201</v>
      </c>
      <c r="M10" s="17">
        <v>0.421564626850297</v>
      </c>
      <c r="N10" s="17">
        <v>0.43101862401895902</v>
      </c>
      <c r="O10" s="17">
        <v>0.47830564248384599</v>
      </c>
    </row>
    <row r="11" spans="2:15" x14ac:dyDescent="0.3">
      <c r="B11" s="18" t="s">
        <v>382</v>
      </c>
      <c r="C11" s="17">
        <v>0.23751098268903201</v>
      </c>
      <c r="D11" s="17">
        <v>0.16061589479791599</v>
      </c>
      <c r="E11" s="17">
        <v>0.32308005580285898</v>
      </c>
      <c r="F11" s="17"/>
      <c r="G11" s="17">
        <v>0.142894908817467</v>
      </c>
      <c r="H11" s="17">
        <v>0.32588503983800199</v>
      </c>
      <c r="I11" s="17">
        <v>0.24298176646985201</v>
      </c>
      <c r="J11" s="17">
        <v>0.27443066690255002</v>
      </c>
      <c r="K11" s="17"/>
      <c r="L11" s="17">
        <v>0.24268886143444501</v>
      </c>
      <c r="M11" s="17">
        <v>0.24371021861363201</v>
      </c>
      <c r="N11" s="17">
        <v>0.230860184015315</v>
      </c>
      <c r="O11" s="17">
        <v>0.231560620242489</v>
      </c>
    </row>
    <row r="12" spans="2:15" x14ac:dyDescent="0.3">
      <c r="B12" s="18" t="s">
        <v>142</v>
      </c>
      <c r="C12" s="17">
        <v>1.36408838812099E-2</v>
      </c>
      <c r="D12" s="17">
        <v>6.1203847167069199E-3</v>
      </c>
      <c r="E12" s="17">
        <v>2.19721208667552E-2</v>
      </c>
      <c r="F12" s="17"/>
      <c r="G12" s="17">
        <v>1.0891392602121901E-2</v>
      </c>
      <c r="H12" s="17">
        <v>1.8343114018288E-2</v>
      </c>
      <c r="I12" s="17">
        <v>1.8797290700312799E-2</v>
      </c>
      <c r="J12" s="17">
        <v>7.8351695611584005E-3</v>
      </c>
      <c r="K12" s="17"/>
      <c r="L12" s="17">
        <v>9.2366506574642297E-3</v>
      </c>
      <c r="M12" s="17">
        <v>2.2237294101493901E-2</v>
      </c>
      <c r="N12" s="17">
        <v>5.46348019557121E-3</v>
      </c>
      <c r="O12" s="17">
        <v>1.8410308386579598E-2</v>
      </c>
    </row>
    <row r="13" spans="2:15" x14ac:dyDescent="0.3">
      <c r="B13" s="18" t="s">
        <v>384</v>
      </c>
      <c r="C13" s="21">
        <v>0.74884813342975798</v>
      </c>
      <c r="D13" s="21">
        <v>0.833263720485377</v>
      </c>
      <c r="E13" s="21">
        <v>0.65494782333038504</v>
      </c>
      <c r="F13" s="21"/>
      <c r="G13" s="21">
        <v>0.84621369858041096</v>
      </c>
      <c r="H13" s="21">
        <v>0.65577184614370998</v>
      </c>
      <c r="I13" s="21">
        <v>0.73822094282983497</v>
      </c>
      <c r="J13" s="21">
        <v>0.71773416353629205</v>
      </c>
      <c r="K13" s="21"/>
      <c r="L13" s="21">
        <v>0.74807448790809095</v>
      </c>
      <c r="M13" s="21">
        <v>0.73405248728487404</v>
      </c>
      <c r="N13" s="21">
        <v>0.76367633578911398</v>
      </c>
      <c r="O13" s="21">
        <v>0.750029071370932</v>
      </c>
    </row>
    <row r="14" spans="2:15" x14ac:dyDescent="0.3">
      <c r="B14" s="16" t="s">
        <v>318</v>
      </c>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O18"/>
  <sheetViews>
    <sheetView showGridLines="0" workbookViewId="0">
      <pane xSplit="2" topLeftCell="C1" activePane="topRight" state="frozen"/>
      <selection pane="topRight" activeCell="A14" sqref="A14: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421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441</v>
      </c>
      <c r="D7" s="10">
        <v>238</v>
      </c>
      <c r="E7" s="10">
        <v>202</v>
      </c>
      <c r="F7" s="10"/>
      <c r="G7" s="10">
        <v>183</v>
      </c>
      <c r="H7" s="10">
        <v>110</v>
      </c>
      <c r="I7" s="10">
        <v>70</v>
      </c>
      <c r="J7" s="10">
        <v>77</v>
      </c>
      <c r="K7" s="10"/>
      <c r="L7" s="10">
        <v>97</v>
      </c>
      <c r="M7" s="10">
        <v>128</v>
      </c>
      <c r="N7" s="10">
        <v>139</v>
      </c>
      <c r="O7" s="10">
        <v>77</v>
      </c>
    </row>
    <row r="8" spans="2:15" ht="30" customHeight="1" x14ac:dyDescent="0.3">
      <c r="B8" s="11" t="s">
        <v>19</v>
      </c>
      <c r="C8" s="11">
        <v>432</v>
      </c>
      <c r="D8" s="11">
        <v>226</v>
      </c>
      <c r="E8" s="11">
        <v>205</v>
      </c>
      <c r="F8" s="11"/>
      <c r="G8" s="11">
        <v>141</v>
      </c>
      <c r="H8" s="11">
        <v>108</v>
      </c>
      <c r="I8" s="11">
        <v>86</v>
      </c>
      <c r="J8" s="11">
        <v>95</v>
      </c>
      <c r="K8" s="11"/>
      <c r="L8" s="11">
        <v>110</v>
      </c>
      <c r="M8" s="11">
        <v>118</v>
      </c>
      <c r="N8" s="11">
        <v>116</v>
      </c>
      <c r="O8" s="11">
        <v>88</v>
      </c>
    </row>
    <row r="9" spans="2:15" x14ac:dyDescent="0.3">
      <c r="B9" s="18" t="s">
        <v>380</v>
      </c>
      <c r="C9" s="17">
        <v>0.37678411321286498</v>
      </c>
      <c r="D9" s="17">
        <v>0.431543696745183</v>
      </c>
      <c r="E9" s="17">
        <v>0.31798809727593802</v>
      </c>
      <c r="F9" s="17"/>
      <c r="G9" s="17">
        <v>0.481656750751569</v>
      </c>
      <c r="H9" s="17">
        <v>0.26544335816479703</v>
      </c>
      <c r="I9" s="17">
        <v>0.40622609278366201</v>
      </c>
      <c r="J9" s="17">
        <v>0.31513357055593799</v>
      </c>
      <c r="K9" s="17"/>
      <c r="L9" s="17">
        <v>0.32636064032255202</v>
      </c>
      <c r="M9" s="17">
        <v>0.34935856760036899</v>
      </c>
      <c r="N9" s="17">
        <v>0.46009697329823401</v>
      </c>
      <c r="O9" s="17">
        <v>0.36627720287368198</v>
      </c>
    </row>
    <row r="10" spans="2:15" x14ac:dyDescent="0.3">
      <c r="B10" s="18" t="s">
        <v>381</v>
      </c>
      <c r="C10" s="17">
        <v>0.466122266189332</v>
      </c>
      <c r="D10" s="17">
        <v>0.44240661252090002</v>
      </c>
      <c r="E10" s="17">
        <v>0.49013251479823</v>
      </c>
      <c r="F10" s="17"/>
      <c r="G10" s="17">
        <v>0.40557573275400199</v>
      </c>
      <c r="H10" s="17">
        <v>0.547847113447821</v>
      </c>
      <c r="I10" s="17">
        <v>0.41275838170234302</v>
      </c>
      <c r="J10" s="17">
        <v>0.51595993308301302</v>
      </c>
      <c r="K10" s="17"/>
      <c r="L10" s="17">
        <v>0.46772229815431698</v>
      </c>
      <c r="M10" s="17">
        <v>0.46019757096201203</v>
      </c>
      <c r="N10" s="17">
        <v>0.40042035728226799</v>
      </c>
      <c r="O10" s="17">
        <v>0.55864992340575503</v>
      </c>
    </row>
    <row r="11" spans="2:15" x14ac:dyDescent="0.3">
      <c r="B11" s="18" t="s">
        <v>382</v>
      </c>
      <c r="C11" s="17">
        <v>0.130110515670013</v>
      </c>
      <c r="D11" s="17">
        <v>0.108268309616564</v>
      </c>
      <c r="E11" s="17">
        <v>0.154662220417906</v>
      </c>
      <c r="F11" s="17"/>
      <c r="G11" s="17">
        <v>9.1676057175703499E-2</v>
      </c>
      <c r="H11" s="17">
        <v>0.15027227195307799</v>
      </c>
      <c r="I11" s="17">
        <v>0.181015525513996</v>
      </c>
      <c r="J11" s="17">
        <v>0.119235777915569</v>
      </c>
      <c r="K11" s="17"/>
      <c r="L11" s="17">
        <v>0.18780569711150699</v>
      </c>
      <c r="M11" s="17">
        <v>0.168598418219854</v>
      </c>
      <c r="N11" s="17">
        <v>8.8814998356819094E-2</v>
      </c>
      <c r="O11" s="17">
        <v>6.1418605892234301E-2</v>
      </c>
    </row>
    <row r="12" spans="2:15" x14ac:dyDescent="0.3">
      <c r="B12" s="18" t="s">
        <v>142</v>
      </c>
      <c r="C12" s="17">
        <v>2.6983104927789301E-2</v>
      </c>
      <c r="D12" s="17">
        <v>1.7781381117353199E-2</v>
      </c>
      <c r="E12" s="17">
        <v>3.72171675079251E-2</v>
      </c>
      <c r="F12" s="17"/>
      <c r="G12" s="17">
        <v>2.1091459318725001E-2</v>
      </c>
      <c r="H12" s="17">
        <v>3.6437256434302998E-2</v>
      </c>
      <c r="I12" s="17">
        <v>0</v>
      </c>
      <c r="J12" s="17">
        <v>4.9670718445479697E-2</v>
      </c>
      <c r="K12" s="17"/>
      <c r="L12" s="17">
        <v>1.8111364411623702E-2</v>
      </c>
      <c r="M12" s="17">
        <v>2.1845443217765499E-2</v>
      </c>
      <c r="N12" s="17">
        <v>5.0667671062678998E-2</v>
      </c>
      <c r="O12" s="17">
        <v>1.3654267828329E-2</v>
      </c>
    </row>
    <row r="13" spans="2:15" x14ac:dyDescent="0.3">
      <c r="B13" s="18" t="s">
        <v>384</v>
      </c>
      <c r="C13" s="21">
        <v>0.84290637940219804</v>
      </c>
      <c r="D13" s="21">
        <v>0.87395030926608297</v>
      </c>
      <c r="E13" s="21">
        <v>0.80812061207416896</v>
      </c>
      <c r="F13" s="21"/>
      <c r="G13" s="21">
        <v>0.88723248350557105</v>
      </c>
      <c r="H13" s="21">
        <v>0.81329047161261903</v>
      </c>
      <c r="I13" s="21">
        <v>0.81898447448600398</v>
      </c>
      <c r="J13" s="21">
        <v>0.83109350363895096</v>
      </c>
      <c r="K13" s="21"/>
      <c r="L13" s="21">
        <v>0.79408293847686895</v>
      </c>
      <c r="M13" s="21">
        <v>0.80955613856238096</v>
      </c>
      <c r="N13" s="21">
        <v>0.86051733058050195</v>
      </c>
      <c r="O13" s="21">
        <v>0.92492712627943696</v>
      </c>
    </row>
    <row r="14" spans="2:15" x14ac:dyDescent="0.3">
      <c r="B14" s="16" t="s">
        <v>318</v>
      </c>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O18"/>
  <sheetViews>
    <sheetView showGridLines="0" workbookViewId="0">
      <pane xSplit="2" topLeftCell="C1" activePane="topRight" state="frozen"/>
      <selection pane="topRight" activeCell="A14" sqref="A14: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422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441</v>
      </c>
      <c r="D7" s="10">
        <v>238</v>
      </c>
      <c r="E7" s="10">
        <v>202</v>
      </c>
      <c r="F7" s="10"/>
      <c r="G7" s="10">
        <v>183</v>
      </c>
      <c r="H7" s="10">
        <v>110</v>
      </c>
      <c r="I7" s="10">
        <v>70</v>
      </c>
      <c r="J7" s="10">
        <v>77</v>
      </c>
      <c r="K7" s="10"/>
      <c r="L7" s="10">
        <v>97</v>
      </c>
      <c r="M7" s="10">
        <v>128</v>
      </c>
      <c r="N7" s="10">
        <v>139</v>
      </c>
      <c r="O7" s="10">
        <v>77</v>
      </c>
    </row>
    <row r="8" spans="2:15" ht="30" customHeight="1" x14ac:dyDescent="0.3">
      <c r="B8" s="11" t="s">
        <v>19</v>
      </c>
      <c r="C8" s="11">
        <v>432</v>
      </c>
      <c r="D8" s="11">
        <v>226</v>
      </c>
      <c r="E8" s="11">
        <v>205</v>
      </c>
      <c r="F8" s="11"/>
      <c r="G8" s="11">
        <v>141</v>
      </c>
      <c r="H8" s="11">
        <v>108</v>
      </c>
      <c r="I8" s="11">
        <v>86</v>
      </c>
      <c r="J8" s="11">
        <v>95</v>
      </c>
      <c r="K8" s="11"/>
      <c r="L8" s="11">
        <v>110</v>
      </c>
      <c r="M8" s="11">
        <v>118</v>
      </c>
      <c r="N8" s="11">
        <v>116</v>
      </c>
      <c r="O8" s="11">
        <v>88</v>
      </c>
    </row>
    <row r="9" spans="2:15" x14ac:dyDescent="0.3">
      <c r="B9" s="18" t="s">
        <v>380</v>
      </c>
      <c r="C9" s="17">
        <v>0.3637006219142</v>
      </c>
      <c r="D9" s="17">
        <v>0.41138639026247098</v>
      </c>
      <c r="E9" s="17">
        <v>0.31263939352938103</v>
      </c>
      <c r="F9" s="17"/>
      <c r="G9" s="17">
        <v>0.451116247889703</v>
      </c>
      <c r="H9" s="17">
        <v>0.31211333582012502</v>
      </c>
      <c r="I9" s="17">
        <v>0.32609296727793202</v>
      </c>
      <c r="J9" s="17">
        <v>0.32057704851858199</v>
      </c>
      <c r="K9" s="17"/>
      <c r="L9" s="17">
        <v>0.326022605962769</v>
      </c>
      <c r="M9" s="17">
        <v>0.403012210506077</v>
      </c>
      <c r="N9" s="17">
        <v>0.40065737344505797</v>
      </c>
      <c r="O9" s="17">
        <v>0.30930482776014501</v>
      </c>
    </row>
    <row r="10" spans="2:15" x14ac:dyDescent="0.3">
      <c r="B10" s="18" t="s">
        <v>381</v>
      </c>
      <c r="C10" s="17">
        <v>0.502222964761594</v>
      </c>
      <c r="D10" s="17">
        <v>0.47064419055130102</v>
      </c>
      <c r="E10" s="17">
        <v>0.53502963731952402</v>
      </c>
      <c r="F10" s="17"/>
      <c r="G10" s="17">
        <v>0.44110030458508198</v>
      </c>
      <c r="H10" s="17">
        <v>0.53623953154431803</v>
      </c>
      <c r="I10" s="17">
        <v>0.54051048133317803</v>
      </c>
      <c r="J10" s="17">
        <v>0.52444768973328804</v>
      </c>
      <c r="K10" s="17"/>
      <c r="L10" s="17">
        <v>0.49033411780498498</v>
      </c>
      <c r="M10" s="17">
        <v>0.43073869270860499</v>
      </c>
      <c r="N10" s="17">
        <v>0.49327646908591</v>
      </c>
      <c r="O10" s="17">
        <v>0.62428313177264405</v>
      </c>
    </row>
    <row r="11" spans="2:15" x14ac:dyDescent="0.3">
      <c r="B11" s="18" t="s">
        <v>382</v>
      </c>
      <c r="C11" s="17">
        <v>0.10831302458478401</v>
      </c>
      <c r="D11" s="17">
        <v>9.8040959970096195E-2</v>
      </c>
      <c r="E11" s="17">
        <v>0.12004410255706099</v>
      </c>
      <c r="F11" s="17"/>
      <c r="G11" s="17">
        <v>8.66919882064906E-2</v>
      </c>
      <c r="H11" s="17">
        <v>0.120106403846716</v>
      </c>
      <c r="I11" s="17">
        <v>0.105598238704875</v>
      </c>
      <c r="J11" s="17">
        <v>0.13044519928443499</v>
      </c>
      <c r="K11" s="17"/>
      <c r="L11" s="17">
        <v>0.143374262113488</v>
      </c>
      <c r="M11" s="17">
        <v>0.158859707206358</v>
      </c>
      <c r="N11" s="17">
        <v>7.7715895060757004E-2</v>
      </c>
      <c r="O11" s="17">
        <v>3.7543174185535301E-2</v>
      </c>
    </row>
    <row r="12" spans="2:15" x14ac:dyDescent="0.3">
      <c r="B12" s="18" t="s">
        <v>142</v>
      </c>
      <c r="C12" s="17">
        <v>2.5763388739422501E-2</v>
      </c>
      <c r="D12" s="17">
        <v>1.9928459216132399E-2</v>
      </c>
      <c r="E12" s="17">
        <v>3.2286866594034097E-2</v>
      </c>
      <c r="F12" s="17"/>
      <c r="G12" s="17">
        <v>2.1091459318725001E-2</v>
      </c>
      <c r="H12" s="17">
        <v>3.1540728788841198E-2</v>
      </c>
      <c r="I12" s="17">
        <v>2.7798312684014899E-2</v>
      </c>
      <c r="J12" s="17">
        <v>2.4530062463694501E-2</v>
      </c>
      <c r="K12" s="17"/>
      <c r="L12" s="17">
        <v>4.0269014118757503E-2</v>
      </c>
      <c r="M12" s="17">
        <v>7.38938957896027E-3</v>
      </c>
      <c r="N12" s="17">
        <v>2.8350262408275099E-2</v>
      </c>
      <c r="O12" s="17">
        <v>2.8868866281675998E-2</v>
      </c>
    </row>
    <row r="13" spans="2:15" x14ac:dyDescent="0.3">
      <c r="B13" s="18" t="s">
        <v>384</v>
      </c>
      <c r="C13" s="21">
        <v>0.86592358667579405</v>
      </c>
      <c r="D13" s="21">
        <v>0.88203058081377095</v>
      </c>
      <c r="E13" s="21">
        <v>0.84766903084890499</v>
      </c>
      <c r="F13" s="21"/>
      <c r="G13" s="21">
        <v>0.89221655247478404</v>
      </c>
      <c r="H13" s="21">
        <v>0.84835286736444304</v>
      </c>
      <c r="I13" s="21">
        <v>0.86660344861111005</v>
      </c>
      <c r="J13" s="21">
        <v>0.84502473825186997</v>
      </c>
      <c r="K13" s="21"/>
      <c r="L13" s="21">
        <v>0.81635672376775403</v>
      </c>
      <c r="M13" s="21">
        <v>0.83375090321468204</v>
      </c>
      <c r="N13" s="21">
        <v>0.89393384253096797</v>
      </c>
      <c r="O13" s="21">
        <v>0.93358795953278895</v>
      </c>
    </row>
    <row r="14" spans="2:15" x14ac:dyDescent="0.3">
      <c r="B14" s="16" t="s">
        <v>318</v>
      </c>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O18"/>
  <sheetViews>
    <sheetView showGridLines="0" workbookViewId="0">
      <pane xSplit="2" topLeftCell="C1" activePane="topRight" state="frozen"/>
      <selection pane="topRight" activeCell="A14" sqref="A14: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423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441</v>
      </c>
      <c r="D7" s="10">
        <v>238</v>
      </c>
      <c r="E7" s="10">
        <v>202</v>
      </c>
      <c r="F7" s="10"/>
      <c r="G7" s="10">
        <v>183</v>
      </c>
      <c r="H7" s="10">
        <v>110</v>
      </c>
      <c r="I7" s="10">
        <v>70</v>
      </c>
      <c r="J7" s="10">
        <v>77</v>
      </c>
      <c r="K7" s="10"/>
      <c r="L7" s="10">
        <v>97</v>
      </c>
      <c r="M7" s="10">
        <v>128</v>
      </c>
      <c r="N7" s="10">
        <v>139</v>
      </c>
      <c r="O7" s="10">
        <v>77</v>
      </c>
    </row>
    <row r="8" spans="2:15" ht="30" customHeight="1" x14ac:dyDescent="0.3">
      <c r="B8" s="11" t="s">
        <v>19</v>
      </c>
      <c r="C8" s="11">
        <v>432</v>
      </c>
      <c r="D8" s="11">
        <v>226</v>
      </c>
      <c r="E8" s="11">
        <v>205</v>
      </c>
      <c r="F8" s="11"/>
      <c r="G8" s="11">
        <v>141</v>
      </c>
      <c r="H8" s="11">
        <v>108</v>
      </c>
      <c r="I8" s="11">
        <v>86</v>
      </c>
      <c r="J8" s="11">
        <v>95</v>
      </c>
      <c r="K8" s="11"/>
      <c r="L8" s="11">
        <v>110</v>
      </c>
      <c r="M8" s="11">
        <v>118</v>
      </c>
      <c r="N8" s="11">
        <v>116</v>
      </c>
      <c r="O8" s="11">
        <v>88</v>
      </c>
    </row>
    <row r="9" spans="2:15" x14ac:dyDescent="0.3">
      <c r="B9" s="18" t="s">
        <v>380</v>
      </c>
      <c r="C9" s="17">
        <v>0.45212426933757699</v>
      </c>
      <c r="D9" s="17">
        <v>0.55830060982567598</v>
      </c>
      <c r="E9" s="17">
        <v>0.33702967579443299</v>
      </c>
      <c r="F9" s="17"/>
      <c r="G9" s="17">
        <v>0.54302610160611697</v>
      </c>
      <c r="H9" s="17">
        <v>0.40343291489912703</v>
      </c>
      <c r="I9" s="17">
        <v>0.45302677698902</v>
      </c>
      <c r="J9" s="17">
        <v>0.36661219625812302</v>
      </c>
      <c r="K9" s="17"/>
      <c r="L9" s="17">
        <v>0.43771549307459301</v>
      </c>
      <c r="M9" s="17">
        <v>0.46956727118814101</v>
      </c>
      <c r="N9" s="17">
        <v>0.53184855979068202</v>
      </c>
      <c r="O9" s="17">
        <v>0.341647362403037</v>
      </c>
    </row>
    <row r="10" spans="2:15" x14ac:dyDescent="0.3">
      <c r="B10" s="18" t="s">
        <v>381</v>
      </c>
      <c r="C10" s="17">
        <v>0.47294464424866001</v>
      </c>
      <c r="D10" s="17">
        <v>0.38466345151591502</v>
      </c>
      <c r="E10" s="17">
        <v>0.56804838927435297</v>
      </c>
      <c r="F10" s="17"/>
      <c r="G10" s="17">
        <v>0.37869112643691599</v>
      </c>
      <c r="H10" s="17">
        <v>0.50124611669540298</v>
      </c>
      <c r="I10" s="17">
        <v>0.50496188669688502</v>
      </c>
      <c r="J10" s="17">
        <v>0.55595621043008503</v>
      </c>
      <c r="K10" s="17"/>
      <c r="L10" s="17">
        <v>0.494621922116185</v>
      </c>
      <c r="M10" s="17">
        <v>0.43317956144580699</v>
      </c>
      <c r="N10" s="17">
        <v>0.40969062163599801</v>
      </c>
      <c r="O10" s="17">
        <v>0.58249638735437403</v>
      </c>
    </row>
    <row r="11" spans="2:15" x14ac:dyDescent="0.3">
      <c r="B11" s="18" t="s">
        <v>382</v>
      </c>
      <c r="C11" s="17">
        <v>6.1423909071850198E-2</v>
      </c>
      <c r="D11" s="17">
        <v>5.1708540350985301E-2</v>
      </c>
      <c r="E11" s="17">
        <v>7.2358381072698194E-2</v>
      </c>
      <c r="F11" s="17"/>
      <c r="G11" s="17">
        <v>6.5768355557594693E-2</v>
      </c>
      <c r="H11" s="17">
        <v>6.6460881894968293E-2</v>
      </c>
      <c r="I11" s="17">
        <v>4.20113363140944E-2</v>
      </c>
      <c r="J11" s="17">
        <v>6.7514678558898797E-2</v>
      </c>
      <c r="K11" s="17"/>
      <c r="L11" s="17">
        <v>5.6658128917895997E-2</v>
      </c>
      <c r="M11" s="17">
        <v>8.0959968056651205E-2</v>
      </c>
      <c r="N11" s="17">
        <v>4.3299042568888099E-2</v>
      </c>
      <c r="O11" s="17">
        <v>6.5140982454464799E-2</v>
      </c>
    </row>
    <row r="12" spans="2:15" x14ac:dyDescent="0.3">
      <c r="B12" s="18" t="s">
        <v>142</v>
      </c>
      <c r="C12" s="17">
        <v>1.35071773419121E-2</v>
      </c>
      <c r="D12" s="17">
        <v>5.3273983074233399E-3</v>
      </c>
      <c r="E12" s="17">
        <v>2.25635538585152E-2</v>
      </c>
      <c r="F12" s="17"/>
      <c r="G12" s="17">
        <v>1.2514416399372201E-2</v>
      </c>
      <c r="H12" s="17">
        <v>2.88600865105017E-2</v>
      </c>
      <c r="I12" s="17">
        <v>0</v>
      </c>
      <c r="J12" s="17">
        <v>9.9169147528938208E-3</v>
      </c>
      <c r="K12" s="17"/>
      <c r="L12" s="17">
        <v>1.10044558913267E-2</v>
      </c>
      <c r="M12" s="17">
        <v>1.6293199309400298E-2</v>
      </c>
      <c r="N12" s="17">
        <v>1.5161776004432401E-2</v>
      </c>
      <c r="O12" s="17">
        <v>1.0715267788124899E-2</v>
      </c>
    </row>
    <row r="13" spans="2:15" x14ac:dyDescent="0.3">
      <c r="B13" s="18" t="s">
        <v>384</v>
      </c>
      <c r="C13" s="21">
        <v>0.925068913586238</v>
      </c>
      <c r="D13" s="21">
        <v>0.94296406134159105</v>
      </c>
      <c r="E13" s="21">
        <v>0.90507806506878696</v>
      </c>
      <c r="F13" s="21"/>
      <c r="G13" s="21">
        <v>0.92171722804303302</v>
      </c>
      <c r="H13" s="21">
        <v>0.90467903159453</v>
      </c>
      <c r="I13" s="21">
        <v>0.95798866368590596</v>
      </c>
      <c r="J13" s="21">
        <v>0.92256840668820705</v>
      </c>
      <c r="K13" s="21"/>
      <c r="L13" s="21">
        <v>0.93233741519077695</v>
      </c>
      <c r="M13" s="21">
        <v>0.90274683263394895</v>
      </c>
      <c r="N13" s="21">
        <v>0.94153918142667903</v>
      </c>
      <c r="O13" s="21">
        <v>0.92414374975740998</v>
      </c>
    </row>
    <row r="14" spans="2:15" x14ac:dyDescent="0.3">
      <c r="B14" s="16" t="s">
        <v>318</v>
      </c>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O18"/>
  <sheetViews>
    <sheetView showGridLines="0" workbookViewId="0">
      <pane xSplit="2" topLeftCell="C1" activePane="topRight" state="frozen"/>
      <selection pane="topRight" activeCell="A14" sqref="A14: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424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441</v>
      </c>
      <c r="D7" s="10">
        <v>238</v>
      </c>
      <c r="E7" s="10">
        <v>202</v>
      </c>
      <c r="F7" s="10"/>
      <c r="G7" s="10">
        <v>183</v>
      </c>
      <c r="H7" s="10">
        <v>110</v>
      </c>
      <c r="I7" s="10">
        <v>70</v>
      </c>
      <c r="J7" s="10">
        <v>77</v>
      </c>
      <c r="K7" s="10"/>
      <c r="L7" s="10">
        <v>97</v>
      </c>
      <c r="M7" s="10">
        <v>128</v>
      </c>
      <c r="N7" s="10">
        <v>139</v>
      </c>
      <c r="O7" s="10">
        <v>77</v>
      </c>
    </row>
    <row r="8" spans="2:15" ht="30" customHeight="1" x14ac:dyDescent="0.3">
      <c r="B8" s="11" t="s">
        <v>19</v>
      </c>
      <c r="C8" s="11">
        <v>432</v>
      </c>
      <c r="D8" s="11">
        <v>226</v>
      </c>
      <c r="E8" s="11">
        <v>205</v>
      </c>
      <c r="F8" s="11"/>
      <c r="G8" s="11">
        <v>141</v>
      </c>
      <c r="H8" s="11">
        <v>108</v>
      </c>
      <c r="I8" s="11">
        <v>86</v>
      </c>
      <c r="J8" s="11">
        <v>95</v>
      </c>
      <c r="K8" s="11"/>
      <c r="L8" s="11">
        <v>110</v>
      </c>
      <c r="M8" s="11">
        <v>118</v>
      </c>
      <c r="N8" s="11">
        <v>116</v>
      </c>
      <c r="O8" s="11">
        <v>88</v>
      </c>
    </row>
    <row r="9" spans="2:15" x14ac:dyDescent="0.3">
      <c r="B9" s="18" t="s">
        <v>380</v>
      </c>
      <c r="C9" s="17">
        <v>0.40859964864491399</v>
      </c>
      <c r="D9" s="17">
        <v>0.47014379967603098</v>
      </c>
      <c r="E9" s="17">
        <v>0.33853959766747399</v>
      </c>
      <c r="F9" s="17"/>
      <c r="G9" s="17">
        <v>0.48670961068245699</v>
      </c>
      <c r="H9" s="17">
        <v>0.33979227923629501</v>
      </c>
      <c r="I9" s="17">
        <v>0.38882274246908799</v>
      </c>
      <c r="J9" s="17">
        <v>0.38309031182615499</v>
      </c>
      <c r="K9" s="17"/>
      <c r="L9" s="17">
        <v>0.41412635515331297</v>
      </c>
      <c r="M9" s="17">
        <v>0.41292735159314498</v>
      </c>
      <c r="N9" s="17">
        <v>0.417596515501579</v>
      </c>
      <c r="O9" s="17">
        <v>0.384090516101875</v>
      </c>
    </row>
    <row r="10" spans="2:15" x14ac:dyDescent="0.3">
      <c r="B10" s="18" t="s">
        <v>381</v>
      </c>
      <c r="C10" s="17">
        <v>0.43552888110860499</v>
      </c>
      <c r="D10" s="17">
        <v>0.39932827615513999</v>
      </c>
      <c r="E10" s="17">
        <v>0.47708232134779199</v>
      </c>
      <c r="F10" s="17"/>
      <c r="G10" s="17">
        <v>0.39213104159947798</v>
      </c>
      <c r="H10" s="17">
        <v>0.49992259383695697</v>
      </c>
      <c r="I10" s="17">
        <v>0.44588261619442598</v>
      </c>
      <c r="J10" s="17">
        <v>0.421690328996915</v>
      </c>
      <c r="K10" s="17"/>
      <c r="L10" s="17">
        <v>0.46737345668162</v>
      </c>
      <c r="M10" s="17">
        <v>0.38024902943543498</v>
      </c>
      <c r="N10" s="17">
        <v>0.42002478006419303</v>
      </c>
      <c r="O10" s="17">
        <v>0.49022922768661498</v>
      </c>
    </row>
    <row r="11" spans="2:15" x14ac:dyDescent="0.3">
      <c r="B11" s="18" t="s">
        <v>382</v>
      </c>
      <c r="C11" s="17">
        <v>0.14489460550997399</v>
      </c>
      <c r="D11" s="17">
        <v>0.11672114928437199</v>
      </c>
      <c r="E11" s="17">
        <v>0.176473033477655</v>
      </c>
      <c r="F11" s="17"/>
      <c r="G11" s="17">
        <v>0.101994944431912</v>
      </c>
      <c r="H11" s="17">
        <v>0.16028512692674801</v>
      </c>
      <c r="I11" s="17">
        <v>0.15347881985848799</v>
      </c>
      <c r="J11" s="17">
        <v>0.18451550765937599</v>
      </c>
      <c r="K11" s="17"/>
      <c r="L11" s="17">
        <v>0.11850018816506599</v>
      </c>
      <c r="M11" s="17">
        <v>0.19943422939246</v>
      </c>
      <c r="N11" s="17">
        <v>0.12908762176994601</v>
      </c>
      <c r="O11" s="17">
        <v>0.12568025621150999</v>
      </c>
    </row>
    <row r="12" spans="2:15" x14ac:dyDescent="0.3">
      <c r="B12" s="18" t="s">
        <v>142</v>
      </c>
      <c r="C12" s="17">
        <v>1.0976864736507301E-2</v>
      </c>
      <c r="D12" s="17">
        <v>1.3806774884457E-2</v>
      </c>
      <c r="E12" s="17">
        <v>7.9050475070796804E-3</v>
      </c>
      <c r="F12" s="17"/>
      <c r="G12" s="17">
        <v>1.91644032861529E-2</v>
      </c>
      <c r="H12" s="17">
        <v>0</v>
      </c>
      <c r="I12" s="17">
        <v>1.18158214779983E-2</v>
      </c>
      <c r="J12" s="17">
        <v>1.0703851517554E-2</v>
      </c>
      <c r="K12" s="17"/>
      <c r="L12" s="17">
        <v>0</v>
      </c>
      <c r="M12" s="17">
        <v>7.38938957896027E-3</v>
      </c>
      <c r="N12" s="17">
        <v>3.3291082664281699E-2</v>
      </c>
      <c r="O12" s="17">
        <v>0</v>
      </c>
    </row>
    <row r="13" spans="2:15" x14ac:dyDescent="0.3">
      <c r="B13" s="18" t="s">
        <v>384</v>
      </c>
      <c r="C13" s="21">
        <v>0.84412852975351804</v>
      </c>
      <c r="D13" s="21">
        <v>0.86947207583117103</v>
      </c>
      <c r="E13" s="21">
        <v>0.81562191901526604</v>
      </c>
      <c r="F13" s="21"/>
      <c r="G13" s="21">
        <v>0.87884065228193498</v>
      </c>
      <c r="H13" s="21">
        <v>0.83971487307325199</v>
      </c>
      <c r="I13" s="21">
        <v>0.83470535866351403</v>
      </c>
      <c r="J13" s="21">
        <v>0.80478064082306999</v>
      </c>
      <c r="K13" s="21"/>
      <c r="L13" s="21">
        <v>0.88149981183493398</v>
      </c>
      <c r="M13" s="21">
        <v>0.79317638102858001</v>
      </c>
      <c r="N13" s="21">
        <v>0.83762129556577203</v>
      </c>
      <c r="O13" s="21">
        <v>0.87431974378848998</v>
      </c>
    </row>
    <row r="14" spans="2:15" x14ac:dyDescent="0.3">
      <c r="B14" s="16" t="s">
        <v>318</v>
      </c>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J18"/>
  <sheetViews>
    <sheetView showGridLines="0" workbookViewId="0">
      <pane xSplit="2" topLeftCell="C1" activePane="topRight" state="frozen"/>
      <selection pane="topRight" activeCell="A12" sqref="A12:XFD13"/>
    </sheetView>
  </sheetViews>
  <sheetFormatPr defaultColWidth="11.5546875" defaultRowHeight="14.4" x14ac:dyDescent="0.3"/>
  <cols>
    <col min="2" max="2" width="25.6640625" customWidth="1"/>
    <col min="3" max="10" width="20.6640625" customWidth="1"/>
  </cols>
  <sheetData>
    <row r="2" spans="2:10" ht="40.049999999999997" customHeight="1" x14ac:dyDescent="0.3">
      <c r="D2" s="30" t="s">
        <v>416</v>
      </c>
      <c r="E2" s="26"/>
      <c r="F2" s="26"/>
      <c r="G2" s="26"/>
      <c r="H2" s="26"/>
      <c r="I2" s="26"/>
      <c r="J2" s="26"/>
    </row>
    <row r="6" spans="2:10" ht="49.95" customHeight="1" x14ac:dyDescent="0.3">
      <c r="B6" s="20" t="s">
        <v>14</v>
      </c>
      <c r="C6" s="20" t="s">
        <v>425</v>
      </c>
      <c r="D6" s="20" t="s">
        <v>426</v>
      </c>
      <c r="E6" s="20" t="s">
        <v>427</v>
      </c>
      <c r="F6" s="20" t="s">
        <v>428</v>
      </c>
      <c r="G6" s="20" t="s">
        <v>429</v>
      </c>
      <c r="H6" s="20" t="s">
        <v>430</v>
      </c>
      <c r="I6" s="20" t="s">
        <v>431</v>
      </c>
    </row>
    <row r="7" spans="2:10" x14ac:dyDescent="0.3">
      <c r="B7" s="18" t="s">
        <v>380</v>
      </c>
      <c r="C7" s="17">
        <v>0.42607994767187701</v>
      </c>
      <c r="D7" s="17">
        <v>0.34045859232039399</v>
      </c>
      <c r="E7" s="17">
        <v>0.33311465747372498</v>
      </c>
      <c r="F7" s="17">
        <v>0.271463137273043</v>
      </c>
      <c r="G7" s="17">
        <v>0.22521296551155301</v>
      </c>
      <c r="H7" s="17">
        <v>0.172183705663744</v>
      </c>
      <c r="I7" s="17">
        <v>9.6576325016618503E-2</v>
      </c>
    </row>
    <row r="8" spans="2:10" x14ac:dyDescent="0.3">
      <c r="B8" s="18" t="s">
        <v>381</v>
      </c>
      <c r="C8" s="17">
        <v>0.50069713206343203</v>
      </c>
      <c r="D8" s="17">
        <v>0.51942300582956102</v>
      </c>
      <c r="E8" s="17">
        <v>0.51943171162266799</v>
      </c>
      <c r="F8" s="17">
        <v>0.49354258484493302</v>
      </c>
      <c r="G8" s="17">
        <v>0.443356147573294</v>
      </c>
      <c r="H8" s="17">
        <v>0.41648252873515801</v>
      </c>
      <c r="I8" s="17">
        <v>0.297459925821626</v>
      </c>
    </row>
    <row r="9" spans="2:10" x14ac:dyDescent="0.3">
      <c r="B9" s="18" t="s">
        <v>382</v>
      </c>
      <c r="C9" s="17">
        <v>6.3717757317331605E-2</v>
      </c>
      <c r="D9" s="17">
        <v>0.124924142724555</v>
      </c>
      <c r="E9" s="17">
        <v>0.10935832031974101</v>
      </c>
      <c r="F9" s="17">
        <v>0.19005799501774601</v>
      </c>
      <c r="G9" s="17">
        <v>0.26123061556300198</v>
      </c>
      <c r="H9" s="17">
        <v>0.36992433510235001</v>
      </c>
      <c r="I9" s="17">
        <v>0.54551988016668396</v>
      </c>
    </row>
    <row r="10" spans="2:10" x14ac:dyDescent="0.3">
      <c r="B10" s="18" t="s">
        <v>142</v>
      </c>
      <c r="C10" s="17">
        <v>9.5051629473593205E-3</v>
      </c>
      <c r="D10" s="17">
        <v>1.5194259125489201E-2</v>
      </c>
      <c r="E10" s="17">
        <v>3.8095310583866199E-2</v>
      </c>
      <c r="F10" s="17">
        <v>4.4936282864278997E-2</v>
      </c>
      <c r="G10" s="17">
        <v>7.0200271352150595E-2</v>
      </c>
      <c r="H10" s="17">
        <v>4.1409430498748102E-2</v>
      </c>
      <c r="I10" s="17">
        <v>6.0443868995071898E-2</v>
      </c>
    </row>
    <row r="11" spans="2:10" x14ac:dyDescent="0.3">
      <c r="B11" s="22" t="s">
        <v>384</v>
      </c>
      <c r="C11" s="21">
        <v>0.92677707973530898</v>
      </c>
      <c r="D11" s="21">
        <v>0.85988159814995502</v>
      </c>
      <c r="E11" s="21">
        <v>0.85254636909639303</v>
      </c>
      <c r="F11" s="21">
        <v>0.76500572211797502</v>
      </c>
      <c r="G11" s="21">
        <v>0.66856911308484701</v>
      </c>
      <c r="H11" s="21">
        <v>0.58866623439890198</v>
      </c>
      <c r="I11" s="21">
        <v>0.39403625083824401</v>
      </c>
    </row>
    <row r="12" spans="2:10" x14ac:dyDescent="0.3">
      <c r="B12" s="16" t="s">
        <v>318</v>
      </c>
      <c r="C12" s="16"/>
      <c r="D12" s="16"/>
      <c r="E12" s="16"/>
      <c r="F12" s="16"/>
      <c r="G12" s="16"/>
      <c r="H12" s="16"/>
      <c r="I12" s="16"/>
    </row>
    <row r="13" spans="2:10" x14ac:dyDescent="0.3">
      <c r="B13" t="s">
        <v>47</v>
      </c>
    </row>
    <row r="14" spans="2:10" x14ac:dyDescent="0.3">
      <c r="B14" t="s">
        <v>48</v>
      </c>
    </row>
    <row r="18" spans="2:2" x14ac:dyDescent="0.3">
      <c r="B18"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O18"/>
  <sheetViews>
    <sheetView showGridLines="0" workbookViewId="0">
      <pane xSplit="2" topLeftCell="C1" activePane="topRight" state="frozen"/>
      <selection pane="topRight" activeCell="A14" sqref="A14: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432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441</v>
      </c>
      <c r="D7" s="10">
        <v>238</v>
      </c>
      <c r="E7" s="10">
        <v>202</v>
      </c>
      <c r="F7" s="10"/>
      <c r="G7" s="10">
        <v>183</v>
      </c>
      <c r="H7" s="10">
        <v>110</v>
      </c>
      <c r="I7" s="10">
        <v>70</v>
      </c>
      <c r="J7" s="10">
        <v>77</v>
      </c>
      <c r="K7" s="10"/>
      <c r="L7" s="10">
        <v>97</v>
      </c>
      <c r="M7" s="10">
        <v>128</v>
      </c>
      <c r="N7" s="10">
        <v>139</v>
      </c>
      <c r="O7" s="10">
        <v>77</v>
      </c>
    </row>
    <row r="8" spans="2:15" ht="30" customHeight="1" x14ac:dyDescent="0.3">
      <c r="B8" s="11" t="s">
        <v>19</v>
      </c>
      <c r="C8" s="11">
        <v>432</v>
      </c>
      <c r="D8" s="11">
        <v>226</v>
      </c>
      <c r="E8" s="11">
        <v>205</v>
      </c>
      <c r="F8" s="11"/>
      <c r="G8" s="11">
        <v>141</v>
      </c>
      <c r="H8" s="11">
        <v>108</v>
      </c>
      <c r="I8" s="11">
        <v>86</v>
      </c>
      <c r="J8" s="11">
        <v>95</v>
      </c>
      <c r="K8" s="11"/>
      <c r="L8" s="11">
        <v>110</v>
      </c>
      <c r="M8" s="11">
        <v>118</v>
      </c>
      <c r="N8" s="11">
        <v>116</v>
      </c>
      <c r="O8" s="11">
        <v>88</v>
      </c>
    </row>
    <row r="9" spans="2:15" x14ac:dyDescent="0.3">
      <c r="B9" s="18" t="s">
        <v>380</v>
      </c>
      <c r="C9" s="17">
        <v>0.271463137273043</v>
      </c>
      <c r="D9" s="17">
        <v>0.31253083562278799</v>
      </c>
      <c r="E9" s="17">
        <v>0.22732469323123899</v>
      </c>
      <c r="F9" s="17"/>
      <c r="G9" s="17">
        <v>0.34984797467884898</v>
      </c>
      <c r="H9" s="17">
        <v>0.226550583664517</v>
      </c>
      <c r="I9" s="17">
        <v>0.22492393685082401</v>
      </c>
      <c r="J9" s="17">
        <v>0.24122063981545999</v>
      </c>
      <c r="K9" s="17"/>
      <c r="L9" s="17">
        <v>0.22168246777366499</v>
      </c>
      <c r="M9" s="17">
        <v>0.25709775063916801</v>
      </c>
      <c r="N9" s="17">
        <v>0.32574975421497099</v>
      </c>
      <c r="O9" s="17">
        <v>0.280970732364272</v>
      </c>
    </row>
    <row r="10" spans="2:15" x14ac:dyDescent="0.3">
      <c r="B10" s="18" t="s">
        <v>381</v>
      </c>
      <c r="C10" s="17">
        <v>0.49354258484493302</v>
      </c>
      <c r="D10" s="17">
        <v>0.50079386286670002</v>
      </c>
      <c r="E10" s="17">
        <v>0.48357530937105803</v>
      </c>
      <c r="F10" s="17"/>
      <c r="G10" s="17">
        <v>0.487935332101116</v>
      </c>
      <c r="H10" s="17">
        <v>0.51059532175292</v>
      </c>
      <c r="I10" s="17">
        <v>0.62107269198687598</v>
      </c>
      <c r="J10" s="17">
        <v>0.372127900840036</v>
      </c>
      <c r="K10" s="17"/>
      <c r="L10" s="17">
        <v>0.55041347913761596</v>
      </c>
      <c r="M10" s="17">
        <v>0.47501718576497498</v>
      </c>
      <c r="N10" s="17">
        <v>0.48641580935265599</v>
      </c>
      <c r="O10" s="17">
        <v>0.45699734762177102</v>
      </c>
    </row>
    <row r="11" spans="2:15" x14ac:dyDescent="0.3">
      <c r="B11" s="18" t="s">
        <v>382</v>
      </c>
      <c r="C11" s="17">
        <v>0.19005799501774601</v>
      </c>
      <c r="D11" s="17">
        <v>0.150009384580955</v>
      </c>
      <c r="E11" s="17">
        <v>0.23488439406703701</v>
      </c>
      <c r="F11" s="17"/>
      <c r="G11" s="17">
        <v>0.123449923577425</v>
      </c>
      <c r="H11" s="17">
        <v>0.217579593073816</v>
      </c>
      <c r="I11" s="17">
        <v>0.124009681739775</v>
      </c>
      <c r="J11" s="17">
        <v>0.318984293613645</v>
      </c>
      <c r="K11" s="17"/>
      <c r="L11" s="17">
        <v>0.21407310973479299</v>
      </c>
      <c r="M11" s="17">
        <v>0.23011024376199299</v>
      </c>
      <c r="N11" s="17">
        <v>0.136191472768975</v>
      </c>
      <c r="O11" s="17">
        <v>0.17770784809523901</v>
      </c>
    </row>
    <row r="12" spans="2:15" x14ac:dyDescent="0.3">
      <c r="B12" s="18" t="s">
        <v>142</v>
      </c>
      <c r="C12" s="17">
        <v>4.4936282864278997E-2</v>
      </c>
      <c r="D12" s="17">
        <v>3.66659169295575E-2</v>
      </c>
      <c r="E12" s="17">
        <v>5.4215603330666301E-2</v>
      </c>
      <c r="F12" s="17"/>
      <c r="G12" s="17">
        <v>3.8766769642610201E-2</v>
      </c>
      <c r="H12" s="17">
        <v>4.5274501508746998E-2</v>
      </c>
      <c r="I12" s="17">
        <v>2.9993689422525002E-2</v>
      </c>
      <c r="J12" s="17">
        <v>6.7667165730858903E-2</v>
      </c>
      <c r="K12" s="17"/>
      <c r="L12" s="17">
        <v>1.38309433539266E-2</v>
      </c>
      <c r="M12" s="17">
        <v>3.7774819833863903E-2</v>
      </c>
      <c r="N12" s="17">
        <v>5.1642963663398302E-2</v>
      </c>
      <c r="O12" s="17">
        <v>8.43240719187177E-2</v>
      </c>
    </row>
    <row r="13" spans="2:15" x14ac:dyDescent="0.3">
      <c r="B13" s="18" t="s">
        <v>384</v>
      </c>
      <c r="C13" s="21">
        <v>0.76500572211797502</v>
      </c>
      <c r="D13" s="21">
        <v>0.81332469848948796</v>
      </c>
      <c r="E13" s="21">
        <v>0.71090000260229702</v>
      </c>
      <c r="F13" s="21"/>
      <c r="G13" s="21">
        <v>0.83778330677996504</v>
      </c>
      <c r="H13" s="21">
        <v>0.73714590541743696</v>
      </c>
      <c r="I13" s="21">
        <v>0.84599662883769999</v>
      </c>
      <c r="J13" s="21">
        <v>0.61334854065549604</v>
      </c>
      <c r="K13" s="21"/>
      <c r="L13" s="21">
        <v>0.77209594691128003</v>
      </c>
      <c r="M13" s="21">
        <v>0.73211493640414305</v>
      </c>
      <c r="N13" s="21">
        <v>0.81216556356762704</v>
      </c>
      <c r="O13" s="21">
        <v>0.73796807998604297</v>
      </c>
    </row>
    <row r="14" spans="2:15" x14ac:dyDescent="0.3">
      <c r="B14" s="16" t="s">
        <v>318</v>
      </c>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O18"/>
  <sheetViews>
    <sheetView showGridLines="0" workbookViewId="0">
      <pane xSplit="2" topLeftCell="C1" activePane="topRight" state="frozen"/>
      <selection pane="topRight" activeCell="A14" sqref="A14: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433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441</v>
      </c>
      <c r="D7" s="10">
        <v>238</v>
      </c>
      <c r="E7" s="10">
        <v>202</v>
      </c>
      <c r="F7" s="10"/>
      <c r="G7" s="10">
        <v>183</v>
      </c>
      <c r="H7" s="10">
        <v>110</v>
      </c>
      <c r="I7" s="10">
        <v>70</v>
      </c>
      <c r="J7" s="10">
        <v>77</v>
      </c>
      <c r="K7" s="10"/>
      <c r="L7" s="10">
        <v>97</v>
      </c>
      <c r="M7" s="10">
        <v>128</v>
      </c>
      <c r="N7" s="10">
        <v>139</v>
      </c>
      <c r="O7" s="10">
        <v>77</v>
      </c>
    </row>
    <row r="8" spans="2:15" ht="30" customHeight="1" x14ac:dyDescent="0.3">
      <c r="B8" s="11" t="s">
        <v>19</v>
      </c>
      <c r="C8" s="11">
        <v>432</v>
      </c>
      <c r="D8" s="11">
        <v>226</v>
      </c>
      <c r="E8" s="11">
        <v>205</v>
      </c>
      <c r="F8" s="11"/>
      <c r="G8" s="11">
        <v>141</v>
      </c>
      <c r="H8" s="11">
        <v>108</v>
      </c>
      <c r="I8" s="11">
        <v>86</v>
      </c>
      <c r="J8" s="11">
        <v>95</v>
      </c>
      <c r="K8" s="11"/>
      <c r="L8" s="11">
        <v>110</v>
      </c>
      <c r="M8" s="11">
        <v>118</v>
      </c>
      <c r="N8" s="11">
        <v>116</v>
      </c>
      <c r="O8" s="11">
        <v>88</v>
      </c>
    </row>
    <row r="9" spans="2:15" x14ac:dyDescent="0.3">
      <c r="B9" s="18" t="s">
        <v>380</v>
      </c>
      <c r="C9" s="17">
        <v>0.22521296551155301</v>
      </c>
      <c r="D9" s="17">
        <v>0.242456823094754</v>
      </c>
      <c r="E9" s="17">
        <v>0.20711587233137899</v>
      </c>
      <c r="F9" s="17"/>
      <c r="G9" s="17">
        <v>0.256807619353424</v>
      </c>
      <c r="H9" s="17">
        <v>0.20958714097741299</v>
      </c>
      <c r="I9" s="17">
        <v>0.241222898424474</v>
      </c>
      <c r="J9" s="17">
        <v>0.17368161383720501</v>
      </c>
      <c r="K9" s="17"/>
      <c r="L9" s="17">
        <v>0.246211772559908</v>
      </c>
      <c r="M9" s="17">
        <v>0.18510380833998399</v>
      </c>
      <c r="N9" s="17">
        <v>0.237111040568038</v>
      </c>
      <c r="O9" s="17">
        <v>0.23700930585753999</v>
      </c>
    </row>
    <row r="10" spans="2:15" x14ac:dyDescent="0.3">
      <c r="B10" s="18" t="s">
        <v>381</v>
      </c>
      <c r="C10" s="17">
        <v>0.443356147573294</v>
      </c>
      <c r="D10" s="17">
        <v>0.46768467082383403</v>
      </c>
      <c r="E10" s="17">
        <v>0.41439530750092102</v>
      </c>
      <c r="F10" s="17"/>
      <c r="G10" s="17">
        <v>0.45704984347614203</v>
      </c>
      <c r="H10" s="17">
        <v>0.432730207280698</v>
      </c>
      <c r="I10" s="17">
        <v>0.48900402092861101</v>
      </c>
      <c r="J10" s="17">
        <v>0.39849899851890802</v>
      </c>
      <c r="K10" s="17"/>
      <c r="L10" s="17">
        <v>0.45169006815464302</v>
      </c>
      <c r="M10" s="17">
        <v>0.39287748454087001</v>
      </c>
      <c r="N10" s="17">
        <v>0.47226498009137802</v>
      </c>
      <c r="O10" s="17">
        <v>0.46232385577742202</v>
      </c>
    </row>
    <row r="11" spans="2:15" x14ac:dyDescent="0.3">
      <c r="B11" s="18" t="s">
        <v>382</v>
      </c>
      <c r="C11" s="17">
        <v>0.26123061556300198</v>
      </c>
      <c r="D11" s="17">
        <v>0.23432843250017901</v>
      </c>
      <c r="E11" s="17">
        <v>0.29186592545669898</v>
      </c>
      <c r="F11" s="17"/>
      <c r="G11" s="17">
        <v>0.220281352638353</v>
      </c>
      <c r="H11" s="17">
        <v>0.27465548206812501</v>
      </c>
      <c r="I11" s="17">
        <v>0.21008514244040599</v>
      </c>
      <c r="J11" s="17">
        <v>0.35551838124492702</v>
      </c>
      <c r="K11" s="17"/>
      <c r="L11" s="17">
        <v>0.24291516130268601</v>
      </c>
      <c r="M11" s="17">
        <v>0.35708893479146703</v>
      </c>
      <c r="N11" s="17">
        <v>0.217288308491458</v>
      </c>
      <c r="O11" s="17">
        <v>0.213865286907479</v>
      </c>
    </row>
    <row r="12" spans="2:15" x14ac:dyDescent="0.3">
      <c r="B12" s="18" t="s">
        <v>142</v>
      </c>
      <c r="C12" s="17">
        <v>7.0200271352150595E-2</v>
      </c>
      <c r="D12" s="17">
        <v>5.5530073581233602E-2</v>
      </c>
      <c r="E12" s="17">
        <v>8.6622894710999807E-2</v>
      </c>
      <c r="F12" s="17"/>
      <c r="G12" s="17">
        <v>6.5861184532080994E-2</v>
      </c>
      <c r="H12" s="17">
        <v>8.3027169673764001E-2</v>
      </c>
      <c r="I12" s="17">
        <v>5.9687938206508799E-2</v>
      </c>
      <c r="J12" s="17">
        <v>7.2301006398960893E-2</v>
      </c>
      <c r="K12" s="17"/>
      <c r="L12" s="17">
        <v>5.91829979827624E-2</v>
      </c>
      <c r="M12" s="17">
        <v>6.49297723276787E-2</v>
      </c>
      <c r="N12" s="17">
        <v>7.33356708491264E-2</v>
      </c>
      <c r="O12" s="17">
        <v>8.6801551457559203E-2</v>
      </c>
    </row>
    <row r="13" spans="2:15" x14ac:dyDescent="0.3">
      <c r="B13" s="18" t="s">
        <v>384</v>
      </c>
      <c r="C13" s="21">
        <v>0.66856911308484701</v>
      </c>
      <c r="D13" s="21">
        <v>0.71014149391858805</v>
      </c>
      <c r="E13" s="21">
        <v>0.62151117983230098</v>
      </c>
      <c r="F13" s="21"/>
      <c r="G13" s="21">
        <v>0.71385746282956597</v>
      </c>
      <c r="H13" s="21">
        <v>0.64231734825811104</v>
      </c>
      <c r="I13" s="21">
        <v>0.73022691935308504</v>
      </c>
      <c r="J13" s="21">
        <v>0.57218061235611295</v>
      </c>
      <c r="K13" s="21"/>
      <c r="L13" s="21">
        <v>0.69790184071455197</v>
      </c>
      <c r="M13" s="21">
        <v>0.57798129288085498</v>
      </c>
      <c r="N13" s="21">
        <v>0.70937602065941596</v>
      </c>
      <c r="O13" s="21">
        <v>0.69933316163496195</v>
      </c>
    </row>
    <row r="14" spans="2:15" x14ac:dyDescent="0.3">
      <c r="B14" s="16" t="s">
        <v>318</v>
      </c>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O18"/>
  <sheetViews>
    <sheetView showGridLines="0" workbookViewId="0">
      <pane xSplit="2" topLeftCell="C1" activePane="topRight" state="frozen"/>
      <selection pane="topRight" activeCell="A14" sqref="A14: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434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441</v>
      </c>
      <c r="D7" s="10">
        <v>238</v>
      </c>
      <c r="E7" s="10">
        <v>202</v>
      </c>
      <c r="F7" s="10"/>
      <c r="G7" s="10">
        <v>183</v>
      </c>
      <c r="H7" s="10">
        <v>110</v>
      </c>
      <c r="I7" s="10">
        <v>70</v>
      </c>
      <c r="J7" s="10">
        <v>77</v>
      </c>
      <c r="K7" s="10"/>
      <c r="L7" s="10">
        <v>97</v>
      </c>
      <c r="M7" s="10">
        <v>128</v>
      </c>
      <c r="N7" s="10">
        <v>139</v>
      </c>
      <c r="O7" s="10">
        <v>77</v>
      </c>
    </row>
    <row r="8" spans="2:15" ht="30" customHeight="1" x14ac:dyDescent="0.3">
      <c r="B8" s="11" t="s">
        <v>19</v>
      </c>
      <c r="C8" s="11">
        <v>432</v>
      </c>
      <c r="D8" s="11">
        <v>226</v>
      </c>
      <c r="E8" s="11">
        <v>205</v>
      </c>
      <c r="F8" s="11"/>
      <c r="G8" s="11">
        <v>141</v>
      </c>
      <c r="H8" s="11">
        <v>108</v>
      </c>
      <c r="I8" s="11">
        <v>86</v>
      </c>
      <c r="J8" s="11">
        <v>95</v>
      </c>
      <c r="K8" s="11"/>
      <c r="L8" s="11">
        <v>110</v>
      </c>
      <c r="M8" s="11">
        <v>118</v>
      </c>
      <c r="N8" s="11">
        <v>116</v>
      </c>
      <c r="O8" s="11">
        <v>88</v>
      </c>
    </row>
    <row r="9" spans="2:15" x14ac:dyDescent="0.3">
      <c r="B9" s="18" t="s">
        <v>380</v>
      </c>
      <c r="C9" s="17">
        <v>9.6576325016618503E-2</v>
      </c>
      <c r="D9" s="17">
        <v>0.10189436491286701</v>
      </c>
      <c r="E9" s="17">
        <v>9.1101485760000406E-2</v>
      </c>
      <c r="F9" s="17"/>
      <c r="G9" s="17">
        <v>0.13386808202735401</v>
      </c>
      <c r="H9" s="17">
        <v>9.3351653372340401E-2</v>
      </c>
      <c r="I9" s="17">
        <v>9.8270126861843499E-2</v>
      </c>
      <c r="J9" s="17">
        <v>4.4644563687384703E-2</v>
      </c>
      <c r="K9" s="17"/>
      <c r="L9" s="17">
        <v>7.2655900705097601E-2</v>
      </c>
      <c r="M9" s="17">
        <v>9.2544443456663905E-2</v>
      </c>
      <c r="N9" s="17">
        <v>0.10291307990409</v>
      </c>
      <c r="O9" s="17">
        <v>0.123340862163589</v>
      </c>
    </row>
    <row r="10" spans="2:15" x14ac:dyDescent="0.3">
      <c r="B10" s="18" t="s">
        <v>381</v>
      </c>
      <c r="C10" s="17">
        <v>0.297459925821626</v>
      </c>
      <c r="D10" s="17">
        <v>0.28047847480141902</v>
      </c>
      <c r="E10" s="17">
        <v>0.31339655747708101</v>
      </c>
      <c r="F10" s="17"/>
      <c r="G10" s="17">
        <v>0.27700267796552402</v>
      </c>
      <c r="H10" s="17">
        <v>0.26048672603509099</v>
      </c>
      <c r="I10" s="17">
        <v>0.37224368725498702</v>
      </c>
      <c r="J10" s="17">
        <v>0.30503246032450299</v>
      </c>
      <c r="K10" s="17"/>
      <c r="L10" s="17">
        <v>0.31238641121459798</v>
      </c>
      <c r="M10" s="17">
        <v>0.25913585766062902</v>
      </c>
      <c r="N10" s="17">
        <v>0.306850826570784</v>
      </c>
      <c r="O10" s="17">
        <v>0.31772380595379601</v>
      </c>
    </row>
    <row r="11" spans="2:15" x14ac:dyDescent="0.3">
      <c r="B11" s="18" t="s">
        <v>382</v>
      </c>
      <c r="C11" s="17">
        <v>0.54551988016668396</v>
      </c>
      <c r="D11" s="17">
        <v>0.568672660695695</v>
      </c>
      <c r="E11" s="17">
        <v>0.52217483095112904</v>
      </c>
      <c r="F11" s="17"/>
      <c r="G11" s="17">
        <v>0.51928372017063396</v>
      </c>
      <c r="H11" s="17">
        <v>0.59668251679361295</v>
      </c>
      <c r="I11" s="17">
        <v>0.47184424024653299</v>
      </c>
      <c r="J11" s="17">
        <v>0.58814315321880395</v>
      </c>
      <c r="K11" s="17"/>
      <c r="L11" s="17">
        <v>0.585217468879356</v>
      </c>
      <c r="M11" s="17">
        <v>0.56796191359331605</v>
      </c>
      <c r="N11" s="17">
        <v>0.549838261801741</v>
      </c>
      <c r="O11" s="17">
        <v>0.46050818931741</v>
      </c>
    </row>
    <row r="12" spans="2:15" x14ac:dyDescent="0.3">
      <c r="B12" s="18" t="s">
        <v>142</v>
      </c>
      <c r="C12" s="17">
        <v>6.0443868995071898E-2</v>
      </c>
      <c r="D12" s="17">
        <v>4.89544995900194E-2</v>
      </c>
      <c r="E12" s="17">
        <v>7.3327125811789406E-2</v>
      </c>
      <c r="F12" s="17"/>
      <c r="G12" s="17">
        <v>6.9845519836488595E-2</v>
      </c>
      <c r="H12" s="17">
        <v>4.9479103798956002E-2</v>
      </c>
      <c r="I12" s="17">
        <v>5.7641945636636202E-2</v>
      </c>
      <c r="J12" s="17">
        <v>6.2179822769309202E-2</v>
      </c>
      <c r="K12" s="17"/>
      <c r="L12" s="17">
        <v>2.9740219200949099E-2</v>
      </c>
      <c r="M12" s="17">
        <v>8.0357785289391206E-2</v>
      </c>
      <c r="N12" s="17">
        <v>4.0397831723385E-2</v>
      </c>
      <c r="O12" s="17">
        <v>9.8427142565203796E-2</v>
      </c>
    </row>
    <row r="13" spans="2:15" x14ac:dyDescent="0.3">
      <c r="B13" s="18" t="s">
        <v>384</v>
      </c>
      <c r="C13" s="21">
        <v>0.39403625083824401</v>
      </c>
      <c r="D13" s="21">
        <v>0.38237283971428598</v>
      </c>
      <c r="E13" s="21">
        <v>0.40449804323708199</v>
      </c>
      <c r="F13" s="21"/>
      <c r="G13" s="21">
        <v>0.41087075999287698</v>
      </c>
      <c r="H13" s="21">
        <v>0.35383837940743101</v>
      </c>
      <c r="I13" s="21">
        <v>0.47051381411683002</v>
      </c>
      <c r="J13" s="21">
        <v>0.34967702401188699</v>
      </c>
      <c r="K13" s="21"/>
      <c r="L13" s="21">
        <v>0.38504231191969501</v>
      </c>
      <c r="M13" s="21">
        <v>0.35168030111729298</v>
      </c>
      <c r="N13" s="21">
        <v>0.40976390647487398</v>
      </c>
      <c r="O13" s="21">
        <v>0.44106466811738598</v>
      </c>
    </row>
    <row r="14" spans="2:15" x14ac:dyDescent="0.3">
      <c r="B14" s="16" t="s">
        <v>318</v>
      </c>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O18"/>
  <sheetViews>
    <sheetView showGridLines="0" workbookViewId="0">
      <pane xSplit="2" topLeftCell="C1" activePane="topRight" state="frozen"/>
      <selection pane="topRight" activeCell="A14" sqref="A14: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435</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441</v>
      </c>
      <c r="D7" s="10">
        <v>238</v>
      </c>
      <c r="E7" s="10">
        <v>202</v>
      </c>
      <c r="F7" s="10"/>
      <c r="G7" s="10">
        <v>183</v>
      </c>
      <c r="H7" s="10">
        <v>110</v>
      </c>
      <c r="I7" s="10">
        <v>70</v>
      </c>
      <c r="J7" s="10">
        <v>77</v>
      </c>
      <c r="K7" s="10"/>
      <c r="L7" s="10">
        <v>97</v>
      </c>
      <c r="M7" s="10">
        <v>128</v>
      </c>
      <c r="N7" s="10">
        <v>139</v>
      </c>
      <c r="O7" s="10">
        <v>77</v>
      </c>
    </row>
    <row r="8" spans="2:15" ht="30" customHeight="1" x14ac:dyDescent="0.3">
      <c r="B8" s="11" t="s">
        <v>19</v>
      </c>
      <c r="C8" s="11">
        <v>432</v>
      </c>
      <c r="D8" s="11">
        <v>226</v>
      </c>
      <c r="E8" s="11">
        <v>205</v>
      </c>
      <c r="F8" s="11"/>
      <c r="G8" s="11">
        <v>141</v>
      </c>
      <c r="H8" s="11">
        <v>108</v>
      </c>
      <c r="I8" s="11">
        <v>86</v>
      </c>
      <c r="J8" s="11">
        <v>95</v>
      </c>
      <c r="K8" s="11"/>
      <c r="L8" s="11">
        <v>110</v>
      </c>
      <c r="M8" s="11">
        <v>118</v>
      </c>
      <c r="N8" s="11">
        <v>116</v>
      </c>
      <c r="O8" s="11">
        <v>88</v>
      </c>
    </row>
    <row r="9" spans="2:15" x14ac:dyDescent="0.3">
      <c r="B9" s="18" t="s">
        <v>380</v>
      </c>
      <c r="C9" s="17">
        <v>0.42607994767187701</v>
      </c>
      <c r="D9" s="17">
        <v>0.42463715438480498</v>
      </c>
      <c r="E9" s="17">
        <v>0.429338707241809</v>
      </c>
      <c r="F9" s="17"/>
      <c r="G9" s="17">
        <v>0.53463256612297505</v>
      </c>
      <c r="H9" s="17">
        <v>0.38639362840114599</v>
      </c>
      <c r="I9" s="17">
        <v>0.40076829423619198</v>
      </c>
      <c r="J9" s="17">
        <v>0.327747406006972</v>
      </c>
      <c r="K9" s="17"/>
      <c r="L9" s="17">
        <v>0.40885232723652698</v>
      </c>
      <c r="M9" s="17">
        <v>0.39236160889433402</v>
      </c>
      <c r="N9" s="17">
        <v>0.47137206626852002</v>
      </c>
      <c r="O9" s="17">
        <v>0.432834722209617</v>
      </c>
    </row>
    <row r="10" spans="2:15" x14ac:dyDescent="0.3">
      <c r="B10" s="18" t="s">
        <v>381</v>
      </c>
      <c r="C10" s="17">
        <v>0.50069713206343203</v>
      </c>
      <c r="D10" s="17">
        <v>0.51257854541565695</v>
      </c>
      <c r="E10" s="17">
        <v>0.48566155908117298</v>
      </c>
      <c r="F10" s="17"/>
      <c r="G10" s="17">
        <v>0.42162770219710499</v>
      </c>
      <c r="H10" s="17">
        <v>0.52957186221210795</v>
      </c>
      <c r="I10" s="17">
        <v>0.53691090122155505</v>
      </c>
      <c r="J10" s="17">
        <v>0.55712472242421396</v>
      </c>
      <c r="K10" s="17"/>
      <c r="L10" s="17">
        <v>0.54110334235701196</v>
      </c>
      <c r="M10" s="17">
        <v>0.51993415573410195</v>
      </c>
      <c r="N10" s="17">
        <v>0.44571650201789098</v>
      </c>
      <c r="O10" s="17">
        <v>0.49724832208424902</v>
      </c>
    </row>
    <row r="11" spans="2:15" x14ac:dyDescent="0.3">
      <c r="B11" s="18" t="s">
        <v>382</v>
      </c>
      <c r="C11" s="17">
        <v>6.3717757317331605E-2</v>
      </c>
      <c r="D11" s="17">
        <v>5.2385580745412101E-2</v>
      </c>
      <c r="E11" s="17">
        <v>7.64408304497914E-2</v>
      </c>
      <c r="F11" s="17"/>
      <c r="G11" s="17">
        <v>2.98095806080661E-2</v>
      </c>
      <c r="H11" s="17">
        <v>7.3668488140392202E-2</v>
      </c>
      <c r="I11" s="17">
        <v>5.0504983064254799E-2</v>
      </c>
      <c r="J11" s="17">
        <v>0.115127871568814</v>
      </c>
      <c r="K11" s="17"/>
      <c r="L11" s="17">
        <v>3.98045812360623E-2</v>
      </c>
      <c r="M11" s="17">
        <v>8.7704235371563397E-2</v>
      </c>
      <c r="N11" s="17">
        <v>6.3215691333523394E-2</v>
      </c>
      <c r="O11" s="17">
        <v>6.2059779644469799E-2</v>
      </c>
    </row>
    <row r="12" spans="2:15" x14ac:dyDescent="0.3">
      <c r="B12" s="18" t="s">
        <v>142</v>
      </c>
      <c r="C12" s="17">
        <v>9.5051629473593205E-3</v>
      </c>
      <c r="D12" s="17">
        <v>1.0398719454125601E-2</v>
      </c>
      <c r="E12" s="17">
        <v>8.5589032272263398E-3</v>
      </c>
      <c r="F12" s="17"/>
      <c r="G12" s="17">
        <v>1.3930151071853599E-2</v>
      </c>
      <c r="H12" s="17">
        <v>1.0366021246353999E-2</v>
      </c>
      <c r="I12" s="17">
        <v>1.18158214779983E-2</v>
      </c>
      <c r="J12" s="17">
        <v>0</v>
      </c>
      <c r="K12" s="17"/>
      <c r="L12" s="17">
        <v>1.02397491703993E-2</v>
      </c>
      <c r="M12" s="17">
        <v>0</v>
      </c>
      <c r="N12" s="17">
        <v>1.9695740380065999E-2</v>
      </c>
      <c r="O12" s="17">
        <v>7.8571760616642002E-3</v>
      </c>
    </row>
    <row r="13" spans="2:15" x14ac:dyDescent="0.3">
      <c r="B13" s="18" t="s">
        <v>384</v>
      </c>
      <c r="C13" s="21">
        <v>0.92677707973530898</v>
      </c>
      <c r="D13" s="21">
        <v>0.93721569980046204</v>
      </c>
      <c r="E13" s="21">
        <v>0.91500026632298204</v>
      </c>
      <c r="F13" s="21"/>
      <c r="G13" s="21">
        <v>0.95626026832008004</v>
      </c>
      <c r="H13" s="21">
        <v>0.91596549061325405</v>
      </c>
      <c r="I13" s="21">
        <v>0.93767919545774703</v>
      </c>
      <c r="J13" s="21">
        <v>0.88487212843118601</v>
      </c>
      <c r="K13" s="21"/>
      <c r="L13" s="21">
        <v>0.94995566959353805</v>
      </c>
      <c r="M13" s="21">
        <v>0.91229576462843698</v>
      </c>
      <c r="N13" s="21">
        <v>0.91708856828641105</v>
      </c>
      <c r="O13" s="21">
        <v>0.93008304429386601</v>
      </c>
    </row>
    <row r="14" spans="2:15" x14ac:dyDescent="0.3">
      <c r="B14" s="16" t="s">
        <v>318</v>
      </c>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O18"/>
  <sheetViews>
    <sheetView showGridLines="0" workbookViewId="0">
      <pane xSplit="2" topLeftCell="C1" activePane="topRight" state="frozen"/>
      <selection pane="topRight" activeCell="C11" sqref="C11"/>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436</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441</v>
      </c>
      <c r="D7" s="10">
        <v>238</v>
      </c>
      <c r="E7" s="10">
        <v>202</v>
      </c>
      <c r="F7" s="10"/>
      <c r="G7" s="10">
        <v>183</v>
      </c>
      <c r="H7" s="10">
        <v>110</v>
      </c>
      <c r="I7" s="10">
        <v>70</v>
      </c>
      <c r="J7" s="10">
        <v>77</v>
      </c>
      <c r="K7" s="10"/>
      <c r="L7" s="10">
        <v>97</v>
      </c>
      <c r="M7" s="10">
        <v>128</v>
      </c>
      <c r="N7" s="10">
        <v>139</v>
      </c>
      <c r="O7" s="10">
        <v>77</v>
      </c>
    </row>
    <row r="8" spans="2:15" ht="30" customHeight="1" x14ac:dyDescent="0.3">
      <c r="B8" s="11" t="s">
        <v>19</v>
      </c>
      <c r="C8" s="11">
        <v>432</v>
      </c>
      <c r="D8" s="11">
        <v>226</v>
      </c>
      <c r="E8" s="11">
        <v>205</v>
      </c>
      <c r="F8" s="11"/>
      <c r="G8" s="11">
        <v>141</v>
      </c>
      <c r="H8" s="11">
        <v>108</v>
      </c>
      <c r="I8" s="11">
        <v>86</v>
      </c>
      <c r="J8" s="11">
        <v>95</v>
      </c>
      <c r="K8" s="11"/>
      <c r="L8" s="11">
        <v>110</v>
      </c>
      <c r="M8" s="11">
        <v>118</v>
      </c>
      <c r="N8" s="11">
        <v>116</v>
      </c>
      <c r="O8" s="11">
        <v>88</v>
      </c>
    </row>
    <row r="9" spans="2:15" x14ac:dyDescent="0.3">
      <c r="B9" s="18" t="s">
        <v>380</v>
      </c>
      <c r="C9" s="17">
        <v>0.33311465747372498</v>
      </c>
      <c r="D9" s="17">
        <v>0.33768588468036298</v>
      </c>
      <c r="E9" s="17">
        <v>0.32938931193041199</v>
      </c>
      <c r="F9" s="17"/>
      <c r="G9" s="17">
        <v>0.36305325864967503</v>
      </c>
      <c r="H9" s="17">
        <v>0.32057430131276898</v>
      </c>
      <c r="I9" s="17">
        <v>0.36514264821949899</v>
      </c>
      <c r="J9" s="17">
        <v>0.26714841244540799</v>
      </c>
      <c r="K9" s="17"/>
      <c r="L9" s="17">
        <v>0.27730756233810799</v>
      </c>
      <c r="M9" s="17">
        <v>0.27887327694942299</v>
      </c>
      <c r="N9" s="17">
        <v>0.41306533818313601</v>
      </c>
      <c r="O9" s="17">
        <v>0.36955226899253601</v>
      </c>
    </row>
    <row r="10" spans="2:15" x14ac:dyDescent="0.3">
      <c r="B10" s="18" t="s">
        <v>381</v>
      </c>
      <c r="C10" s="17">
        <v>0.51943171162266799</v>
      </c>
      <c r="D10" s="17">
        <v>0.50430240142626404</v>
      </c>
      <c r="E10" s="17">
        <v>0.53420007429099703</v>
      </c>
      <c r="F10" s="17"/>
      <c r="G10" s="17">
        <v>0.499426263401403</v>
      </c>
      <c r="H10" s="17">
        <v>0.55851649233289002</v>
      </c>
      <c r="I10" s="17">
        <v>0.495250836744904</v>
      </c>
      <c r="J10" s="17">
        <v>0.53194008156732497</v>
      </c>
      <c r="K10" s="17"/>
      <c r="L10" s="17">
        <v>0.49903303897521201</v>
      </c>
      <c r="M10" s="17">
        <v>0.591838458817738</v>
      </c>
      <c r="N10" s="17">
        <v>0.47747109184269299</v>
      </c>
      <c r="O10" s="17">
        <v>0.50337091286168401</v>
      </c>
    </row>
    <row r="11" spans="2:15" x14ac:dyDescent="0.3">
      <c r="B11" s="18" t="s">
        <v>382</v>
      </c>
      <c r="C11" s="17">
        <v>0.10935832031974101</v>
      </c>
      <c r="D11" s="17">
        <v>0.11736843524891701</v>
      </c>
      <c r="E11" s="17">
        <v>0.10097045582728</v>
      </c>
      <c r="F11" s="17"/>
      <c r="G11" s="17">
        <v>0.11667392372152401</v>
      </c>
      <c r="H11" s="17">
        <v>8.0200053900502902E-2</v>
      </c>
      <c r="I11" s="17">
        <v>8.3810695018013706E-2</v>
      </c>
      <c r="J11" s="17">
        <v>0.15594410891108099</v>
      </c>
      <c r="K11" s="17"/>
      <c r="L11" s="17">
        <v>0.178639547889968</v>
      </c>
      <c r="M11" s="17">
        <v>0.105623063353547</v>
      </c>
      <c r="N11" s="17">
        <v>5.0692041740274099E-2</v>
      </c>
      <c r="O11" s="17">
        <v>0.10556537425578701</v>
      </c>
    </row>
    <row r="12" spans="2:15" x14ac:dyDescent="0.3">
      <c r="B12" s="18" t="s">
        <v>142</v>
      </c>
      <c r="C12" s="17">
        <v>3.8095310583866199E-2</v>
      </c>
      <c r="D12" s="17">
        <v>4.0643278644456403E-2</v>
      </c>
      <c r="E12" s="17">
        <v>3.54401579513106E-2</v>
      </c>
      <c r="F12" s="17"/>
      <c r="G12" s="17">
        <v>2.08465542273969E-2</v>
      </c>
      <c r="H12" s="17">
        <v>4.0709152453838597E-2</v>
      </c>
      <c r="I12" s="17">
        <v>5.5795820017582397E-2</v>
      </c>
      <c r="J12" s="17">
        <v>4.4967397076185002E-2</v>
      </c>
      <c r="K12" s="17"/>
      <c r="L12" s="17">
        <v>4.50198507967123E-2</v>
      </c>
      <c r="M12" s="17">
        <v>2.3665200879291901E-2</v>
      </c>
      <c r="N12" s="17">
        <v>5.8771528233896198E-2</v>
      </c>
      <c r="O12" s="17">
        <v>2.1511443889993199E-2</v>
      </c>
    </row>
    <row r="13" spans="2:15" x14ac:dyDescent="0.3">
      <c r="B13" s="18" t="s">
        <v>384</v>
      </c>
      <c r="C13" s="21">
        <v>0.85254636909639303</v>
      </c>
      <c r="D13" s="21">
        <v>0.84198828610662702</v>
      </c>
      <c r="E13" s="21">
        <v>0.86358938622140902</v>
      </c>
      <c r="F13" s="21"/>
      <c r="G13" s="21">
        <v>0.86247952205107903</v>
      </c>
      <c r="H13" s="21">
        <v>0.87909079364565901</v>
      </c>
      <c r="I13" s="21">
        <v>0.86039348496440404</v>
      </c>
      <c r="J13" s="21">
        <v>0.79908849401273396</v>
      </c>
      <c r="K13" s="21"/>
      <c r="L13" s="21">
        <v>0.77634060131331895</v>
      </c>
      <c r="M13" s="21">
        <v>0.87071173576716099</v>
      </c>
      <c r="N13" s="21">
        <v>0.89053643002583005</v>
      </c>
      <c r="O13" s="21">
        <v>0.87292318185422002</v>
      </c>
    </row>
    <row r="14" spans="2:15" x14ac:dyDescent="0.3">
      <c r="B14" s="16" t="s">
        <v>318</v>
      </c>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O18"/>
  <sheetViews>
    <sheetView showGridLines="0" workbookViewId="0">
      <pane xSplit="2" topLeftCell="C1" activePane="topRight" state="frozen"/>
      <selection pane="topRight" activeCell="H10" sqref="H10"/>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437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441</v>
      </c>
      <c r="D7" s="10">
        <v>238</v>
      </c>
      <c r="E7" s="10">
        <v>202</v>
      </c>
      <c r="F7" s="10"/>
      <c r="G7" s="10">
        <v>183</v>
      </c>
      <c r="H7" s="10">
        <v>110</v>
      </c>
      <c r="I7" s="10">
        <v>70</v>
      </c>
      <c r="J7" s="10">
        <v>77</v>
      </c>
      <c r="K7" s="10"/>
      <c r="L7" s="10">
        <v>97</v>
      </c>
      <c r="M7" s="10">
        <v>128</v>
      </c>
      <c r="N7" s="10">
        <v>139</v>
      </c>
      <c r="O7" s="10">
        <v>77</v>
      </c>
    </row>
    <row r="8" spans="2:15" ht="30" customHeight="1" x14ac:dyDescent="0.3">
      <c r="B8" s="11" t="s">
        <v>19</v>
      </c>
      <c r="C8" s="11">
        <v>432</v>
      </c>
      <c r="D8" s="11">
        <v>226</v>
      </c>
      <c r="E8" s="11">
        <v>205</v>
      </c>
      <c r="F8" s="11"/>
      <c r="G8" s="11">
        <v>141</v>
      </c>
      <c r="H8" s="11">
        <v>108</v>
      </c>
      <c r="I8" s="11">
        <v>86</v>
      </c>
      <c r="J8" s="11">
        <v>95</v>
      </c>
      <c r="K8" s="11"/>
      <c r="L8" s="11">
        <v>110</v>
      </c>
      <c r="M8" s="11">
        <v>118</v>
      </c>
      <c r="N8" s="11">
        <v>116</v>
      </c>
      <c r="O8" s="11">
        <v>88</v>
      </c>
    </row>
    <row r="9" spans="2:15" x14ac:dyDescent="0.3">
      <c r="B9" s="18" t="s">
        <v>380</v>
      </c>
      <c r="C9" s="17">
        <v>0.34045859232039399</v>
      </c>
      <c r="D9" s="17">
        <v>0.35399601485676302</v>
      </c>
      <c r="E9" s="17">
        <v>0.32689302712636398</v>
      </c>
      <c r="F9" s="17"/>
      <c r="G9" s="17">
        <v>0.42265185063746402</v>
      </c>
      <c r="H9" s="17">
        <v>0.28599429381029601</v>
      </c>
      <c r="I9" s="17">
        <v>0.34561437385260102</v>
      </c>
      <c r="J9" s="17">
        <v>0.269339522722222</v>
      </c>
      <c r="K9" s="17"/>
      <c r="L9" s="17">
        <v>0.31940239296634798</v>
      </c>
      <c r="M9" s="17">
        <v>0.317006187862447</v>
      </c>
      <c r="N9" s="17">
        <v>0.38979964396129002</v>
      </c>
      <c r="O9" s="17">
        <v>0.33292151015766402</v>
      </c>
    </row>
    <row r="10" spans="2:15" x14ac:dyDescent="0.3">
      <c r="B10" s="18" t="s">
        <v>381</v>
      </c>
      <c r="C10" s="17">
        <v>0.51942300582956102</v>
      </c>
      <c r="D10" s="17">
        <v>0.51354845676517902</v>
      </c>
      <c r="E10" s="17">
        <v>0.52400469668154404</v>
      </c>
      <c r="F10" s="17"/>
      <c r="G10" s="17">
        <v>0.46083802396595402</v>
      </c>
      <c r="H10" s="17">
        <v>0.54939287976156204</v>
      </c>
      <c r="I10" s="17">
        <v>0.54898569123805196</v>
      </c>
      <c r="J10" s="17">
        <v>0.55057689215280503</v>
      </c>
      <c r="K10" s="17"/>
      <c r="L10" s="17">
        <v>0.527210646651467</v>
      </c>
      <c r="M10" s="17">
        <v>0.52453135959097796</v>
      </c>
      <c r="N10" s="17">
        <v>0.48369270347353799</v>
      </c>
      <c r="O10" s="17">
        <v>0.55001597868763596</v>
      </c>
    </row>
    <row r="11" spans="2:15" x14ac:dyDescent="0.3">
      <c r="B11" s="18" t="s">
        <v>382</v>
      </c>
      <c r="C11" s="17">
        <v>0.124924142724555</v>
      </c>
      <c r="D11" s="17">
        <v>0.11835194451148601</v>
      </c>
      <c r="E11" s="17">
        <v>0.13264794224135701</v>
      </c>
      <c r="F11" s="17"/>
      <c r="G11" s="17">
        <v>9.15590427479957E-2</v>
      </c>
      <c r="H11" s="17">
        <v>0.13646553952132201</v>
      </c>
      <c r="I11" s="17">
        <v>0.105399934909347</v>
      </c>
      <c r="J11" s="17">
        <v>0.18008358512497299</v>
      </c>
      <c r="K11" s="17"/>
      <c r="L11" s="17">
        <v>0.12320476284229</v>
      </c>
      <c r="M11" s="17">
        <v>0.15846245254657501</v>
      </c>
      <c r="N11" s="17">
        <v>0.11412057914561601</v>
      </c>
      <c r="O11" s="17">
        <v>9.6499911122211096E-2</v>
      </c>
    </row>
    <row r="12" spans="2:15" x14ac:dyDescent="0.3">
      <c r="B12" s="18" t="s">
        <v>142</v>
      </c>
      <c r="C12" s="17">
        <v>1.5194259125489201E-2</v>
      </c>
      <c r="D12" s="17">
        <v>1.41035838665716E-2</v>
      </c>
      <c r="E12" s="17">
        <v>1.6454333950734801E-2</v>
      </c>
      <c r="F12" s="17"/>
      <c r="G12" s="17">
        <v>2.4951082648585501E-2</v>
      </c>
      <c r="H12" s="17">
        <v>2.8147286906820501E-2</v>
      </c>
      <c r="I12" s="17">
        <v>0</v>
      </c>
      <c r="J12" s="17">
        <v>0</v>
      </c>
      <c r="K12" s="17"/>
      <c r="L12" s="17">
        <v>3.0182197539894699E-2</v>
      </c>
      <c r="M12" s="17">
        <v>0</v>
      </c>
      <c r="N12" s="17">
        <v>1.2387073419555699E-2</v>
      </c>
      <c r="O12" s="17">
        <v>2.0562600032488599E-2</v>
      </c>
    </row>
    <row r="13" spans="2:15" x14ac:dyDescent="0.3">
      <c r="B13" s="18" t="s">
        <v>384</v>
      </c>
      <c r="C13" s="21">
        <v>0.85988159814995502</v>
      </c>
      <c r="D13" s="21">
        <v>0.86754447162194204</v>
      </c>
      <c r="E13" s="21">
        <v>0.85089772380790796</v>
      </c>
      <c r="F13" s="21"/>
      <c r="G13" s="21">
        <v>0.88348987460341899</v>
      </c>
      <c r="H13" s="21">
        <v>0.83538717357185799</v>
      </c>
      <c r="I13" s="21">
        <v>0.89460006509065304</v>
      </c>
      <c r="J13" s="21">
        <v>0.81991641487502698</v>
      </c>
      <c r="K13" s="21"/>
      <c r="L13" s="21">
        <v>0.84661303961781498</v>
      </c>
      <c r="M13" s="21">
        <v>0.84153754745342502</v>
      </c>
      <c r="N13" s="21">
        <v>0.87349234743482795</v>
      </c>
      <c r="O13" s="21">
        <v>0.88293748884529999</v>
      </c>
    </row>
    <row r="14" spans="2:15" x14ac:dyDescent="0.3">
      <c r="B14" s="16" t="s">
        <v>318</v>
      </c>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O18"/>
  <sheetViews>
    <sheetView showGridLines="0" workbookViewId="0">
      <pane xSplit="2" topLeftCell="C1" activePane="topRight" state="frozen"/>
      <selection pane="topRight" activeCell="G14" sqref="G14"/>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438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441</v>
      </c>
      <c r="D7" s="10">
        <v>238</v>
      </c>
      <c r="E7" s="10">
        <v>202</v>
      </c>
      <c r="F7" s="10"/>
      <c r="G7" s="10">
        <v>183</v>
      </c>
      <c r="H7" s="10">
        <v>110</v>
      </c>
      <c r="I7" s="10">
        <v>70</v>
      </c>
      <c r="J7" s="10">
        <v>77</v>
      </c>
      <c r="K7" s="10"/>
      <c r="L7" s="10">
        <v>97</v>
      </c>
      <c r="M7" s="10">
        <v>128</v>
      </c>
      <c r="N7" s="10">
        <v>139</v>
      </c>
      <c r="O7" s="10">
        <v>77</v>
      </c>
    </row>
    <row r="8" spans="2:15" ht="30" customHeight="1" x14ac:dyDescent="0.3">
      <c r="B8" s="11" t="s">
        <v>19</v>
      </c>
      <c r="C8" s="11">
        <v>432</v>
      </c>
      <c r="D8" s="11">
        <v>226</v>
      </c>
      <c r="E8" s="11">
        <v>205</v>
      </c>
      <c r="F8" s="11"/>
      <c r="G8" s="11">
        <v>141</v>
      </c>
      <c r="H8" s="11">
        <v>108</v>
      </c>
      <c r="I8" s="11">
        <v>86</v>
      </c>
      <c r="J8" s="11">
        <v>95</v>
      </c>
      <c r="K8" s="11"/>
      <c r="L8" s="11">
        <v>110</v>
      </c>
      <c r="M8" s="11">
        <v>118</v>
      </c>
      <c r="N8" s="11">
        <v>116</v>
      </c>
      <c r="O8" s="11">
        <v>88</v>
      </c>
    </row>
    <row r="9" spans="2:15" x14ac:dyDescent="0.3">
      <c r="B9" s="18" t="s">
        <v>380</v>
      </c>
      <c r="C9" s="17">
        <v>0.172183705663744</v>
      </c>
      <c r="D9" s="17">
        <v>0.179164322720058</v>
      </c>
      <c r="E9" s="17">
        <v>0.16517534352510199</v>
      </c>
      <c r="F9" s="17"/>
      <c r="G9" s="17">
        <v>0.202117327989944</v>
      </c>
      <c r="H9" s="17">
        <v>0.138670870473492</v>
      </c>
      <c r="I9" s="17">
        <v>0.20973627630461</v>
      </c>
      <c r="J9" s="17">
        <v>0.123347097868579</v>
      </c>
      <c r="K9" s="17"/>
      <c r="L9" s="17">
        <v>0.19945617974327501</v>
      </c>
      <c r="M9" s="17">
        <v>0.12343979383192499</v>
      </c>
      <c r="N9" s="17">
        <v>0.204673048524704</v>
      </c>
      <c r="O9" s="17">
        <v>0.160575520826264</v>
      </c>
    </row>
    <row r="10" spans="2:15" x14ac:dyDescent="0.3">
      <c r="B10" s="18" t="s">
        <v>381</v>
      </c>
      <c r="C10" s="17">
        <v>0.41648252873515801</v>
      </c>
      <c r="D10" s="17">
        <v>0.43360833834663998</v>
      </c>
      <c r="E10" s="17">
        <v>0.39926535123939899</v>
      </c>
      <c r="F10" s="17"/>
      <c r="G10" s="17">
        <v>0.45529474281152799</v>
      </c>
      <c r="H10" s="17">
        <v>0.39176884090761599</v>
      </c>
      <c r="I10" s="17">
        <v>0.40309827180158198</v>
      </c>
      <c r="J10" s="17">
        <v>0.40371012178745902</v>
      </c>
      <c r="K10" s="17"/>
      <c r="L10" s="17">
        <v>0.35819043681950802</v>
      </c>
      <c r="M10" s="17">
        <v>0.39437283815048502</v>
      </c>
      <c r="N10" s="17">
        <v>0.48693115700814998</v>
      </c>
      <c r="O10" s="17">
        <v>0.42561098630509597</v>
      </c>
    </row>
    <row r="11" spans="2:15" x14ac:dyDescent="0.3">
      <c r="B11" s="18" t="s">
        <v>382</v>
      </c>
      <c r="C11" s="17">
        <v>0.36992433510235001</v>
      </c>
      <c r="D11" s="17">
        <v>0.35103802798049399</v>
      </c>
      <c r="E11" s="17">
        <v>0.39216283346046299</v>
      </c>
      <c r="F11" s="17"/>
      <c r="G11" s="17">
        <v>0.27557565717252702</v>
      </c>
      <c r="H11" s="17">
        <v>0.44424992404910602</v>
      </c>
      <c r="I11" s="17">
        <v>0.36836816119349503</v>
      </c>
      <c r="J11" s="17">
        <v>0.43015045973032201</v>
      </c>
      <c r="K11" s="17"/>
      <c r="L11" s="17">
        <v>0.40174836630058702</v>
      </c>
      <c r="M11" s="17">
        <v>0.45127872960561899</v>
      </c>
      <c r="N11" s="17">
        <v>0.29021634910173899</v>
      </c>
      <c r="O11" s="17">
        <v>0.326757415669375</v>
      </c>
    </row>
    <row r="12" spans="2:15" x14ac:dyDescent="0.3">
      <c r="B12" s="18" t="s">
        <v>142</v>
      </c>
      <c r="C12" s="17">
        <v>4.1409430498748102E-2</v>
      </c>
      <c r="D12" s="17">
        <v>3.6189310952807099E-2</v>
      </c>
      <c r="E12" s="17">
        <v>4.3396471775036097E-2</v>
      </c>
      <c r="F12" s="17"/>
      <c r="G12" s="17">
        <v>6.7012272026001102E-2</v>
      </c>
      <c r="H12" s="17">
        <v>2.5310364569785301E-2</v>
      </c>
      <c r="I12" s="17">
        <v>1.8797290700312799E-2</v>
      </c>
      <c r="J12" s="17">
        <v>4.2792320613639502E-2</v>
      </c>
      <c r="K12" s="17"/>
      <c r="L12" s="17">
        <v>4.0605017136630499E-2</v>
      </c>
      <c r="M12" s="17">
        <v>3.09086384119708E-2</v>
      </c>
      <c r="N12" s="17">
        <v>1.8179445365407099E-2</v>
      </c>
      <c r="O12" s="17">
        <v>8.70560771992646E-2</v>
      </c>
    </row>
    <row r="13" spans="2:15" x14ac:dyDescent="0.3">
      <c r="B13" s="18" t="s">
        <v>384</v>
      </c>
      <c r="C13" s="21">
        <v>0.58866623439890198</v>
      </c>
      <c r="D13" s="21">
        <v>0.61277266106669903</v>
      </c>
      <c r="E13" s="21">
        <v>0.56444069476450098</v>
      </c>
      <c r="F13" s="21"/>
      <c r="G13" s="21">
        <v>0.65741207080147201</v>
      </c>
      <c r="H13" s="21">
        <v>0.53043971138110901</v>
      </c>
      <c r="I13" s="21">
        <v>0.61283454810619298</v>
      </c>
      <c r="J13" s="21">
        <v>0.52705721965603802</v>
      </c>
      <c r="K13" s="21"/>
      <c r="L13" s="21">
        <v>0.55764661656278303</v>
      </c>
      <c r="M13" s="21">
        <v>0.51781263198241001</v>
      </c>
      <c r="N13" s="21">
        <v>0.69160420553285396</v>
      </c>
      <c r="O13" s="21">
        <v>0.58618650713136</v>
      </c>
    </row>
    <row r="14" spans="2:15" x14ac:dyDescent="0.3">
      <c r="B14" s="16" t="s">
        <v>318</v>
      </c>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O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443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546</v>
      </c>
      <c r="D7" s="10">
        <v>282</v>
      </c>
      <c r="E7" s="10">
        <v>262</v>
      </c>
      <c r="F7" s="10"/>
      <c r="G7" s="10">
        <v>208</v>
      </c>
      <c r="H7" s="10">
        <v>143</v>
      </c>
      <c r="I7" s="10">
        <v>93</v>
      </c>
      <c r="J7" s="10">
        <v>101</v>
      </c>
      <c r="K7" s="10"/>
      <c r="L7" s="10">
        <v>116</v>
      </c>
      <c r="M7" s="10">
        <v>151</v>
      </c>
      <c r="N7" s="10">
        <v>166</v>
      </c>
      <c r="O7" s="10">
        <v>113</v>
      </c>
    </row>
    <row r="8" spans="2:15" ht="30" customHeight="1" x14ac:dyDescent="0.3">
      <c r="B8" s="11" t="s">
        <v>19</v>
      </c>
      <c r="C8" s="11">
        <v>546</v>
      </c>
      <c r="D8" s="11">
        <v>271</v>
      </c>
      <c r="E8" s="11">
        <v>273</v>
      </c>
      <c r="F8" s="11"/>
      <c r="G8" s="11">
        <v>163</v>
      </c>
      <c r="H8" s="11">
        <v>142</v>
      </c>
      <c r="I8" s="11">
        <v>114</v>
      </c>
      <c r="J8" s="11">
        <v>126</v>
      </c>
      <c r="K8" s="11"/>
      <c r="L8" s="11">
        <v>131</v>
      </c>
      <c r="M8" s="11">
        <v>142</v>
      </c>
      <c r="N8" s="11">
        <v>142</v>
      </c>
      <c r="O8" s="11">
        <v>131</v>
      </c>
    </row>
    <row r="9" spans="2:15" x14ac:dyDescent="0.3">
      <c r="B9" s="18" t="s">
        <v>439</v>
      </c>
      <c r="C9" s="17">
        <v>5.3266772075753199E-2</v>
      </c>
      <c r="D9" s="17">
        <v>3.2358245457833501E-2</v>
      </c>
      <c r="E9" s="17">
        <v>7.4398470330963098E-2</v>
      </c>
      <c r="F9" s="17"/>
      <c r="G9" s="17">
        <v>2.62401798851018E-2</v>
      </c>
      <c r="H9" s="17">
        <v>7.6440908991049203E-2</v>
      </c>
      <c r="I9" s="17">
        <v>3.0164647546956601E-2</v>
      </c>
      <c r="J9" s="17">
        <v>8.3453460298034798E-2</v>
      </c>
      <c r="K9" s="17"/>
      <c r="L9" s="17">
        <v>3.8764289886306702E-2</v>
      </c>
      <c r="M9" s="17">
        <v>4.7433011151511502E-2</v>
      </c>
      <c r="N9" s="17">
        <v>6.69291177389819E-2</v>
      </c>
      <c r="O9" s="17">
        <v>5.9220560590800497E-2</v>
      </c>
    </row>
    <row r="10" spans="2:15" x14ac:dyDescent="0.3">
      <c r="B10" s="18" t="s">
        <v>333</v>
      </c>
      <c r="C10" s="17">
        <v>7.2909195346685204E-2</v>
      </c>
      <c r="D10" s="17">
        <v>5.36661096466882E-2</v>
      </c>
      <c r="E10" s="17">
        <v>8.8174922033460099E-2</v>
      </c>
      <c r="F10" s="17"/>
      <c r="G10" s="17">
        <v>6.8636445461040696E-2</v>
      </c>
      <c r="H10" s="17">
        <v>6.6189315886098499E-2</v>
      </c>
      <c r="I10" s="17">
        <v>6.1925153084362201E-2</v>
      </c>
      <c r="J10" s="17">
        <v>9.6489160452840103E-2</v>
      </c>
      <c r="K10" s="17"/>
      <c r="L10" s="17">
        <v>6.5000059321457401E-2</v>
      </c>
      <c r="M10" s="17">
        <v>7.9079118105105595E-2</v>
      </c>
      <c r="N10" s="17">
        <v>6.8389810886789998E-2</v>
      </c>
      <c r="O10" s="17">
        <v>7.9023624973991402E-2</v>
      </c>
    </row>
    <row r="11" spans="2:15" x14ac:dyDescent="0.3">
      <c r="B11" s="18" t="s">
        <v>334</v>
      </c>
      <c r="C11" s="17">
        <v>0.12990624835042</v>
      </c>
      <c r="D11" s="17">
        <v>0.13372437437065701</v>
      </c>
      <c r="E11" s="17">
        <v>0.12706764828992101</v>
      </c>
      <c r="F11" s="17"/>
      <c r="G11" s="17">
        <v>0.106431033075509</v>
      </c>
      <c r="H11" s="17">
        <v>0.17156469444313399</v>
      </c>
      <c r="I11" s="17">
        <v>0.103161137676506</v>
      </c>
      <c r="J11" s="17">
        <v>0.138579758459487</v>
      </c>
      <c r="K11" s="17"/>
      <c r="L11" s="17">
        <v>0.113226407393639</v>
      </c>
      <c r="M11" s="17">
        <v>0.16908714004463199</v>
      </c>
      <c r="N11" s="17">
        <v>0.114200726775954</v>
      </c>
      <c r="O11" s="17">
        <v>0.12110820108371199</v>
      </c>
    </row>
    <row r="12" spans="2:15" x14ac:dyDescent="0.3">
      <c r="B12" s="18" t="s">
        <v>335</v>
      </c>
      <c r="C12" s="17">
        <v>0.263737723928053</v>
      </c>
      <c r="D12" s="17">
        <v>0.25462215523958398</v>
      </c>
      <c r="E12" s="17">
        <v>0.27470799461302298</v>
      </c>
      <c r="F12" s="17"/>
      <c r="G12" s="17">
        <v>0.18791022992178899</v>
      </c>
      <c r="H12" s="17">
        <v>0.264322243166425</v>
      </c>
      <c r="I12" s="17">
        <v>0.34932631603722403</v>
      </c>
      <c r="J12" s="17">
        <v>0.28626430021772897</v>
      </c>
      <c r="K12" s="17"/>
      <c r="L12" s="17">
        <v>0.267316448036022</v>
      </c>
      <c r="M12" s="17">
        <v>0.28787278990408799</v>
      </c>
      <c r="N12" s="17">
        <v>0.19475907548607299</v>
      </c>
      <c r="O12" s="17">
        <v>0.30898649012326701</v>
      </c>
    </row>
    <row r="13" spans="2:15" x14ac:dyDescent="0.3">
      <c r="B13" s="18" t="s">
        <v>440</v>
      </c>
      <c r="C13" s="17">
        <v>0.24876623498014899</v>
      </c>
      <c r="D13" s="17">
        <v>0.24090008064370699</v>
      </c>
      <c r="E13" s="17">
        <v>0.25543805202102798</v>
      </c>
      <c r="F13" s="17"/>
      <c r="G13" s="17">
        <v>0.32371961452447701</v>
      </c>
      <c r="H13" s="17">
        <v>0.24524735519980201</v>
      </c>
      <c r="I13" s="17">
        <v>0.183962031998537</v>
      </c>
      <c r="J13" s="17">
        <v>0.216002358493178</v>
      </c>
      <c r="K13" s="17"/>
      <c r="L13" s="17">
        <v>0.26578153369246399</v>
      </c>
      <c r="M13" s="17">
        <v>0.197833045421661</v>
      </c>
      <c r="N13" s="17">
        <v>0.29843294290324601</v>
      </c>
      <c r="O13" s="17">
        <v>0.23305054252396401</v>
      </c>
    </row>
    <row r="14" spans="2:15" x14ac:dyDescent="0.3">
      <c r="B14" s="18" t="s">
        <v>441</v>
      </c>
      <c r="C14" s="17">
        <v>0.13294901866403699</v>
      </c>
      <c r="D14" s="17">
        <v>0.15454690737368401</v>
      </c>
      <c r="E14" s="17">
        <v>0.11249408311074099</v>
      </c>
      <c r="F14" s="17"/>
      <c r="G14" s="17">
        <v>0.17453796799112101</v>
      </c>
      <c r="H14" s="17">
        <v>0.112150645471607</v>
      </c>
      <c r="I14" s="17">
        <v>0.148166811997164</v>
      </c>
      <c r="J14" s="17">
        <v>8.98044109958024E-2</v>
      </c>
      <c r="K14" s="17"/>
      <c r="L14" s="17">
        <v>0.15138957158066199</v>
      </c>
      <c r="M14" s="17">
        <v>0.119309118287121</v>
      </c>
      <c r="N14" s="17">
        <v>0.145648925434916</v>
      </c>
      <c r="O14" s="17">
        <v>0.115531292716928</v>
      </c>
    </row>
    <row r="15" spans="2:15" x14ac:dyDescent="0.3">
      <c r="B15" s="18" t="s">
        <v>442</v>
      </c>
      <c r="C15" s="19">
        <v>9.84648066549033E-2</v>
      </c>
      <c r="D15" s="19">
        <v>0.130182127267846</v>
      </c>
      <c r="E15" s="19">
        <v>6.7718829600864394E-2</v>
      </c>
      <c r="F15" s="19"/>
      <c r="G15" s="19">
        <v>0.112524529140962</v>
      </c>
      <c r="H15" s="19">
        <v>6.4084836841884305E-2</v>
      </c>
      <c r="I15" s="19">
        <v>0.123293901659251</v>
      </c>
      <c r="J15" s="19">
        <v>8.9406551082928595E-2</v>
      </c>
      <c r="K15" s="19"/>
      <c r="L15" s="19">
        <v>9.8521690089448097E-2</v>
      </c>
      <c r="M15" s="19">
        <v>9.9385777085881297E-2</v>
      </c>
      <c r="N15" s="19">
        <v>0.111639400774039</v>
      </c>
      <c r="O15" s="19">
        <v>8.3079287987336395E-2</v>
      </c>
    </row>
    <row r="16" spans="2:15" x14ac:dyDescent="0.3">
      <c r="B16" s="16" t="s">
        <v>241</v>
      </c>
    </row>
    <row r="17" spans="2:2" x14ac:dyDescent="0.3">
      <c r="B17" t="s">
        <v>47</v>
      </c>
    </row>
    <row r="18" spans="2:2" x14ac:dyDescent="0.3">
      <c r="B18" t="s">
        <v>48</v>
      </c>
    </row>
    <row r="20" spans="2:2" x14ac:dyDescent="0.3">
      <c r="B20"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O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446</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444</v>
      </c>
      <c r="C9" s="17">
        <v>4.9831718076484302E-2</v>
      </c>
      <c r="D9" s="17">
        <v>3.0930265089744401E-2</v>
      </c>
      <c r="E9" s="17">
        <v>6.4729190948662599E-2</v>
      </c>
      <c r="F9" s="17"/>
      <c r="G9" s="17">
        <v>2.74835060474195E-2</v>
      </c>
      <c r="H9" s="17">
        <v>6.6502673953263494E-2</v>
      </c>
      <c r="I9" s="17">
        <v>6.33606770413353E-2</v>
      </c>
      <c r="J9" s="17">
        <v>4.8047167590921702E-2</v>
      </c>
      <c r="K9" s="17"/>
      <c r="L9" s="17">
        <v>1.6693734725077E-2</v>
      </c>
      <c r="M9" s="17">
        <v>6.0313119899796201E-2</v>
      </c>
      <c r="N9" s="17">
        <v>2.4469414798279701E-2</v>
      </c>
      <c r="O9" s="17">
        <v>9.9170082563292794E-2</v>
      </c>
    </row>
    <row r="10" spans="2:15" x14ac:dyDescent="0.3">
      <c r="B10" s="18" t="s">
        <v>333</v>
      </c>
      <c r="C10" s="17">
        <v>2.9671283551178901E-2</v>
      </c>
      <c r="D10" s="17">
        <v>1.8370906227035199E-2</v>
      </c>
      <c r="E10" s="17">
        <v>4.1175025073001602E-2</v>
      </c>
      <c r="F10" s="17"/>
      <c r="G10" s="17">
        <v>1.51426801035514E-2</v>
      </c>
      <c r="H10" s="17">
        <v>2.4217990440839901E-2</v>
      </c>
      <c r="I10" s="17">
        <v>3.0538031811156999E-2</v>
      </c>
      <c r="J10" s="17">
        <v>5.4214541743442403E-2</v>
      </c>
      <c r="K10" s="17"/>
      <c r="L10" s="17">
        <v>1.8383533672556001E-2</v>
      </c>
      <c r="M10" s="17">
        <v>4.1414461442877297E-2</v>
      </c>
      <c r="N10" s="17">
        <v>4.47826507552712E-2</v>
      </c>
      <c r="O10" s="17">
        <v>1.1955573044905099E-2</v>
      </c>
    </row>
    <row r="11" spans="2:15" x14ac:dyDescent="0.3">
      <c r="B11" s="18" t="s">
        <v>334</v>
      </c>
      <c r="C11" s="17">
        <v>6.7689805275773798E-2</v>
      </c>
      <c r="D11" s="17">
        <v>6.8383067543018206E-2</v>
      </c>
      <c r="E11" s="17">
        <v>6.74906061807201E-2</v>
      </c>
      <c r="F11" s="17"/>
      <c r="G11" s="17">
        <v>3.1031753368918301E-2</v>
      </c>
      <c r="H11" s="17">
        <v>6.5635922242818098E-2</v>
      </c>
      <c r="I11" s="17">
        <v>8.2942152992732193E-2</v>
      </c>
      <c r="J11" s="17">
        <v>0.10435088894294201</v>
      </c>
      <c r="K11" s="17"/>
      <c r="L11" s="17">
        <v>7.9913687477159601E-2</v>
      </c>
      <c r="M11" s="17">
        <v>6.0273840516294003E-2</v>
      </c>
      <c r="N11" s="17">
        <v>7.01378792704654E-2</v>
      </c>
      <c r="O11" s="17">
        <v>6.0791623185033797E-2</v>
      </c>
    </row>
    <row r="12" spans="2:15" x14ac:dyDescent="0.3">
      <c r="B12" s="18" t="s">
        <v>335</v>
      </c>
      <c r="C12" s="17">
        <v>0.16720741622830701</v>
      </c>
      <c r="D12" s="17">
        <v>0.15337564605578</v>
      </c>
      <c r="E12" s="17">
        <v>0.18224193393671401</v>
      </c>
      <c r="F12" s="17"/>
      <c r="G12" s="17">
        <v>0.100404647877274</v>
      </c>
      <c r="H12" s="17">
        <v>0.18403645575848501</v>
      </c>
      <c r="I12" s="17">
        <v>0.234953102074206</v>
      </c>
      <c r="J12" s="17">
        <v>0.174556741390586</v>
      </c>
      <c r="K12" s="17"/>
      <c r="L12" s="17">
        <v>0.210555171095413</v>
      </c>
      <c r="M12" s="17">
        <v>0.17535737291298101</v>
      </c>
      <c r="N12" s="17">
        <v>0.10571611190041599</v>
      </c>
      <c r="O12" s="17">
        <v>0.18170786340411399</v>
      </c>
    </row>
    <row r="13" spans="2:15" x14ac:dyDescent="0.3">
      <c r="B13" s="18" t="s">
        <v>440</v>
      </c>
      <c r="C13" s="17">
        <v>0.24980377040201701</v>
      </c>
      <c r="D13" s="17">
        <v>0.244699606746104</v>
      </c>
      <c r="E13" s="17">
        <v>0.25672251514661798</v>
      </c>
      <c r="F13" s="17"/>
      <c r="G13" s="17">
        <v>0.22181374770307299</v>
      </c>
      <c r="H13" s="17">
        <v>0.28184322909616299</v>
      </c>
      <c r="I13" s="17">
        <v>0.24447527189275101</v>
      </c>
      <c r="J13" s="17">
        <v>0.25671495237114</v>
      </c>
      <c r="K13" s="17"/>
      <c r="L13" s="17">
        <v>0.21013263072987601</v>
      </c>
      <c r="M13" s="17">
        <v>0.238213135515534</v>
      </c>
      <c r="N13" s="17">
        <v>0.29202422651277699</v>
      </c>
      <c r="O13" s="17">
        <v>0.25620479590780998</v>
      </c>
    </row>
    <row r="14" spans="2:15" x14ac:dyDescent="0.3">
      <c r="B14" s="18" t="s">
        <v>441</v>
      </c>
      <c r="C14" s="17">
        <v>0.19898543185686701</v>
      </c>
      <c r="D14" s="17">
        <v>0.20050352400283999</v>
      </c>
      <c r="E14" s="17">
        <v>0.19891912895838601</v>
      </c>
      <c r="F14" s="17"/>
      <c r="G14" s="17">
        <v>0.29926327423077798</v>
      </c>
      <c r="H14" s="17">
        <v>0.18099012110599599</v>
      </c>
      <c r="I14" s="17">
        <v>0.12283996592309</v>
      </c>
      <c r="J14" s="17">
        <v>0.15996037345335201</v>
      </c>
      <c r="K14" s="17"/>
      <c r="L14" s="17">
        <v>0.20790619130065799</v>
      </c>
      <c r="M14" s="17">
        <v>0.20139331902316199</v>
      </c>
      <c r="N14" s="17">
        <v>0.18908418192443199</v>
      </c>
      <c r="O14" s="17">
        <v>0.19820072364583399</v>
      </c>
    </row>
    <row r="15" spans="2:15" x14ac:dyDescent="0.3">
      <c r="B15" s="18" t="s">
        <v>445</v>
      </c>
      <c r="C15" s="19">
        <v>0.23681057460937199</v>
      </c>
      <c r="D15" s="19">
        <v>0.283736984335478</v>
      </c>
      <c r="E15" s="19">
        <v>0.188721599755899</v>
      </c>
      <c r="F15" s="19"/>
      <c r="G15" s="19">
        <v>0.30486039066898601</v>
      </c>
      <c r="H15" s="19">
        <v>0.19677360740243399</v>
      </c>
      <c r="I15" s="19">
        <v>0.22089079826472899</v>
      </c>
      <c r="J15" s="19">
        <v>0.202155334507616</v>
      </c>
      <c r="K15" s="19"/>
      <c r="L15" s="19">
        <v>0.25641505099925999</v>
      </c>
      <c r="M15" s="19">
        <v>0.22303475068935399</v>
      </c>
      <c r="N15" s="19">
        <v>0.27378553483835899</v>
      </c>
      <c r="O15" s="19">
        <v>0.191969338249011</v>
      </c>
    </row>
    <row r="16" spans="2:15" x14ac:dyDescent="0.3">
      <c r="B16" s="16"/>
    </row>
    <row r="17" spans="2:2" x14ac:dyDescent="0.3">
      <c r="B17" t="s">
        <v>47</v>
      </c>
    </row>
    <row r="18" spans="2:2" x14ac:dyDescent="0.3">
      <c r="B18" t="s">
        <v>48</v>
      </c>
    </row>
    <row r="20" spans="2:2" x14ac:dyDescent="0.3">
      <c r="B20"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O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449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447</v>
      </c>
      <c r="C9" s="17">
        <v>6.8923020166600596E-2</v>
      </c>
      <c r="D9" s="17">
        <v>5.6847150788337401E-2</v>
      </c>
      <c r="E9" s="17">
        <v>7.7141799820875406E-2</v>
      </c>
      <c r="F9" s="17"/>
      <c r="G9" s="17">
        <v>2.8838884616657599E-2</v>
      </c>
      <c r="H9" s="17">
        <v>0.10301335338773999</v>
      </c>
      <c r="I9" s="17">
        <v>7.5432778763967104E-2</v>
      </c>
      <c r="J9" s="17">
        <v>7.7009523445609601E-2</v>
      </c>
      <c r="K9" s="17"/>
      <c r="L9" s="17">
        <v>4.8310709411231403E-2</v>
      </c>
      <c r="M9" s="17">
        <v>9.3263389126184704E-2</v>
      </c>
      <c r="N9" s="17">
        <v>3.5787524443460297E-2</v>
      </c>
      <c r="O9" s="17">
        <v>9.92477816503647E-2</v>
      </c>
    </row>
    <row r="10" spans="2:15" x14ac:dyDescent="0.3">
      <c r="B10" s="18" t="s">
        <v>333</v>
      </c>
      <c r="C10" s="17">
        <v>6.6854687646208402E-2</v>
      </c>
      <c r="D10" s="17">
        <v>5.2090107532022797E-2</v>
      </c>
      <c r="E10" s="17">
        <v>8.2089655797672204E-2</v>
      </c>
      <c r="F10" s="17"/>
      <c r="G10" s="17">
        <v>5.8012440882851797E-2</v>
      </c>
      <c r="H10" s="17">
        <v>8.1331791778474993E-2</v>
      </c>
      <c r="I10" s="17">
        <v>3.8845374162931101E-2</v>
      </c>
      <c r="J10" s="17">
        <v>8.8023655983945195E-2</v>
      </c>
      <c r="K10" s="17"/>
      <c r="L10" s="17">
        <v>7.5315005434030205E-2</v>
      </c>
      <c r="M10" s="17">
        <v>6.0287176962380298E-2</v>
      </c>
      <c r="N10" s="17">
        <v>7.8373854499587101E-2</v>
      </c>
      <c r="O10" s="17">
        <v>5.2980321805889997E-2</v>
      </c>
    </row>
    <row r="11" spans="2:15" x14ac:dyDescent="0.3">
      <c r="B11" s="18" t="s">
        <v>334</v>
      </c>
      <c r="C11" s="17">
        <v>7.55969563059017E-2</v>
      </c>
      <c r="D11" s="17">
        <v>7.1574511515907005E-2</v>
      </c>
      <c r="E11" s="17">
        <v>8.0165719882622596E-2</v>
      </c>
      <c r="F11" s="17"/>
      <c r="G11" s="17">
        <v>3.7982319150466001E-2</v>
      </c>
      <c r="H11" s="17">
        <v>8.3714134617041899E-2</v>
      </c>
      <c r="I11" s="17">
        <v>7.6073385212712494E-2</v>
      </c>
      <c r="J11" s="17">
        <v>0.11550643169864901</v>
      </c>
      <c r="K11" s="17"/>
      <c r="L11" s="17">
        <v>6.6949884854081099E-2</v>
      </c>
      <c r="M11" s="17">
        <v>5.7796029697033499E-2</v>
      </c>
      <c r="N11" s="17">
        <v>8.3295760387386397E-2</v>
      </c>
      <c r="O11" s="17">
        <v>9.5053138324441899E-2</v>
      </c>
    </row>
    <row r="12" spans="2:15" x14ac:dyDescent="0.3">
      <c r="B12" s="18" t="s">
        <v>335</v>
      </c>
      <c r="C12" s="17">
        <v>0.205749847107145</v>
      </c>
      <c r="D12" s="17">
        <v>0.18116961485966401</v>
      </c>
      <c r="E12" s="17">
        <v>0.23180146561131601</v>
      </c>
      <c r="F12" s="17"/>
      <c r="G12" s="17">
        <v>0.14364537027771301</v>
      </c>
      <c r="H12" s="17">
        <v>0.23065109859343</v>
      </c>
      <c r="I12" s="17">
        <v>0.21568721747686201</v>
      </c>
      <c r="J12" s="17">
        <v>0.25088331295302402</v>
      </c>
      <c r="K12" s="17"/>
      <c r="L12" s="17">
        <v>0.198234733722121</v>
      </c>
      <c r="M12" s="17">
        <v>0.20580359588948799</v>
      </c>
      <c r="N12" s="17">
        <v>0.23448988273150201</v>
      </c>
      <c r="O12" s="17">
        <v>0.18207210123932199</v>
      </c>
    </row>
    <row r="13" spans="2:15" x14ac:dyDescent="0.3">
      <c r="B13" s="18" t="s">
        <v>440</v>
      </c>
      <c r="C13" s="17">
        <v>0.27423031087658001</v>
      </c>
      <c r="D13" s="17">
        <v>0.27002514459104998</v>
      </c>
      <c r="E13" s="17">
        <v>0.28042908416448098</v>
      </c>
      <c r="F13" s="17"/>
      <c r="G13" s="17">
        <v>0.29687710024075697</v>
      </c>
      <c r="H13" s="17">
        <v>0.25029754690217498</v>
      </c>
      <c r="I13" s="17">
        <v>0.32559700660378399</v>
      </c>
      <c r="J13" s="17">
        <v>0.22721551863682099</v>
      </c>
      <c r="K13" s="17"/>
      <c r="L13" s="17">
        <v>0.27331101660558699</v>
      </c>
      <c r="M13" s="17">
        <v>0.27600752504096498</v>
      </c>
      <c r="N13" s="17">
        <v>0.22276764046256201</v>
      </c>
      <c r="O13" s="17">
        <v>0.32898897982834402</v>
      </c>
    </row>
    <row r="14" spans="2:15" x14ac:dyDescent="0.3">
      <c r="B14" s="18" t="s">
        <v>441</v>
      </c>
      <c r="C14" s="17">
        <v>0.151792471956358</v>
      </c>
      <c r="D14" s="17">
        <v>0.18474503052654201</v>
      </c>
      <c r="E14" s="17">
        <v>0.117041897080046</v>
      </c>
      <c r="F14" s="17"/>
      <c r="G14" s="17">
        <v>0.208133751981183</v>
      </c>
      <c r="H14" s="17">
        <v>0.12384478855565</v>
      </c>
      <c r="I14" s="17">
        <v>0.137019717278584</v>
      </c>
      <c r="J14" s="17">
        <v>0.124866228218817</v>
      </c>
      <c r="K14" s="17"/>
      <c r="L14" s="17">
        <v>0.130335798880714</v>
      </c>
      <c r="M14" s="17">
        <v>0.17067429881429599</v>
      </c>
      <c r="N14" s="17">
        <v>0.19914626267116001</v>
      </c>
      <c r="O14" s="17">
        <v>0.10163693680439601</v>
      </c>
    </row>
    <row r="15" spans="2:15" x14ac:dyDescent="0.3">
      <c r="B15" s="18" t="s">
        <v>448</v>
      </c>
      <c r="C15" s="19">
        <v>0.15685270594120701</v>
      </c>
      <c r="D15" s="19">
        <v>0.18354844018647601</v>
      </c>
      <c r="E15" s="19">
        <v>0.131330377642987</v>
      </c>
      <c r="F15" s="19"/>
      <c r="G15" s="19">
        <v>0.226510132850372</v>
      </c>
      <c r="H15" s="19">
        <v>0.12714728616548801</v>
      </c>
      <c r="I15" s="19">
        <v>0.131344520501158</v>
      </c>
      <c r="J15" s="19">
        <v>0.11649532906313501</v>
      </c>
      <c r="K15" s="19"/>
      <c r="L15" s="19">
        <v>0.207542851092235</v>
      </c>
      <c r="M15" s="19">
        <v>0.136167984469653</v>
      </c>
      <c r="N15" s="19">
        <v>0.14613907480434199</v>
      </c>
      <c r="O15" s="19">
        <v>0.14002074034724099</v>
      </c>
    </row>
    <row r="16" spans="2:15" x14ac:dyDescent="0.3">
      <c r="B16" s="16"/>
    </row>
    <row r="17" spans="2:2" x14ac:dyDescent="0.3">
      <c r="B17" t="s">
        <v>47</v>
      </c>
    </row>
    <row r="18" spans="2:2" x14ac:dyDescent="0.3">
      <c r="B18" t="s">
        <v>48</v>
      </c>
    </row>
    <row r="20" spans="2:2" x14ac:dyDescent="0.3">
      <c r="B20"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O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450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447</v>
      </c>
      <c r="C9" s="17">
        <v>1.7328811350995101E-2</v>
      </c>
      <c r="D9" s="17">
        <v>1.41997747423886E-2</v>
      </c>
      <c r="E9" s="17">
        <v>2.0580567280345598E-2</v>
      </c>
      <c r="F9" s="17"/>
      <c r="G9" s="17">
        <v>1.9951305865122899E-2</v>
      </c>
      <c r="H9" s="17">
        <v>1.9200947921323101E-2</v>
      </c>
      <c r="I9" s="17">
        <v>1.0025231234775001E-2</v>
      </c>
      <c r="J9" s="17">
        <v>1.8593314670902999E-2</v>
      </c>
      <c r="K9" s="17"/>
      <c r="L9" s="17">
        <v>1.2772170462206E-2</v>
      </c>
      <c r="M9" s="17">
        <v>3.7893931832589198E-2</v>
      </c>
      <c r="N9" s="17">
        <v>1.18274746974814E-2</v>
      </c>
      <c r="O9" s="17">
        <v>5.7221494599821498E-3</v>
      </c>
    </row>
    <row r="10" spans="2:15" x14ac:dyDescent="0.3">
      <c r="B10" s="18" t="s">
        <v>333</v>
      </c>
      <c r="C10" s="17">
        <v>1.2206228361138599E-2</v>
      </c>
      <c r="D10" s="17">
        <v>3.4717899601701E-3</v>
      </c>
      <c r="E10" s="17">
        <v>2.1019678046487699E-2</v>
      </c>
      <c r="F10" s="17"/>
      <c r="G10" s="17">
        <v>1.0271767794472799E-2</v>
      </c>
      <c r="H10" s="17">
        <v>2.6051424620250702E-2</v>
      </c>
      <c r="I10" s="17">
        <v>1.12279185479534E-2</v>
      </c>
      <c r="J10" s="17">
        <v>0</v>
      </c>
      <c r="K10" s="17"/>
      <c r="L10" s="17">
        <v>3.2012613403685698E-2</v>
      </c>
      <c r="M10" s="17">
        <v>4.5500133304441602E-3</v>
      </c>
      <c r="N10" s="17">
        <v>1.2793374182206101E-2</v>
      </c>
      <c r="O10" s="17">
        <v>0</v>
      </c>
    </row>
    <row r="11" spans="2:15" x14ac:dyDescent="0.3">
      <c r="B11" s="18" t="s">
        <v>334</v>
      </c>
      <c r="C11" s="17">
        <v>3.5044600257279297E-2</v>
      </c>
      <c r="D11" s="17">
        <v>2.7741925249866101E-2</v>
      </c>
      <c r="E11" s="17">
        <v>4.2594345271355201E-2</v>
      </c>
      <c r="F11" s="17"/>
      <c r="G11" s="17">
        <v>2.2649410062319599E-2</v>
      </c>
      <c r="H11" s="17">
        <v>3.9934801794775203E-2</v>
      </c>
      <c r="I11" s="17">
        <v>1.9642651597035699E-2</v>
      </c>
      <c r="J11" s="17">
        <v>5.9960956253058702E-2</v>
      </c>
      <c r="K11" s="17"/>
      <c r="L11" s="17">
        <v>5.1460451550893599E-2</v>
      </c>
      <c r="M11" s="17">
        <v>4.1585075025855699E-2</v>
      </c>
      <c r="N11" s="17">
        <v>2.6911163960900999E-2</v>
      </c>
      <c r="O11" s="17">
        <v>2.04040063367276E-2</v>
      </c>
    </row>
    <row r="12" spans="2:15" x14ac:dyDescent="0.3">
      <c r="B12" s="18" t="s">
        <v>335</v>
      </c>
      <c r="C12" s="17">
        <v>0.11317076328704601</v>
      </c>
      <c r="D12" s="17">
        <v>0.114507406614377</v>
      </c>
      <c r="E12" s="17">
        <v>0.112660347538602</v>
      </c>
      <c r="F12" s="17"/>
      <c r="G12" s="17">
        <v>6.8811062233965797E-2</v>
      </c>
      <c r="H12" s="17">
        <v>0.120261151949534</v>
      </c>
      <c r="I12" s="17">
        <v>0.146954174835673</v>
      </c>
      <c r="J12" s="17">
        <v>0.13292715472935299</v>
      </c>
      <c r="K12" s="17"/>
      <c r="L12" s="17">
        <v>0.13334906680969599</v>
      </c>
      <c r="M12" s="17">
        <v>9.1660922329355604E-2</v>
      </c>
      <c r="N12" s="17">
        <v>0.12770903037275799</v>
      </c>
      <c r="O12" s="17">
        <v>0.100382044785115</v>
      </c>
    </row>
    <row r="13" spans="2:15" x14ac:dyDescent="0.3">
      <c r="B13" s="18" t="s">
        <v>440</v>
      </c>
      <c r="C13" s="17">
        <v>0.20934694067617399</v>
      </c>
      <c r="D13" s="17">
        <v>0.21087029119657399</v>
      </c>
      <c r="E13" s="17">
        <v>0.209350892564207</v>
      </c>
      <c r="F13" s="17"/>
      <c r="G13" s="17">
        <v>0.16742948222550699</v>
      </c>
      <c r="H13" s="17">
        <v>0.210807036584825</v>
      </c>
      <c r="I13" s="17">
        <v>0.196760788479972</v>
      </c>
      <c r="J13" s="17">
        <v>0.27539379336334102</v>
      </c>
      <c r="K13" s="17"/>
      <c r="L13" s="17">
        <v>0.18825685359025199</v>
      </c>
      <c r="M13" s="17">
        <v>0.24186809406743201</v>
      </c>
      <c r="N13" s="17">
        <v>0.18103195198827601</v>
      </c>
      <c r="O13" s="17">
        <v>0.22612672170763201</v>
      </c>
    </row>
    <row r="14" spans="2:15" x14ac:dyDescent="0.3">
      <c r="B14" s="18" t="s">
        <v>441</v>
      </c>
      <c r="C14" s="17">
        <v>0.24752436697930899</v>
      </c>
      <c r="D14" s="17">
        <v>0.25882281207542901</v>
      </c>
      <c r="E14" s="17">
        <v>0.23510089023697001</v>
      </c>
      <c r="F14" s="17"/>
      <c r="G14" s="17">
        <v>0.31146438627525103</v>
      </c>
      <c r="H14" s="17">
        <v>0.25314593389088802</v>
      </c>
      <c r="I14" s="17">
        <v>0.26709110784881501</v>
      </c>
      <c r="J14" s="17">
        <v>0.142030087794525</v>
      </c>
      <c r="K14" s="17"/>
      <c r="L14" s="17">
        <v>0.24997357651268701</v>
      </c>
      <c r="M14" s="17">
        <v>0.22847598054009699</v>
      </c>
      <c r="N14" s="17">
        <v>0.25073506304092902</v>
      </c>
      <c r="O14" s="17">
        <v>0.262088349397116</v>
      </c>
    </row>
    <row r="15" spans="2:15" x14ac:dyDescent="0.3">
      <c r="B15" s="18" t="s">
        <v>448</v>
      </c>
      <c r="C15" s="19">
        <v>0.36537828908805903</v>
      </c>
      <c r="D15" s="19">
        <v>0.37038600016119499</v>
      </c>
      <c r="E15" s="19">
        <v>0.35869327906203302</v>
      </c>
      <c r="F15" s="19"/>
      <c r="G15" s="19">
        <v>0.39942258554336102</v>
      </c>
      <c r="H15" s="19">
        <v>0.33059870323840501</v>
      </c>
      <c r="I15" s="19">
        <v>0.34829812745577599</v>
      </c>
      <c r="J15" s="19">
        <v>0.37109469318881899</v>
      </c>
      <c r="K15" s="19"/>
      <c r="L15" s="19">
        <v>0.33217526767057898</v>
      </c>
      <c r="M15" s="19">
        <v>0.35396598287422598</v>
      </c>
      <c r="N15" s="19">
        <v>0.388991941757448</v>
      </c>
      <c r="O15" s="19">
        <v>0.38527672831342802</v>
      </c>
    </row>
    <row r="16" spans="2:15" x14ac:dyDescent="0.3">
      <c r="B16" s="16"/>
    </row>
    <row r="17" spans="2:2" x14ac:dyDescent="0.3">
      <c r="B17" t="s">
        <v>47</v>
      </c>
    </row>
    <row r="18" spans="2:2" x14ac:dyDescent="0.3">
      <c r="B18" t="s">
        <v>48</v>
      </c>
    </row>
    <row r="20" spans="2:2" x14ac:dyDescent="0.3">
      <c r="B20"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O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453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451</v>
      </c>
      <c r="C9" s="17">
        <v>5.7689381283147101E-2</v>
      </c>
      <c r="D9" s="17">
        <v>4.5846009130872598E-2</v>
      </c>
      <c r="E9" s="17">
        <v>6.9939675381046396E-2</v>
      </c>
      <c r="F9" s="17"/>
      <c r="G9" s="17">
        <v>1.33657562152512E-2</v>
      </c>
      <c r="H9" s="17">
        <v>9.68929948289141E-2</v>
      </c>
      <c r="I9" s="17">
        <v>6.4308889394157701E-2</v>
      </c>
      <c r="J9" s="17">
        <v>6.5301200994137207E-2</v>
      </c>
      <c r="K9" s="17"/>
      <c r="L9" s="17">
        <v>3.7779964435824001E-2</v>
      </c>
      <c r="M9" s="17">
        <v>6.8718789327004898E-2</v>
      </c>
      <c r="N9" s="17">
        <v>4.1747207642693802E-2</v>
      </c>
      <c r="O9" s="17">
        <v>8.3004516981659504E-2</v>
      </c>
    </row>
    <row r="10" spans="2:15" x14ac:dyDescent="0.3">
      <c r="B10" s="18" t="s">
        <v>333</v>
      </c>
      <c r="C10" s="17">
        <v>5.2090358502488103E-2</v>
      </c>
      <c r="D10" s="17">
        <v>4.0863476207810799E-2</v>
      </c>
      <c r="E10" s="17">
        <v>5.9338452875256097E-2</v>
      </c>
      <c r="F10" s="17"/>
      <c r="G10" s="17">
        <v>1.9064303050594599E-2</v>
      </c>
      <c r="H10" s="17">
        <v>5.3090564860306499E-2</v>
      </c>
      <c r="I10" s="17">
        <v>9.2276210206103104E-2</v>
      </c>
      <c r="J10" s="17">
        <v>5.7680284947934202E-2</v>
      </c>
      <c r="K10" s="17"/>
      <c r="L10" s="17">
        <v>5.5278297681892803E-2</v>
      </c>
      <c r="M10" s="17">
        <v>5.9691638182304899E-2</v>
      </c>
      <c r="N10" s="17">
        <v>5.0880120573873699E-2</v>
      </c>
      <c r="O10" s="17">
        <v>4.2036376211400703E-2</v>
      </c>
    </row>
    <row r="11" spans="2:15" x14ac:dyDescent="0.3">
      <c r="B11" s="18" t="s">
        <v>334</v>
      </c>
      <c r="C11" s="17">
        <v>7.2038789605801901E-2</v>
      </c>
      <c r="D11" s="17">
        <v>4.0100055561245199E-2</v>
      </c>
      <c r="E11" s="17">
        <v>0.10446614728648999</v>
      </c>
      <c r="F11" s="17"/>
      <c r="G11" s="17">
        <v>8.5723880691115001E-2</v>
      </c>
      <c r="H11" s="17">
        <v>7.4685222896292203E-2</v>
      </c>
      <c r="I11" s="17">
        <v>6.9579056925002297E-2</v>
      </c>
      <c r="J11" s="17">
        <v>5.4039513825225399E-2</v>
      </c>
      <c r="K11" s="17"/>
      <c r="L11" s="17">
        <v>8.6987862882998299E-2</v>
      </c>
      <c r="M11" s="17">
        <v>4.63160491413908E-2</v>
      </c>
      <c r="N11" s="17">
        <v>7.0386113937634998E-2</v>
      </c>
      <c r="O11" s="17">
        <v>8.6551547892955605E-2</v>
      </c>
    </row>
    <row r="12" spans="2:15" x14ac:dyDescent="0.3">
      <c r="B12" s="18" t="s">
        <v>335</v>
      </c>
      <c r="C12" s="17">
        <v>0.14077528355910601</v>
      </c>
      <c r="D12" s="17">
        <v>0.114566483023105</v>
      </c>
      <c r="E12" s="17">
        <v>0.16798012961617501</v>
      </c>
      <c r="F12" s="17"/>
      <c r="G12" s="17">
        <v>6.5614272653204797E-2</v>
      </c>
      <c r="H12" s="17">
        <v>0.14151389178585899</v>
      </c>
      <c r="I12" s="17">
        <v>0.109841771892042</v>
      </c>
      <c r="J12" s="17">
        <v>0.267108729708329</v>
      </c>
      <c r="K12" s="17"/>
      <c r="L12" s="17">
        <v>0.16738342022810701</v>
      </c>
      <c r="M12" s="17">
        <v>0.126028890496624</v>
      </c>
      <c r="N12" s="17">
        <v>0.121198659924886</v>
      </c>
      <c r="O12" s="17">
        <v>0.15123869987923899</v>
      </c>
    </row>
    <row r="13" spans="2:15" x14ac:dyDescent="0.3">
      <c r="B13" s="18" t="s">
        <v>440</v>
      </c>
      <c r="C13" s="17">
        <v>0.18161958337021</v>
      </c>
      <c r="D13" s="17">
        <v>0.175118444908515</v>
      </c>
      <c r="E13" s="17">
        <v>0.18943683630095701</v>
      </c>
      <c r="F13" s="17"/>
      <c r="G13" s="17">
        <v>0.18658261687887001</v>
      </c>
      <c r="H13" s="17">
        <v>0.179729770034462</v>
      </c>
      <c r="I13" s="17">
        <v>0.18534333073826101</v>
      </c>
      <c r="J13" s="17">
        <v>0.17534710035934001</v>
      </c>
      <c r="K13" s="17"/>
      <c r="L13" s="17">
        <v>0.14529282774083599</v>
      </c>
      <c r="M13" s="17">
        <v>0.225243525016975</v>
      </c>
      <c r="N13" s="17">
        <v>0.19198041371490601</v>
      </c>
      <c r="O13" s="17">
        <v>0.15979332041525099</v>
      </c>
    </row>
    <row r="14" spans="2:15" x14ac:dyDescent="0.3">
      <c r="B14" s="18" t="s">
        <v>441</v>
      </c>
      <c r="C14" s="17">
        <v>0.183403538540584</v>
      </c>
      <c r="D14" s="17">
        <v>0.207603617833332</v>
      </c>
      <c r="E14" s="17">
        <v>0.15762584211479899</v>
      </c>
      <c r="F14" s="17"/>
      <c r="G14" s="17">
        <v>0.225608653660652</v>
      </c>
      <c r="H14" s="17">
        <v>0.174182499054544</v>
      </c>
      <c r="I14" s="17">
        <v>0.153917139251914</v>
      </c>
      <c r="J14" s="17">
        <v>0.167300549498066</v>
      </c>
      <c r="K14" s="17"/>
      <c r="L14" s="17">
        <v>0.141484471696528</v>
      </c>
      <c r="M14" s="17">
        <v>0.169381350092391</v>
      </c>
      <c r="N14" s="17">
        <v>0.20155878408365599</v>
      </c>
      <c r="O14" s="17">
        <v>0.220738898164825</v>
      </c>
    </row>
    <row r="15" spans="2:15" x14ac:dyDescent="0.3">
      <c r="B15" s="18" t="s">
        <v>452</v>
      </c>
      <c r="C15" s="19">
        <v>0.31238306513866299</v>
      </c>
      <c r="D15" s="19">
        <v>0.37590191333511902</v>
      </c>
      <c r="E15" s="19">
        <v>0.25121291642527599</v>
      </c>
      <c r="F15" s="19"/>
      <c r="G15" s="19">
        <v>0.404040516850313</v>
      </c>
      <c r="H15" s="19">
        <v>0.279905056539622</v>
      </c>
      <c r="I15" s="19">
        <v>0.32473360159252002</v>
      </c>
      <c r="J15" s="19">
        <v>0.21322262066696801</v>
      </c>
      <c r="K15" s="19"/>
      <c r="L15" s="19">
        <v>0.36579315533381401</v>
      </c>
      <c r="M15" s="19">
        <v>0.30461975774330902</v>
      </c>
      <c r="N15" s="19">
        <v>0.32224870012235002</v>
      </c>
      <c r="O15" s="19">
        <v>0.256636640454669</v>
      </c>
    </row>
    <row r="16" spans="2:15" x14ac:dyDescent="0.3">
      <c r="B16" s="16"/>
    </row>
    <row r="17" spans="2:2" x14ac:dyDescent="0.3">
      <c r="B17" t="s">
        <v>47</v>
      </c>
    </row>
    <row r="18" spans="2:2" x14ac:dyDescent="0.3">
      <c r="B18" t="s">
        <v>48</v>
      </c>
    </row>
    <row r="20" spans="2:2" x14ac:dyDescent="0.3">
      <c r="B20"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G21"/>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7" width="20.6640625" customWidth="1"/>
  </cols>
  <sheetData>
    <row r="2" spans="2:7" ht="40.049999999999997" customHeight="1" x14ac:dyDescent="0.3">
      <c r="D2" s="30" t="s">
        <v>458</v>
      </c>
      <c r="E2" s="26"/>
      <c r="F2" s="26"/>
      <c r="G2" s="26"/>
    </row>
    <row r="6" spans="2:7" ht="49.95" customHeight="1" x14ac:dyDescent="0.3">
      <c r="B6" s="20" t="s">
        <v>14</v>
      </c>
      <c r="C6" s="20" t="s">
        <v>454</v>
      </c>
      <c r="D6" s="20" t="s">
        <v>455</v>
      </c>
      <c r="E6" s="20" t="s">
        <v>456</v>
      </c>
      <c r="F6" s="20" t="s">
        <v>457</v>
      </c>
    </row>
    <row r="7" spans="2:7" x14ac:dyDescent="0.3">
      <c r="B7" s="18" t="s">
        <v>137</v>
      </c>
      <c r="C7" s="17">
        <v>5.4240221394931502E-2</v>
      </c>
      <c r="D7" s="17">
        <v>5.09655330065596E-2</v>
      </c>
      <c r="E7" s="17">
        <v>7.0570026030224706E-2</v>
      </c>
      <c r="F7" s="17">
        <v>3.2706066687863397E-2</v>
      </c>
    </row>
    <row r="8" spans="2:7" x14ac:dyDescent="0.3">
      <c r="B8" s="18" t="s">
        <v>138</v>
      </c>
      <c r="C8" s="17">
        <v>0.181622367224822</v>
      </c>
      <c r="D8" s="17">
        <v>0.19970748871674299</v>
      </c>
      <c r="E8" s="17">
        <v>0.15642662213310099</v>
      </c>
      <c r="F8" s="17">
        <v>0.13090459466552001</v>
      </c>
    </row>
    <row r="9" spans="2:7" x14ac:dyDescent="0.3">
      <c r="B9" s="18" t="s">
        <v>139</v>
      </c>
      <c r="C9" s="17">
        <v>0.280082632881889</v>
      </c>
      <c r="D9" s="17">
        <v>0.24822146708777401</v>
      </c>
      <c r="E9" s="17">
        <v>0.225068169469722</v>
      </c>
      <c r="F9" s="17">
        <v>0.251507693566346</v>
      </c>
    </row>
    <row r="10" spans="2:7" x14ac:dyDescent="0.3">
      <c r="B10" s="18" t="s">
        <v>140</v>
      </c>
      <c r="C10" s="17">
        <v>0.29643349892335402</v>
      </c>
      <c r="D10" s="17">
        <v>0.32609785542365599</v>
      </c>
      <c r="E10" s="17">
        <v>0.32960102989309098</v>
      </c>
      <c r="F10" s="17">
        <v>0.35530692363744298</v>
      </c>
    </row>
    <row r="11" spans="2:7" x14ac:dyDescent="0.3">
      <c r="B11" s="18" t="s">
        <v>141</v>
      </c>
      <c r="C11" s="17">
        <v>0.15189327826049401</v>
      </c>
      <c r="D11" s="17">
        <v>0.14535890816657501</v>
      </c>
      <c r="E11" s="17">
        <v>0.19727383922514399</v>
      </c>
      <c r="F11" s="17">
        <v>0.194836125031005</v>
      </c>
    </row>
    <row r="12" spans="2:7" x14ac:dyDescent="0.3">
      <c r="B12" s="18" t="s">
        <v>142</v>
      </c>
      <c r="C12" s="17">
        <v>3.57280013145099E-2</v>
      </c>
      <c r="D12" s="17">
        <v>2.96487475986934E-2</v>
      </c>
      <c r="E12" s="17">
        <v>2.1060313248717499E-2</v>
      </c>
      <c r="F12" s="17">
        <v>3.4738596411822899E-2</v>
      </c>
    </row>
    <row r="13" spans="2:7" x14ac:dyDescent="0.3">
      <c r="B13" s="22" t="s">
        <v>143</v>
      </c>
      <c r="C13" s="21">
        <v>0.23586258861975301</v>
      </c>
      <c r="D13" s="21">
        <v>0.25067302172330203</v>
      </c>
      <c r="E13" s="21">
        <v>0.22699664816332599</v>
      </c>
      <c r="F13" s="21">
        <v>0.16361066135338401</v>
      </c>
    </row>
    <row r="14" spans="2:7" x14ac:dyDescent="0.3">
      <c r="B14" s="22" t="s">
        <v>144</v>
      </c>
      <c r="C14" s="21">
        <v>0.448326777183848</v>
      </c>
      <c r="D14" s="21">
        <v>0.47145676359022998</v>
      </c>
      <c r="E14" s="21">
        <v>0.526874869118234</v>
      </c>
      <c r="F14" s="21">
        <v>0.55014304866844699</v>
      </c>
    </row>
    <row r="15" spans="2:7" x14ac:dyDescent="0.3">
      <c r="B15" s="16"/>
      <c r="C15" s="16"/>
      <c r="D15" s="16"/>
      <c r="E15" s="16"/>
      <c r="F15" s="16"/>
    </row>
    <row r="16" spans="2:7" x14ac:dyDescent="0.3">
      <c r="B16" t="s">
        <v>47</v>
      </c>
    </row>
    <row r="17" spans="2:2" x14ac:dyDescent="0.3">
      <c r="B17" t="s">
        <v>48</v>
      </c>
    </row>
    <row r="21" spans="2:2" x14ac:dyDescent="0.3">
      <c r="B21"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459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5.09655330065596E-2</v>
      </c>
      <c r="D9" s="17">
        <v>4.2876840206364002E-2</v>
      </c>
      <c r="E9" s="17">
        <v>5.9416421643285401E-2</v>
      </c>
      <c r="F9" s="17"/>
      <c r="G9" s="17">
        <v>4.3613340651529803E-2</v>
      </c>
      <c r="H9" s="17">
        <v>6.4330230404432906E-2</v>
      </c>
      <c r="I9" s="17">
        <v>4.9412701623737801E-2</v>
      </c>
      <c r="J9" s="17">
        <v>4.7187809960059703E-2</v>
      </c>
      <c r="K9" s="17"/>
      <c r="L9" s="17">
        <v>2.68196667089446E-2</v>
      </c>
      <c r="M9" s="17">
        <v>4.4929721319719999E-2</v>
      </c>
      <c r="N9" s="17">
        <v>7.1316533088621001E-2</v>
      </c>
      <c r="O9" s="17">
        <v>5.9557552696572098E-2</v>
      </c>
    </row>
    <row r="10" spans="2:15" x14ac:dyDescent="0.3">
      <c r="B10" s="18" t="s">
        <v>138</v>
      </c>
      <c r="C10" s="17">
        <v>0.19970748871674299</v>
      </c>
      <c r="D10" s="17">
        <v>0.18788072379441301</v>
      </c>
      <c r="E10" s="17">
        <v>0.21297611966786201</v>
      </c>
      <c r="F10" s="17"/>
      <c r="G10" s="17">
        <v>0.16754230058195299</v>
      </c>
      <c r="H10" s="17">
        <v>0.239187770670443</v>
      </c>
      <c r="I10" s="17">
        <v>0.16120457850804901</v>
      </c>
      <c r="J10" s="17">
        <v>0.23348503364742301</v>
      </c>
      <c r="K10" s="17"/>
      <c r="L10" s="17">
        <v>0.207728141108494</v>
      </c>
      <c r="M10" s="17">
        <v>0.12418270305375</v>
      </c>
      <c r="N10" s="17">
        <v>0.204079076945889</v>
      </c>
      <c r="O10" s="17">
        <v>0.26819730941117997</v>
      </c>
    </row>
    <row r="11" spans="2:15" x14ac:dyDescent="0.3">
      <c r="B11" s="18" t="s">
        <v>139</v>
      </c>
      <c r="C11" s="17">
        <v>0.24822146708777401</v>
      </c>
      <c r="D11" s="17">
        <v>0.240307973207326</v>
      </c>
      <c r="E11" s="17">
        <v>0.25793481465259699</v>
      </c>
      <c r="F11" s="17"/>
      <c r="G11" s="17">
        <v>0.17709825626049</v>
      </c>
      <c r="H11" s="17">
        <v>0.21696721153717299</v>
      </c>
      <c r="I11" s="17">
        <v>0.344943945181587</v>
      </c>
      <c r="J11" s="17">
        <v>0.28996502893970599</v>
      </c>
      <c r="K11" s="17"/>
      <c r="L11" s="17">
        <v>0.25290740660327898</v>
      </c>
      <c r="M11" s="17">
        <v>0.24351149540353501</v>
      </c>
      <c r="N11" s="17">
        <v>0.266558062135273</v>
      </c>
      <c r="O11" s="17">
        <v>0.228737670658403</v>
      </c>
    </row>
    <row r="12" spans="2:15" x14ac:dyDescent="0.3">
      <c r="B12" s="18" t="s">
        <v>140</v>
      </c>
      <c r="C12" s="17">
        <v>0.32609785542365599</v>
      </c>
      <c r="D12" s="17">
        <v>0.35126972646379201</v>
      </c>
      <c r="E12" s="17">
        <v>0.30038932595844398</v>
      </c>
      <c r="F12" s="17"/>
      <c r="G12" s="17">
        <v>0.39289793867142098</v>
      </c>
      <c r="H12" s="17">
        <v>0.31362223241404102</v>
      </c>
      <c r="I12" s="17">
        <v>0.30507377145346798</v>
      </c>
      <c r="J12" s="17">
        <v>0.26715472086506098</v>
      </c>
      <c r="K12" s="17"/>
      <c r="L12" s="17">
        <v>0.30819731400109102</v>
      </c>
      <c r="M12" s="17">
        <v>0.41575987175941498</v>
      </c>
      <c r="N12" s="17">
        <v>0.29363573681247201</v>
      </c>
      <c r="O12" s="17">
        <v>0.28271109867744398</v>
      </c>
    </row>
    <row r="13" spans="2:15" x14ac:dyDescent="0.3">
      <c r="B13" s="18" t="s">
        <v>141</v>
      </c>
      <c r="C13" s="17">
        <v>0.14535890816657501</v>
      </c>
      <c r="D13" s="17">
        <v>0.16253823150676999</v>
      </c>
      <c r="E13" s="17">
        <v>0.12491279387448</v>
      </c>
      <c r="F13" s="17"/>
      <c r="G13" s="17">
        <v>0.202151987206906</v>
      </c>
      <c r="H13" s="17">
        <v>0.122297168116786</v>
      </c>
      <c r="I13" s="17">
        <v>0.117655999666754</v>
      </c>
      <c r="J13" s="17">
        <v>0.124048165582818</v>
      </c>
      <c r="K13" s="17"/>
      <c r="L13" s="17">
        <v>0.15672703732919099</v>
      </c>
      <c r="M13" s="17">
        <v>0.13839130868167601</v>
      </c>
      <c r="N13" s="17">
        <v>0.14905727223955001</v>
      </c>
      <c r="O13" s="17">
        <v>0.13747966585562499</v>
      </c>
    </row>
    <row r="14" spans="2:15" x14ac:dyDescent="0.3">
      <c r="B14" s="18" t="s">
        <v>142</v>
      </c>
      <c r="C14" s="17">
        <v>2.96487475986934E-2</v>
      </c>
      <c r="D14" s="17">
        <v>1.51265048213354E-2</v>
      </c>
      <c r="E14" s="17">
        <v>4.4370524203332297E-2</v>
      </c>
      <c r="F14" s="17"/>
      <c r="G14" s="17">
        <v>1.6696176627700302E-2</v>
      </c>
      <c r="H14" s="17">
        <v>4.3595386857124503E-2</v>
      </c>
      <c r="I14" s="17">
        <v>2.1709003566404601E-2</v>
      </c>
      <c r="J14" s="17">
        <v>3.8159241004931697E-2</v>
      </c>
      <c r="K14" s="17"/>
      <c r="L14" s="17">
        <v>4.7620434249001198E-2</v>
      </c>
      <c r="M14" s="17">
        <v>3.3224899781904099E-2</v>
      </c>
      <c r="N14" s="17">
        <v>1.5353318778193899E-2</v>
      </c>
      <c r="O14" s="17">
        <v>2.3316702700775901E-2</v>
      </c>
    </row>
    <row r="15" spans="2:15" x14ac:dyDescent="0.3">
      <c r="B15" s="18" t="s">
        <v>143</v>
      </c>
      <c r="C15" s="21">
        <v>0.25067302172330203</v>
      </c>
      <c r="D15" s="21">
        <v>0.23075756400077699</v>
      </c>
      <c r="E15" s="21">
        <v>0.27239254131114699</v>
      </c>
      <c r="F15" s="21"/>
      <c r="G15" s="21">
        <v>0.21115564123348299</v>
      </c>
      <c r="H15" s="21">
        <v>0.30351800107487598</v>
      </c>
      <c r="I15" s="21">
        <v>0.21061728013178699</v>
      </c>
      <c r="J15" s="21">
        <v>0.28067284360748301</v>
      </c>
      <c r="K15" s="21"/>
      <c r="L15" s="21">
        <v>0.234547807817438</v>
      </c>
      <c r="M15" s="21">
        <v>0.16911242437346999</v>
      </c>
      <c r="N15" s="21">
        <v>0.27539561003451002</v>
      </c>
      <c r="O15" s="21">
        <v>0.32775486210775301</v>
      </c>
    </row>
    <row r="16" spans="2:15" x14ac:dyDescent="0.3">
      <c r="B16" s="18" t="s">
        <v>144</v>
      </c>
      <c r="C16" s="21">
        <v>0.47145676359022998</v>
      </c>
      <c r="D16" s="21">
        <v>0.513807957970562</v>
      </c>
      <c r="E16" s="21">
        <v>0.42530211983292399</v>
      </c>
      <c r="F16" s="21"/>
      <c r="G16" s="21">
        <v>0.59504992587832695</v>
      </c>
      <c r="H16" s="21">
        <v>0.43591940053082701</v>
      </c>
      <c r="I16" s="21">
        <v>0.42272977112022198</v>
      </c>
      <c r="J16" s="21">
        <v>0.39120288644787898</v>
      </c>
      <c r="K16" s="21"/>
      <c r="L16" s="21">
        <v>0.46492435133028198</v>
      </c>
      <c r="M16" s="21">
        <v>0.55415118044109102</v>
      </c>
      <c r="N16" s="21">
        <v>0.44269300905202302</v>
      </c>
      <c r="O16" s="21">
        <v>0.42019076453306903</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460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3.2706066687863397E-2</v>
      </c>
      <c r="D9" s="17">
        <v>2.5193447735199499E-2</v>
      </c>
      <c r="E9" s="17">
        <v>4.0448475212803703E-2</v>
      </c>
      <c r="F9" s="17"/>
      <c r="G9" s="17">
        <v>2.76473373443007E-2</v>
      </c>
      <c r="H9" s="17">
        <v>5.3216523724237602E-2</v>
      </c>
      <c r="I9" s="17">
        <v>2.1576687138647299E-2</v>
      </c>
      <c r="J9" s="17">
        <v>2.6427796300053201E-2</v>
      </c>
      <c r="K9" s="17"/>
      <c r="L9" s="17">
        <v>2.3335246253267199E-2</v>
      </c>
      <c r="M9" s="17">
        <v>1.0877596766025101E-2</v>
      </c>
      <c r="N9" s="17">
        <v>6.1130329971007799E-2</v>
      </c>
      <c r="O9" s="17">
        <v>3.4766077118000401E-2</v>
      </c>
    </row>
    <row r="10" spans="2:15" x14ac:dyDescent="0.3">
      <c r="B10" s="18" t="s">
        <v>138</v>
      </c>
      <c r="C10" s="17">
        <v>0.13090459466552001</v>
      </c>
      <c r="D10" s="17">
        <v>0.11768545457659201</v>
      </c>
      <c r="E10" s="17">
        <v>0.14506263070851999</v>
      </c>
      <c r="F10" s="17"/>
      <c r="G10" s="17">
        <v>0.123280627413264</v>
      </c>
      <c r="H10" s="17">
        <v>0.16188757275708399</v>
      </c>
      <c r="I10" s="17">
        <v>0.123321483266739</v>
      </c>
      <c r="J10" s="17">
        <v>0.113621897484054</v>
      </c>
      <c r="K10" s="17"/>
      <c r="L10" s="17">
        <v>0.15636321926399199</v>
      </c>
      <c r="M10" s="17">
        <v>0.141969573173959</v>
      </c>
      <c r="N10" s="17">
        <v>0.119757727940574</v>
      </c>
      <c r="O10" s="17">
        <v>0.105618507896359</v>
      </c>
    </row>
    <row r="11" spans="2:15" x14ac:dyDescent="0.3">
      <c r="B11" s="18" t="s">
        <v>139</v>
      </c>
      <c r="C11" s="17">
        <v>0.251507693566346</v>
      </c>
      <c r="D11" s="17">
        <v>0.238318611861813</v>
      </c>
      <c r="E11" s="17">
        <v>0.26651457353036301</v>
      </c>
      <c r="F11" s="17"/>
      <c r="G11" s="17">
        <v>0.17543589653375299</v>
      </c>
      <c r="H11" s="17">
        <v>0.24274330366826899</v>
      </c>
      <c r="I11" s="17">
        <v>0.29783171477009002</v>
      </c>
      <c r="J11" s="17">
        <v>0.32018615883405699</v>
      </c>
      <c r="K11" s="17"/>
      <c r="L11" s="17">
        <v>0.22203527295655401</v>
      </c>
      <c r="M11" s="17">
        <v>0.22819437601371401</v>
      </c>
      <c r="N11" s="17">
        <v>0.25966196439341099</v>
      </c>
      <c r="O11" s="17">
        <v>0.29722579875343802</v>
      </c>
    </row>
    <row r="12" spans="2:15" x14ac:dyDescent="0.3">
      <c r="B12" s="18" t="s">
        <v>140</v>
      </c>
      <c r="C12" s="17">
        <v>0.35530692363744298</v>
      </c>
      <c r="D12" s="17">
        <v>0.36030784280520101</v>
      </c>
      <c r="E12" s="17">
        <v>0.34995924816873297</v>
      </c>
      <c r="F12" s="17"/>
      <c r="G12" s="17">
        <v>0.42619847544221401</v>
      </c>
      <c r="H12" s="17">
        <v>0.328400580994062</v>
      </c>
      <c r="I12" s="17">
        <v>0.32760577181246903</v>
      </c>
      <c r="J12" s="17">
        <v>0.31374178931336799</v>
      </c>
      <c r="K12" s="17"/>
      <c r="L12" s="17">
        <v>0.332656295795975</v>
      </c>
      <c r="M12" s="17">
        <v>0.36816619374444498</v>
      </c>
      <c r="N12" s="17">
        <v>0.32811730500567599</v>
      </c>
      <c r="O12" s="17">
        <v>0.39357951442700301</v>
      </c>
    </row>
    <row r="13" spans="2:15" x14ac:dyDescent="0.3">
      <c r="B13" s="18" t="s">
        <v>141</v>
      </c>
      <c r="C13" s="17">
        <v>0.194836125031005</v>
      </c>
      <c r="D13" s="17">
        <v>0.23160775245743301</v>
      </c>
      <c r="E13" s="17">
        <v>0.155180554787062</v>
      </c>
      <c r="F13" s="17"/>
      <c r="G13" s="17">
        <v>0.23592749200829899</v>
      </c>
      <c r="H13" s="17">
        <v>0.17094986195549</v>
      </c>
      <c r="I13" s="17">
        <v>0.175271655828796</v>
      </c>
      <c r="J13" s="17">
        <v>0.18786311706353601</v>
      </c>
      <c r="K13" s="17"/>
      <c r="L13" s="17">
        <v>0.215946820892299</v>
      </c>
      <c r="M13" s="17">
        <v>0.20325921708081601</v>
      </c>
      <c r="N13" s="17">
        <v>0.21478307230488999</v>
      </c>
      <c r="O13" s="17">
        <v>0.143055031205779</v>
      </c>
    </row>
    <row r="14" spans="2:15" x14ac:dyDescent="0.3">
      <c r="B14" s="18" t="s">
        <v>142</v>
      </c>
      <c r="C14" s="17">
        <v>3.4738596411822899E-2</v>
      </c>
      <c r="D14" s="17">
        <v>2.6886890563761E-2</v>
      </c>
      <c r="E14" s="17">
        <v>4.2834517592517503E-2</v>
      </c>
      <c r="F14" s="17"/>
      <c r="G14" s="17">
        <v>1.15101712581696E-2</v>
      </c>
      <c r="H14" s="17">
        <v>4.28021569008568E-2</v>
      </c>
      <c r="I14" s="17">
        <v>5.4392687183259202E-2</v>
      </c>
      <c r="J14" s="17">
        <v>3.8159241004931697E-2</v>
      </c>
      <c r="K14" s="17"/>
      <c r="L14" s="17">
        <v>4.9663144837911802E-2</v>
      </c>
      <c r="M14" s="17">
        <v>4.7533043221041002E-2</v>
      </c>
      <c r="N14" s="17">
        <v>1.6549600384440599E-2</v>
      </c>
      <c r="O14" s="17">
        <v>2.5755070599421E-2</v>
      </c>
    </row>
    <row r="15" spans="2:15" x14ac:dyDescent="0.3">
      <c r="B15" s="18" t="s">
        <v>143</v>
      </c>
      <c r="C15" s="21">
        <v>0.16361066135338401</v>
      </c>
      <c r="D15" s="21">
        <v>0.14287890231179201</v>
      </c>
      <c r="E15" s="21">
        <v>0.185511105921324</v>
      </c>
      <c r="F15" s="21"/>
      <c r="G15" s="21">
        <v>0.15092796475756501</v>
      </c>
      <c r="H15" s="21">
        <v>0.21510409648132101</v>
      </c>
      <c r="I15" s="21">
        <v>0.144898170405386</v>
      </c>
      <c r="J15" s="21">
        <v>0.140049693784108</v>
      </c>
      <c r="K15" s="21"/>
      <c r="L15" s="21">
        <v>0.17969846551725899</v>
      </c>
      <c r="M15" s="21">
        <v>0.15284716993998401</v>
      </c>
      <c r="N15" s="21">
        <v>0.180888057911582</v>
      </c>
      <c r="O15" s="21">
        <v>0.14038458501435899</v>
      </c>
    </row>
    <row r="16" spans="2:15" x14ac:dyDescent="0.3">
      <c r="B16" s="18" t="s">
        <v>144</v>
      </c>
      <c r="C16" s="21">
        <v>0.55014304866844699</v>
      </c>
      <c r="D16" s="21">
        <v>0.59191559526263404</v>
      </c>
      <c r="E16" s="21">
        <v>0.50513980295579597</v>
      </c>
      <c r="F16" s="21"/>
      <c r="G16" s="21">
        <v>0.662125967450513</v>
      </c>
      <c r="H16" s="21">
        <v>0.499350442949553</v>
      </c>
      <c r="I16" s="21">
        <v>0.50287742764126497</v>
      </c>
      <c r="J16" s="21">
        <v>0.50160490637690403</v>
      </c>
      <c r="K16" s="21"/>
      <c r="L16" s="21">
        <v>0.548603116688274</v>
      </c>
      <c r="M16" s="21">
        <v>0.57142541082526199</v>
      </c>
      <c r="N16" s="21">
        <v>0.54290037731056595</v>
      </c>
      <c r="O16" s="21">
        <v>0.53663454563278201</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O21"/>
  <sheetViews>
    <sheetView showGridLines="0" workbookViewId="0">
      <pane xSplit="2" topLeftCell="C1" activePane="topRight" state="frozen"/>
      <selection pane="topRight" activeCell="H17" sqref="H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461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5.4240221394931502E-2</v>
      </c>
      <c r="D9" s="17">
        <v>4.0779198738432103E-2</v>
      </c>
      <c r="E9" s="17">
        <v>6.8081190299541502E-2</v>
      </c>
      <c r="F9" s="17"/>
      <c r="G9" s="17">
        <v>4.0695996087483199E-2</v>
      </c>
      <c r="H9" s="17">
        <v>7.5182767284554905E-2</v>
      </c>
      <c r="I9" s="17">
        <v>4.1631362510398902E-2</v>
      </c>
      <c r="J9" s="17">
        <v>6.0036784347253999E-2</v>
      </c>
      <c r="K9" s="17"/>
      <c r="L9" s="17">
        <v>6.5993737464557403E-2</v>
      </c>
      <c r="M9" s="17">
        <v>5.5380175251838602E-2</v>
      </c>
      <c r="N9" s="17">
        <v>5.4951800744477398E-2</v>
      </c>
      <c r="O9" s="17">
        <v>4.0489513699049198E-2</v>
      </c>
    </row>
    <row r="10" spans="2:15" x14ac:dyDescent="0.3">
      <c r="B10" s="18" t="s">
        <v>138</v>
      </c>
      <c r="C10" s="17">
        <v>0.181622367224822</v>
      </c>
      <c r="D10" s="17">
        <v>0.18721995671330299</v>
      </c>
      <c r="E10" s="17">
        <v>0.17735467957451101</v>
      </c>
      <c r="F10" s="17"/>
      <c r="G10" s="17">
        <v>0.15497509799704001</v>
      </c>
      <c r="H10" s="17">
        <v>0.200552338057224</v>
      </c>
      <c r="I10" s="17">
        <v>0.151284667129399</v>
      </c>
      <c r="J10" s="17">
        <v>0.22394678495944201</v>
      </c>
      <c r="K10" s="17"/>
      <c r="L10" s="17">
        <v>0.191203219583436</v>
      </c>
      <c r="M10" s="17">
        <v>0.163389637609654</v>
      </c>
      <c r="N10" s="17">
        <v>0.16428746722331999</v>
      </c>
      <c r="O10" s="17">
        <v>0.21043498687808901</v>
      </c>
    </row>
    <row r="11" spans="2:15" x14ac:dyDescent="0.3">
      <c r="B11" s="18" t="s">
        <v>139</v>
      </c>
      <c r="C11" s="17">
        <v>0.280082632881889</v>
      </c>
      <c r="D11" s="17">
        <v>0.269492070211308</v>
      </c>
      <c r="E11" s="17">
        <v>0.292702184131374</v>
      </c>
      <c r="F11" s="17"/>
      <c r="G11" s="17">
        <v>0.26881660785457001</v>
      </c>
      <c r="H11" s="17">
        <v>0.24096220439403701</v>
      </c>
      <c r="I11" s="17">
        <v>0.31404949107901198</v>
      </c>
      <c r="J11" s="17">
        <v>0.31036952924080802</v>
      </c>
      <c r="K11" s="17"/>
      <c r="L11" s="17">
        <v>0.26055123460187601</v>
      </c>
      <c r="M11" s="17">
        <v>0.278065629896939</v>
      </c>
      <c r="N11" s="17">
        <v>0.28276174146780297</v>
      </c>
      <c r="O11" s="17">
        <v>0.29888146976854801</v>
      </c>
    </row>
    <row r="12" spans="2:15" x14ac:dyDescent="0.3">
      <c r="B12" s="18" t="s">
        <v>140</v>
      </c>
      <c r="C12" s="17">
        <v>0.29643349892335402</v>
      </c>
      <c r="D12" s="17">
        <v>0.31004746747127299</v>
      </c>
      <c r="E12" s="17">
        <v>0.27770793816665301</v>
      </c>
      <c r="F12" s="17"/>
      <c r="G12" s="17">
        <v>0.348907390899521</v>
      </c>
      <c r="H12" s="17">
        <v>0.260058808475853</v>
      </c>
      <c r="I12" s="17">
        <v>0.30568898565053898</v>
      </c>
      <c r="J12" s="17">
        <v>0.255392878352389</v>
      </c>
      <c r="K12" s="17"/>
      <c r="L12" s="17">
        <v>0.293285623739657</v>
      </c>
      <c r="M12" s="17">
        <v>0.32911470202491599</v>
      </c>
      <c r="N12" s="17">
        <v>0.27060402673684703</v>
      </c>
      <c r="O12" s="17">
        <v>0.29240625048772401</v>
      </c>
    </row>
    <row r="13" spans="2:15" x14ac:dyDescent="0.3">
      <c r="B13" s="18" t="s">
        <v>141</v>
      </c>
      <c r="C13" s="17">
        <v>0.15189327826049401</v>
      </c>
      <c r="D13" s="17">
        <v>0.17246728436455699</v>
      </c>
      <c r="E13" s="17">
        <v>0.13244957149974501</v>
      </c>
      <c r="F13" s="17"/>
      <c r="G13" s="17">
        <v>0.17367815212021601</v>
      </c>
      <c r="H13" s="17">
        <v>0.166310758226167</v>
      </c>
      <c r="I13" s="17">
        <v>0.13598430589386901</v>
      </c>
      <c r="J13" s="17">
        <v>0.122899139903228</v>
      </c>
      <c r="K13" s="17"/>
      <c r="L13" s="17">
        <v>0.154225541578351</v>
      </c>
      <c r="M13" s="17">
        <v>0.15164136326369701</v>
      </c>
      <c r="N13" s="17">
        <v>0.19899128468777799</v>
      </c>
      <c r="O13" s="17">
        <v>9.8809174112662795E-2</v>
      </c>
    </row>
    <row r="14" spans="2:15" x14ac:dyDescent="0.3">
      <c r="B14" s="18" t="s">
        <v>142</v>
      </c>
      <c r="C14" s="17">
        <v>3.57280013145099E-2</v>
      </c>
      <c r="D14" s="17">
        <v>1.9994022501126099E-2</v>
      </c>
      <c r="E14" s="17">
        <v>5.1704436328175701E-2</v>
      </c>
      <c r="F14" s="17"/>
      <c r="G14" s="17">
        <v>1.29267550411695E-2</v>
      </c>
      <c r="H14" s="17">
        <v>5.6933123562164803E-2</v>
      </c>
      <c r="I14" s="17">
        <v>5.13611877367815E-2</v>
      </c>
      <c r="J14" s="17">
        <v>2.7354883196878399E-2</v>
      </c>
      <c r="K14" s="17"/>
      <c r="L14" s="17">
        <v>3.4740643032122598E-2</v>
      </c>
      <c r="M14" s="17">
        <v>2.2408491952955301E-2</v>
      </c>
      <c r="N14" s="17">
        <v>2.84036791397753E-2</v>
      </c>
      <c r="O14" s="17">
        <v>5.8978605053926103E-2</v>
      </c>
    </row>
    <row r="15" spans="2:15" x14ac:dyDescent="0.3">
      <c r="B15" s="18" t="s">
        <v>143</v>
      </c>
      <c r="C15" s="21">
        <v>0.23586258861975301</v>
      </c>
      <c r="D15" s="21">
        <v>0.22799915545173599</v>
      </c>
      <c r="E15" s="21">
        <v>0.245435869874052</v>
      </c>
      <c r="F15" s="21"/>
      <c r="G15" s="21">
        <v>0.19567109408452299</v>
      </c>
      <c r="H15" s="21">
        <v>0.27573510534177897</v>
      </c>
      <c r="I15" s="21">
        <v>0.19291602963979801</v>
      </c>
      <c r="J15" s="21">
        <v>0.28398356930669599</v>
      </c>
      <c r="K15" s="21"/>
      <c r="L15" s="21">
        <v>0.257196957047994</v>
      </c>
      <c r="M15" s="21">
        <v>0.218769812861493</v>
      </c>
      <c r="N15" s="21">
        <v>0.219239267967797</v>
      </c>
      <c r="O15" s="21">
        <v>0.250924500577139</v>
      </c>
    </row>
    <row r="16" spans="2:15" x14ac:dyDescent="0.3">
      <c r="B16" s="18" t="s">
        <v>144</v>
      </c>
      <c r="C16" s="21">
        <v>0.448326777183848</v>
      </c>
      <c r="D16" s="21">
        <v>0.48251475183582998</v>
      </c>
      <c r="E16" s="21">
        <v>0.41015750966639802</v>
      </c>
      <c r="F16" s="21"/>
      <c r="G16" s="21">
        <v>0.52258554301973703</v>
      </c>
      <c r="H16" s="21">
        <v>0.42636956670201998</v>
      </c>
      <c r="I16" s="21">
        <v>0.44167329154440799</v>
      </c>
      <c r="J16" s="21">
        <v>0.37829201825561798</v>
      </c>
      <c r="K16" s="21"/>
      <c r="L16" s="21">
        <v>0.447511165318008</v>
      </c>
      <c r="M16" s="21">
        <v>0.48075606528861298</v>
      </c>
      <c r="N16" s="21">
        <v>0.46959531142462502</v>
      </c>
      <c r="O16" s="21">
        <v>0.391215424600387</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462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7.0570026030224706E-2</v>
      </c>
      <c r="D9" s="17">
        <v>4.7769638043931598E-2</v>
      </c>
      <c r="E9" s="17">
        <v>8.9513123102873599E-2</v>
      </c>
      <c r="F9" s="17"/>
      <c r="G9" s="17">
        <v>6.4179696424513599E-2</v>
      </c>
      <c r="H9" s="17">
        <v>8.6689225101192299E-2</v>
      </c>
      <c r="I9" s="17">
        <v>7.4350236560261296E-2</v>
      </c>
      <c r="J9" s="17">
        <v>5.7702802004604703E-2</v>
      </c>
      <c r="K9" s="17"/>
      <c r="L9" s="17">
        <v>4.9115156571058402E-2</v>
      </c>
      <c r="M9" s="17">
        <v>7.7018905853537198E-2</v>
      </c>
      <c r="N9" s="17">
        <v>7.0508436581747602E-2</v>
      </c>
      <c r="O9" s="17">
        <v>8.5154186066829299E-2</v>
      </c>
    </row>
    <row r="10" spans="2:15" x14ac:dyDescent="0.3">
      <c r="B10" s="18" t="s">
        <v>138</v>
      </c>
      <c r="C10" s="17">
        <v>0.15642662213310099</v>
      </c>
      <c r="D10" s="17">
        <v>0.180543186482854</v>
      </c>
      <c r="E10" s="17">
        <v>0.13347742391536399</v>
      </c>
      <c r="F10" s="17"/>
      <c r="G10" s="17">
        <v>0.12432755592064</v>
      </c>
      <c r="H10" s="17">
        <v>0.14992389953051899</v>
      </c>
      <c r="I10" s="17">
        <v>0.166714821895667</v>
      </c>
      <c r="J10" s="17">
        <v>0.197437222953014</v>
      </c>
      <c r="K10" s="17"/>
      <c r="L10" s="17">
        <v>0.171368051736625</v>
      </c>
      <c r="M10" s="17">
        <v>0.140331942013116</v>
      </c>
      <c r="N10" s="17">
        <v>0.154526418762861</v>
      </c>
      <c r="O10" s="17">
        <v>0.16085772024914</v>
      </c>
    </row>
    <row r="11" spans="2:15" x14ac:dyDescent="0.3">
      <c r="B11" s="18" t="s">
        <v>139</v>
      </c>
      <c r="C11" s="17">
        <v>0.225068169469722</v>
      </c>
      <c r="D11" s="17">
        <v>0.176964953504929</v>
      </c>
      <c r="E11" s="17">
        <v>0.27181511641792</v>
      </c>
      <c r="F11" s="17"/>
      <c r="G11" s="17">
        <v>0.21554161131719499</v>
      </c>
      <c r="H11" s="17">
        <v>0.224866850490724</v>
      </c>
      <c r="I11" s="17">
        <v>0.23714874156173901</v>
      </c>
      <c r="J11" s="17">
        <v>0.22845652261788699</v>
      </c>
      <c r="K11" s="17"/>
      <c r="L11" s="17">
        <v>0.247645053472449</v>
      </c>
      <c r="M11" s="17">
        <v>0.19236255044438999</v>
      </c>
      <c r="N11" s="17">
        <v>0.237140089693365</v>
      </c>
      <c r="O11" s="17">
        <v>0.224596689327724</v>
      </c>
    </row>
    <row r="12" spans="2:15" x14ac:dyDescent="0.3">
      <c r="B12" s="18" t="s">
        <v>140</v>
      </c>
      <c r="C12" s="17">
        <v>0.32960102989309098</v>
      </c>
      <c r="D12" s="17">
        <v>0.32850271570918599</v>
      </c>
      <c r="E12" s="17">
        <v>0.33309998807832503</v>
      </c>
      <c r="F12" s="17"/>
      <c r="G12" s="17">
        <v>0.32674123725710702</v>
      </c>
      <c r="H12" s="17">
        <v>0.33449889017502998</v>
      </c>
      <c r="I12" s="17">
        <v>0.28007995053122497</v>
      </c>
      <c r="J12" s="17">
        <v>0.36763925074767201</v>
      </c>
      <c r="K12" s="17"/>
      <c r="L12" s="17">
        <v>0.346587050918857</v>
      </c>
      <c r="M12" s="17">
        <v>0.321747949068939</v>
      </c>
      <c r="N12" s="17">
        <v>0.30706039071051999</v>
      </c>
      <c r="O12" s="17">
        <v>0.34548204583806202</v>
      </c>
    </row>
    <row r="13" spans="2:15" x14ac:dyDescent="0.3">
      <c r="B13" s="18" t="s">
        <v>141</v>
      </c>
      <c r="C13" s="17">
        <v>0.19727383922514399</v>
      </c>
      <c r="D13" s="17">
        <v>0.24799657369120701</v>
      </c>
      <c r="E13" s="17">
        <v>0.148046410876125</v>
      </c>
      <c r="F13" s="17"/>
      <c r="G13" s="17">
        <v>0.26533528036427401</v>
      </c>
      <c r="H13" s="17">
        <v>0.169096623451128</v>
      </c>
      <c r="I13" s="17">
        <v>0.23282598482675801</v>
      </c>
      <c r="J13" s="17">
        <v>0.109788692066924</v>
      </c>
      <c r="K13" s="17"/>
      <c r="L13" s="17">
        <v>0.167450745629102</v>
      </c>
      <c r="M13" s="17">
        <v>0.247386550496899</v>
      </c>
      <c r="N13" s="17">
        <v>0.20374812475154899</v>
      </c>
      <c r="O13" s="17">
        <v>0.166173994708569</v>
      </c>
    </row>
    <row r="14" spans="2:15" x14ac:dyDescent="0.3">
      <c r="B14" s="18" t="s">
        <v>142</v>
      </c>
      <c r="C14" s="17">
        <v>2.1060313248717499E-2</v>
      </c>
      <c r="D14" s="17">
        <v>1.82229325678918E-2</v>
      </c>
      <c r="E14" s="17">
        <v>2.4047937609392299E-2</v>
      </c>
      <c r="F14" s="17"/>
      <c r="G14" s="17">
        <v>3.8746187162700101E-3</v>
      </c>
      <c r="H14" s="17">
        <v>3.4924511251407102E-2</v>
      </c>
      <c r="I14" s="17">
        <v>8.8802646243490296E-3</v>
      </c>
      <c r="J14" s="17">
        <v>3.8975509609898602E-2</v>
      </c>
      <c r="K14" s="17"/>
      <c r="L14" s="17">
        <v>1.7833941671908601E-2</v>
      </c>
      <c r="M14" s="17">
        <v>2.1152102123119399E-2</v>
      </c>
      <c r="N14" s="17">
        <v>2.7016539499957401E-2</v>
      </c>
      <c r="O14" s="17">
        <v>1.7735363809675199E-2</v>
      </c>
    </row>
    <row r="15" spans="2:15" x14ac:dyDescent="0.3">
      <c r="B15" s="18" t="s">
        <v>143</v>
      </c>
      <c r="C15" s="21">
        <v>0.22699664816332599</v>
      </c>
      <c r="D15" s="21">
        <v>0.228312824526786</v>
      </c>
      <c r="E15" s="21">
        <v>0.22299054701823801</v>
      </c>
      <c r="F15" s="21"/>
      <c r="G15" s="21">
        <v>0.188507252345154</v>
      </c>
      <c r="H15" s="21">
        <v>0.236613124631711</v>
      </c>
      <c r="I15" s="21">
        <v>0.24106505845592799</v>
      </c>
      <c r="J15" s="21">
        <v>0.255140024957619</v>
      </c>
      <c r="K15" s="21"/>
      <c r="L15" s="21">
        <v>0.220483208307683</v>
      </c>
      <c r="M15" s="21">
        <v>0.21735084786665401</v>
      </c>
      <c r="N15" s="21">
        <v>0.22503485534460901</v>
      </c>
      <c r="O15" s="21">
        <v>0.246011906315969</v>
      </c>
    </row>
    <row r="16" spans="2:15" x14ac:dyDescent="0.3">
      <c r="B16" s="18" t="s">
        <v>144</v>
      </c>
      <c r="C16" s="21">
        <v>0.526874869118234</v>
      </c>
      <c r="D16" s="21">
        <v>0.57649928940039297</v>
      </c>
      <c r="E16" s="21">
        <v>0.48114639895444999</v>
      </c>
      <c r="F16" s="21"/>
      <c r="G16" s="21">
        <v>0.59207651762138103</v>
      </c>
      <c r="H16" s="21">
        <v>0.50359551362615795</v>
      </c>
      <c r="I16" s="21">
        <v>0.51290593535798301</v>
      </c>
      <c r="J16" s="21">
        <v>0.477427942814596</v>
      </c>
      <c r="K16" s="21"/>
      <c r="L16" s="21">
        <v>0.514037796547959</v>
      </c>
      <c r="M16" s="21">
        <v>0.56913449956583695</v>
      </c>
      <c r="N16" s="21">
        <v>0.51080851546206896</v>
      </c>
      <c r="O16" s="21">
        <v>0.51165604054663105</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M19"/>
  <sheetViews>
    <sheetView showGridLines="0" workbookViewId="0">
      <pane xSplit="2" topLeftCell="C1" activePane="topRight" state="frozen"/>
      <selection pane="topRight" activeCell="A13" sqref="A13:XFD13"/>
    </sheetView>
  </sheetViews>
  <sheetFormatPr defaultColWidth="11.5546875" defaultRowHeight="14.4" x14ac:dyDescent="0.3"/>
  <cols>
    <col min="2" max="2" width="25.6640625" customWidth="1"/>
    <col min="3" max="13" width="20.6640625" customWidth="1"/>
  </cols>
  <sheetData>
    <row r="2" spans="2:13" ht="40.049999999999997" customHeight="1" x14ac:dyDescent="0.3">
      <c r="D2" s="30" t="s">
        <v>473</v>
      </c>
      <c r="E2" s="26"/>
      <c r="F2" s="26"/>
      <c r="G2" s="26"/>
      <c r="H2" s="26"/>
      <c r="I2" s="26"/>
      <c r="J2" s="26"/>
      <c r="K2" s="26"/>
      <c r="L2" s="26"/>
      <c r="M2" s="26"/>
    </row>
    <row r="6" spans="2:13" ht="49.95" customHeight="1" x14ac:dyDescent="0.3">
      <c r="B6" s="20" t="s">
        <v>14</v>
      </c>
      <c r="C6" s="20" t="s">
        <v>463</v>
      </c>
      <c r="D6" s="20" t="s">
        <v>464</v>
      </c>
      <c r="E6" s="20" t="s">
        <v>465</v>
      </c>
      <c r="F6" s="20" t="s">
        <v>466</v>
      </c>
      <c r="G6" s="20" t="s">
        <v>467</v>
      </c>
      <c r="H6" s="20" t="s">
        <v>468</v>
      </c>
      <c r="I6" s="20" t="s">
        <v>469</v>
      </c>
      <c r="J6" s="20" t="s">
        <v>470</v>
      </c>
      <c r="K6" s="20" t="s">
        <v>471</v>
      </c>
      <c r="L6" s="20" t="s">
        <v>472</v>
      </c>
    </row>
    <row r="7" spans="2:13" x14ac:dyDescent="0.3">
      <c r="B7" s="18" t="s">
        <v>380</v>
      </c>
      <c r="C7" s="17">
        <v>4.3500929696412997E-2</v>
      </c>
      <c r="D7" s="17">
        <v>0.11462355311045</v>
      </c>
      <c r="E7" s="17">
        <v>7.4199806386884698E-2</v>
      </c>
      <c r="F7" s="17">
        <v>8.64635588949655E-2</v>
      </c>
      <c r="G7" s="17">
        <v>7.0108961203375397E-2</v>
      </c>
      <c r="H7" s="17">
        <v>0.13594157739967899</v>
      </c>
      <c r="I7" s="17">
        <v>0.12083185285517201</v>
      </c>
      <c r="J7" s="17">
        <v>0.14300646904338199</v>
      </c>
      <c r="K7" s="17">
        <v>0.112121315959961</v>
      </c>
      <c r="L7" s="17">
        <v>0.18821902828658901</v>
      </c>
    </row>
    <row r="8" spans="2:13" x14ac:dyDescent="0.3">
      <c r="B8" s="18" t="s">
        <v>381</v>
      </c>
      <c r="C8" s="17">
        <v>0.20388227086785701</v>
      </c>
      <c r="D8" s="17">
        <v>0.19362968118361701</v>
      </c>
      <c r="E8" s="17">
        <v>0.30990969868392898</v>
      </c>
      <c r="F8" s="17">
        <v>0.31266185588887002</v>
      </c>
      <c r="G8" s="17">
        <v>0.33866805331675198</v>
      </c>
      <c r="H8" s="17">
        <v>0.27802668486788401</v>
      </c>
      <c r="I8" s="17">
        <v>0.354290912699816</v>
      </c>
      <c r="J8" s="17">
        <v>0.33588300488862999</v>
      </c>
      <c r="K8" s="17">
        <v>0.381997322511622</v>
      </c>
      <c r="L8" s="17">
        <v>0.41825463458641499</v>
      </c>
    </row>
    <row r="9" spans="2:13" x14ac:dyDescent="0.3">
      <c r="B9" s="18" t="s">
        <v>382</v>
      </c>
      <c r="C9" s="17">
        <v>0.23459898397805701</v>
      </c>
      <c r="D9" s="17">
        <v>0.29979298471038901</v>
      </c>
      <c r="E9" s="17">
        <v>0.33521360557472801</v>
      </c>
      <c r="F9" s="17">
        <v>0.29497681970588402</v>
      </c>
      <c r="G9" s="17">
        <v>0.31551236793204002</v>
      </c>
      <c r="H9" s="17">
        <v>0.310428280446995</v>
      </c>
      <c r="I9" s="17">
        <v>0.31325013867993301</v>
      </c>
      <c r="J9" s="17">
        <v>0.21681112095021801</v>
      </c>
      <c r="K9" s="17">
        <v>0.289814531801319</v>
      </c>
      <c r="L9" s="17">
        <v>0.203511623188709</v>
      </c>
    </row>
    <row r="10" spans="2:13" x14ac:dyDescent="0.3">
      <c r="B10" s="18" t="s">
        <v>383</v>
      </c>
      <c r="C10" s="17">
        <v>0.41381879078892497</v>
      </c>
      <c r="D10" s="17">
        <v>0.29313358817435597</v>
      </c>
      <c r="E10" s="17">
        <v>0.207950226418255</v>
      </c>
      <c r="F10" s="17">
        <v>0.24160750735068401</v>
      </c>
      <c r="G10" s="17">
        <v>0.21178849619517101</v>
      </c>
      <c r="H10" s="17">
        <v>0.233630764205908</v>
      </c>
      <c r="I10" s="17">
        <v>0.15859549916771701</v>
      </c>
      <c r="J10" s="17">
        <v>0.22862955891857201</v>
      </c>
      <c r="K10" s="17">
        <v>0.159258681183576</v>
      </c>
      <c r="L10" s="17">
        <v>0.12579501665513099</v>
      </c>
    </row>
    <row r="11" spans="2:13" x14ac:dyDescent="0.3">
      <c r="B11" s="22" t="s">
        <v>142</v>
      </c>
      <c r="C11" s="21">
        <v>0.104199024668748</v>
      </c>
      <c r="D11" s="21">
        <v>9.8820192821187994E-2</v>
      </c>
      <c r="E11" s="21">
        <v>7.2726662936202793E-2</v>
      </c>
      <c r="F11" s="21">
        <v>6.4290258159597005E-2</v>
      </c>
      <c r="G11" s="21">
        <v>6.3922121352660205E-2</v>
      </c>
      <c r="H11" s="21">
        <v>4.1972693079534301E-2</v>
      </c>
      <c r="I11" s="21">
        <v>5.3031596597361501E-2</v>
      </c>
      <c r="J11" s="21">
        <v>7.5669846199198407E-2</v>
      </c>
      <c r="K11" s="21">
        <v>5.6808148543522001E-2</v>
      </c>
      <c r="L11" s="21">
        <v>6.4219697283156102E-2</v>
      </c>
    </row>
    <row r="12" spans="2:13" x14ac:dyDescent="0.3">
      <c r="B12" s="22" t="s">
        <v>384</v>
      </c>
      <c r="C12" s="21">
        <v>0.24738320056426999</v>
      </c>
      <c r="D12" s="21">
        <v>0.30825323429406698</v>
      </c>
      <c r="E12" s="21">
        <v>0.38410950507081398</v>
      </c>
      <c r="F12" s="21">
        <v>0.39912541478383601</v>
      </c>
      <c r="G12" s="21">
        <v>0.40877701452012799</v>
      </c>
      <c r="H12" s="21">
        <v>0.413968262267563</v>
      </c>
      <c r="I12" s="21">
        <v>0.475122765554988</v>
      </c>
      <c r="J12" s="21">
        <v>0.47888947393201098</v>
      </c>
      <c r="K12" s="21">
        <v>0.49411863847158299</v>
      </c>
      <c r="L12" s="21">
        <v>0.60647366287300397</v>
      </c>
    </row>
    <row r="13" spans="2:13" x14ac:dyDescent="0.3">
      <c r="B13" s="16" t="s">
        <v>474</v>
      </c>
      <c r="C13" s="16"/>
      <c r="D13" s="16"/>
      <c r="E13" s="16"/>
      <c r="F13" s="16"/>
      <c r="G13" s="16"/>
      <c r="H13" s="16"/>
      <c r="I13" s="16"/>
      <c r="J13" s="16"/>
      <c r="K13" s="16"/>
      <c r="L13" s="16"/>
    </row>
    <row r="14" spans="2:13" x14ac:dyDescent="0.3">
      <c r="B14" t="s">
        <v>47</v>
      </c>
    </row>
    <row r="15" spans="2:13" x14ac:dyDescent="0.3">
      <c r="B15" t="s">
        <v>48</v>
      </c>
    </row>
    <row r="19" spans="2:2" x14ac:dyDescent="0.3">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475</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0.14300646904338199</v>
      </c>
      <c r="D9" s="17">
        <v>0.137514402055359</v>
      </c>
      <c r="E9" s="17">
        <v>0.13823793852514099</v>
      </c>
      <c r="F9" s="17"/>
      <c r="G9" s="17">
        <v>0.114988667278441</v>
      </c>
      <c r="H9" s="17">
        <v>0.14542821440089501</v>
      </c>
      <c r="I9" s="17">
        <v>0.119653413588479</v>
      </c>
      <c r="J9" s="17">
        <v>0.186050801381444</v>
      </c>
      <c r="K9" s="17"/>
      <c r="L9" s="17">
        <v>0.104733731428353</v>
      </c>
      <c r="M9" s="17">
        <v>0.23652482457649601</v>
      </c>
      <c r="N9" s="17">
        <v>0.17270638662053001</v>
      </c>
      <c r="O9" s="17">
        <v>0.101641269082358</v>
      </c>
    </row>
    <row r="10" spans="2:15" x14ac:dyDescent="0.3">
      <c r="B10" s="18" t="s">
        <v>381</v>
      </c>
      <c r="C10" s="17">
        <v>0.33588300488862999</v>
      </c>
      <c r="D10" s="17">
        <v>0.358429674960137</v>
      </c>
      <c r="E10" s="17">
        <v>0.32519308808656</v>
      </c>
      <c r="F10" s="17"/>
      <c r="G10" s="17">
        <v>0.30913686154880099</v>
      </c>
      <c r="H10" s="17">
        <v>0.35473674068097599</v>
      </c>
      <c r="I10" s="17">
        <v>0.31852292804263399</v>
      </c>
      <c r="J10" s="17">
        <v>0.35886117068504603</v>
      </c>
      <c r="K10" s="17"/>
      <c r="L10" s="17">
        <v>0.26476959539789602</v>
      </c>
      <c r="M10" s="17">
        <v>0.39065086721547698</v>
      </c>
      <c r="N10" s="17">
        <v>0.34174263318775899</v>
      </c>
      <c r="O10" s="17">
        <v>0.33945879967648102</v>
      </c>
    </row>
    <row r="11" spans="2:15" x14ac:dyDescent="0.3">
      <c r="B11" s="18" t="s">
        <v>382</v>
      </c>
      <c r="C11" s="17">
        <v>0.21681112095021801</v>
      </c>
      <c r="D11" s="17">
        <v>0.20651431545509499</v>
      </c>
      <c r="E11" s="17">
        <v>0.229039730543218</v>
      </c>
      <c r="F11" s="17"/>
      <c r="G11" s="17">
        <v>0.17623503968242499</v>
      </c>
      <c r="H11" s="17">
        <v>0.19825788838299499</v>
      </c>
      <c r="I11" s="17">
        <v>0.35966920420647902</v>
      </c>
      <c r="J11" s="17">
        <v>0.15705176945506899</v>
      </c>
      <c r="K11" s="17"/>
      <c r="L11" s="17">
        <v>0.30599531163622801</v>
      </c>
      <c r="M11" s="17">
        <v>0.176229788344655</v>
      </c>
      <c r="N11" s="17">
        <v>0.279403224840577</v>
      </c>
      <c r="O11" s="17">
        <v>0.15368380992359501</v>
      </c>
    </row>
    <row r="12" spans="2:15" x14ac:dyDescent="0.3">
      <c r="B12" s="18" t="s">
        <v>383</v>
      </c>
      <c r="C12" s="17">
        <v>0.22862955891857201</v>
      </c>
      <c r="D12" s="17">
        <v>0.23978999121314001</v>
      </c>
      <c r="E12" s="17">
        <v>0.224575850890605</v>
      </c>
      <c r="F12" s="17"/>
      <c r="G12" s="17">
        <v>0.36714317654726802</v>
      </c>
      <c r="H12" s="17">
        <v>0.23132364809818801</v>
      </c>
      <c r="I12" s="17">
        <v>0.12907458780339301</v>
      </c>
      <c r="J12" s="17">
        <v>0.17485047179986599</v>
      </c>
      <c r="K12" s="17"/>
      <c r="L12" s="17">
        <v>0.292514524708959</v>
      </c>
      <c r="M12" s="17">
        <v>0.162750668328739</v>
      </c>
      <c r="N12" s="17">
        <v>0.14368836586947201</v>
      </c>
      <c r="O12" s="17">
        <v>0.28618016304567301</v>
      </c>
    </row>
    <row r="13" spans="2:15" x14ac:dyDescent="0.3">
      <c r="B13" s="18" t="s">
        <v>142</v>
      </c>
      <c r="C13" s="21">
        <v>7.5669846199198407E-2</v>
      </c>
      <c r="D13" s="21">
        <v>5.7751616316269197E-2</v>
      </c>
      <c r="E13" s="21">
        <v>8.2953391954476499E-2</v>
      </c>
      <c r="F13" s="21"/>
      <c r="G13" s="21">
        <v>3.2496254943064698E-2</v>
      </c>
      <c r="H13" s="21">
        <v>7.0253508436945694E-2</v>
      </c>
      <c r="I13" s="21">
        <v>7.3079866359015297E-2</v>
      </c>
      <c r="J13" s="21">
        <v>0.12318578667857601</v>
      </c>
      <c r="K13" s="21"/>
      <c r="L13" s="21">
        <v>3.1986836828563597E-2</v>
      </c>
      <c r="M13" s="21">
        <v>3.3843851534632999E-2</v>
      </c>
      <c r="N13" s="21">
        <v>6.2459389481661701E-2</v>
      </c>
      <c r="O13" s="21">
        <v>0.11903595827189301</v>
      </c>
    </row>
    <row r="14" spans="2:15" x14ac:dyDescent="0.3">
      <c r="B14" s="18" t="s">
        <v>384</v>
      </c>
      <c r="C14" s="21">
        <v>0.47888947393201098</v>
      </c>
      <c r="D14" s="21">
        <v>0.49594407701549498</v>
      </c>
      <c r="E14" s="21">
        <v>0.46343102661169999</v>
      </c>
      <c r="F14" s="21"/>
      <c r="G14" s="21">
        <v>0.42412552882724203</v>
      </c>
      <c r="H14" s="21">
        <v>0.50016495508187098</v>
      </c>
      <c r="I14" s="21">
        <v>0.43817634163111202</v>
      </c>
      <c r="J14" s="21">
        <v>0.544911972066489</v>
      </c>
      <c r="K14" s="21"/>
      <c r="L14" s="21">
        <v>0.36950332682624898</v>
      </c>
      <c r="M14" s="21">
        <v>0.62717569179197297</v>
      </c>
      <c r="N14" s="21">
        <v>0.51444901980828905</v>
      </c>
      <c r="O14" s="21">
        <v>0.441100068758839</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476</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8.64635588949655E-2</v>
      </c>
      <c r="D9" s="17">
        <v>9.4057075808264001E-2</v>
      </c>
      <c r="E9" s="17">
        <v>7.0500229582008897E-2</v>
      </c>
      <c r="F9" s="17"/>
      <c r="G9" s="17">
        <v>0.10884022823454</v>
      </c>
      <c r="H9" s="17">
        <v>4.7246836403735698E-2</v>
      </c>
      <c r="I9" s="17">
        <v>0.115572627893307</v>
      </c>
      <c r="J9" s="17">
        <v>7.56889198541493E-2</v>
      </c>
      <c r="K9" s="17"/>
      <c r="L9" s="17">
        <v>2.0297056540724299E-2</v>
      </c>
      <c r="M9" s="17">
        <v>6.6808185268709297E-2</v>
      </c>
      <c r="N9" s="17">
        <v>0.17430217665223299</v>
      </c>
      <c r="O9" s="17">
        <v>6.1580079458986602E-2</v>
      </c>
    </row>
    <row r="10" spans="2:15" x14ac:dyDescent="0.3">
      <c r="B10" s="18" t="s">
        <v>381</v>
      </c>
      <c r="C10" s="17">
        <v>0.31266185588887002</v>
      </c>
      <c r="D10" s="17">
        <v>0.33663024405504199</v>
      </c>
      <c r="E10" s="17">
        <v>0.30041674287199799</v>
      </c>
      <c r="F10" s="17"/>
      <c r="G10" s="17">
        <v>0.31141071772856799</v>
      </c>
      <c r="H10" s="17">
        <v>0.29995587409834001</v>
      </c>
      <c r="I10" s="17">
        <v>0.152442743625158</v>
      </c>
      <c r="J10" s="17">
        <v>0.452598938546937</v>
      </c>
      <c r="K10" s="17"/>
      <c r="L10" s="17">
        <v>0.42960841779834202</v>
      </c>
      <c r="M10" s="17">
        <v>0.32698761536371901</v>
      </c>
      <c r="N10" s="17">
        <v>0.33078823579121702</v>
      </c>
      <c r="O10" s="17">
        <v>0.24676582155569399</v>
      </c>
    </row>
    <row r="11" spans="2:15" x14ac:dyDescent="0.3">
      <c r="B11" s="18" t="s">
        <v>382</v>
      </c>
      <c r="C11" s="17">
        <v>0.29497681970588402</v>
      </c>
      <c r="D11" s="17">
        <v>0.27379807538481399</v>
      </c>
      <c r="E11" s="17">
        <v>0.30912227268483</v>
      </c>
      <c r="F11" s="17"/>
      <c r="G11" s="17">
        <v>0.27783140210956198</v>
      </c>
      <c r="H11" s="17">
        <v>0.311408888036876</v>
      </c>
      <c r="I11" s="17">
        <v>0.433220668637193</v>
      </c>
      <c r="J11" s="17">
        <v>0.18677279423090101</v>
      </c>
      <c r="K11" s="17"/>
      <c r="L11" s="17">
        <v>0.26944240167288003</v>
      </c>
      <c r="M11" s="17">
        <v>0.30126268077586899</v>
      </c>
      <c r="N11" s="17">
        <v>0.297200339735258</v>
      </c>
      <c r="O11" s="17">
        <v>0.30145133035208099</v>
      </c>
    </row>
    <row r="12" spans="2:15" x14ac:dyDescent="0.3">
      <c r="B12" s="18" t="s">
        <v>383</v>
      </c>
      <c r="C12" s="17">
        <v>0.24160750735068401</v>
      </c>
      <c r="D12" s="17">
        <v>0.26490697033006699</v>
      </c>
      <c r="E12" s="17">
        <v>0.228467244175595</v>
      </c>
      <c r="F12" s="17"/>
      <c r="G12" s="17">
        <v>0.27140960009773801</v>
      </c>
      <c r="H12" s="17">
        <v>0.22007639307968099</v>
      </c>
      <c r="I12" s="17">
        <v>0.21072018157195699</v>
      </c>
      <c r="J12" s="17">
        <v>0.25654007771486798</v>
      </c>
      <c r="K12" s="17"/>
      <c r="L12" s="17">
        <v>0.24866528715948999</v>
      </c>
      <c r="M12" s="17">
        <v>0.193242872205106</v>
      </c>
      <c r="N12" s="17">
        <v>0.18483073571709499</v>
      </c>
      <c r="O12" s="17">
        <v>0.296388269086304</v>
      </c>
    </row>
    <row r="13" spans="2:15" x14ac:dyDescent="0.3">
      <c r="B13" s="18" t="s">
        <v>142</v>
      </c>
      <c r="C13" s="21">
        <v>6.4290258159597005E-2</v>
      </c>
      <c r="D13" s="21">
        <v>3.0607634421812802E-2</v>
      </c>
      <c r="E13" s="21">
        <v>9.1493510685568796E-2</v>
      </c>
      <c r="F13" s="21"/>
      <c r="G13" s="21">
        <v>3.0508051829591199E-2</v>
      </c>
      <c r="H13" s="21">
        <v>0.12131200838136701</v>
      </c>
      <c r="I13" s="21">
        <v>8.80437782723857E-2</v>
      </c>
      <c r="J13" s="21">
        <v>2.83992696531453E-2</v>
      </c>
      <c r="K13" s="21"/>
      <c r="L13" s="21">
        <v>3.1986836828563597E-2</v>
      </c>
      <c r="M13" s="21">
        <v>0.111698646386597</v>
      </c>
      <c r="N13" s="21">
        <v>1.2878512104197701E-2</v>
      </c>
      <c r="O13" s="21">
        <v>9.3814499546933702E-2</v>
      </c>
    </row>
    <row r="14" spans="2:15" x14ac:dyDescent="0.3">
      <c r="B14" s="18" t="s">
        <v>384</v>
      </c>
      <c r="C14" s="21">
        <v>0.39912541478383601</v>
      </c>
      <c r="D14" s="21">
        <v>0.430687319863306</v>
      </c>
      <c r="E14" s="21">
        <v>0.37091697245400701</v>
      </c>
      <c r="F14" s="21"/>
      <c r="G14" s="21">
        <v>0.42025094596310902</v>
      </c>
      <c r="H14" s="21">
        <v>0.34720271050207602</v>
      </c>
      <c r="I14" s="21">
        <v>0.268015371518465</v>
      </c>
      <c r="J14" s="21">
        <v>0.52828785840108605</v>
      </c>
      <c r="K14" s="21"/>
      <c r="L14" s="21">
        <v>0.44990547433906602</v>
      </c>
      <c r="M14" s="21">
        <v>0.39379580063242797</v>
      </c>
      <c r="N14" s="21">
        <v>0.50509041244344899</v>
      </c>
      <c r="O14" s="21">
        <v>0.30834590101468101</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477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0.11462355311045</v>
      </c>
      <c r="D9" s="17">
        <v>0.15028710118465899</v>
      </c>
      <c r="E9" s="17">
        <v>8.9445980785683596E-2</v>
      </c>
      <c r="F9" s="17"/>
      <c r="G9" s="17">
        <v>8.3779171827070897E-2</v>
      </c>
      <c r="H9" s="17">
        <v>0.14149773660069001</v>
      </c>
      <c r="I9" s="17">
        <v>0.11183774257184501</v>
      </c>
      <c r="J9" s="17">
        <v>0.122970941525684</v>
      </c>
      <c r="K9" s="17"/>
      <c r="L9" s="17">
        <v>0.13630491279811199</v>
      </c>
      <c r="M9" s="17">
        <v>0.175997529465033</v>
      </c>
      <c r="N9" s="17">
        <v>0.109096035958406</v>
      </c>
      <c r="O9" s="17">
        <v>8.5315315286003807E-2</v>
      </c>
    </row>
    <row r="10" spans="2:15" x14ac:dyDescent="0.3">
      <c r="B10" s="18" t="s">
        <v>381</v>
      </c>
      <c r="C10" s="17">
        <v>0.19362968118361701</v>
      </c>
      <c r="D10" s="17">
        <v>0.22240874516811099</v>
      </c>
      <c r="E10" s="17">
        <v>0.175319347829413</v>
      </c>
      <c r="F10" s="17"/>
      <c r="G10" s="17">
        <v>0.15646856516857999</v>
      </c>
      <c r="H10" s="17">
        <v>0.21078508123620501</v>
      </c>
      <c r="I10" s="17">
        <v>0.188054479177514</v>
      </c>
      <c r="J10" s="17">
        <v>0.218502246428878</v>
      </c>
      <c r="K10" s="17"/>
      <c r="L10" s="17">
        <v>0.103921182491038</v>
      </c>
      <c r="M10" s="17">
        <v>0.16588265176185901</v>
      </c>
      <c r="N10" s="17">
        <v>0.20691235723866</v>
      </c>
      <c r="O10" s="17">
        <v>0.23228988541557699</v>
      </c>
    </row>
    <row r="11" spans="2:15" x14ac:dyDescent="0.3">
      <c r="B11" s="18" t="s">
        <v>382</v>
      </c>
      <c r="C11" s="17">
        <v>0.29979298471038901</v>
      </c>
      <c r="D11" s="17">
        <v>0.24069235210631801</v>
      </c>
      <c r="E11" s="17">
        <v>0.33940140401361202</v>
      </c>
      <c r="F11" s="17"/>
      <c r="G11" s="17">
        <v>0.32855345425566501</v>
      </c>
      <c r="H11" s="17">
        <v>0.21984413427784399</v>
      </c>
      <c r="I11" s="17">
        <v>0.379869530521314</v>
      </c>
      <c r="J11" s="17">
        <v>0.277214150833972</v>
      </c>
      <c r="K11" s="17"/>
      <c r="L11" s="17">
        <v>0.401497781291204</v>
      </c>
      <c r="M11" s="17">
        <v>0.37371662059024002</v>
      </c>
      <c r="N11" s="17">
        <v>0.335238731033496</v>
      </c>
      <c r="O11" s="17">
        <v>0.204880071442125</v>
      </c>
    </row>
    <row r="12" spans="2:15" x14ac:dyDescent="0.3">
      <c r="B12" s="18" t="s">
        <v>383</v>
      </c>
      <c r="C12" s="17">
        <v>0.29313358817435597</v>
      </c>
      <c r="D12" s="17">
        <v>0.32852309974708599</v>
      </c>
      <c r="E12" s="17">
        <v>0.27170945437000499</v>
      </c>
      <c r="F12" s="17"/>
      <c r="G12" s="17">
        <v>0.36731331052420002</v>
      </c>
      <c r="H12" s="17">
        <v>0.27866674232413602</v>
      </c>
      <c r="I12" s="17">
        <v>0.225289298464423</v>
      </c>
      <c r="J12" s="17">
        <v>0.28956122021717701</v>
      </c>
      <c r="K12" s="17"/>
      <c r="L12" s="17">
        <v>0.32628928659108303</v>
      </c>
      <c r="M12" s="17">
        <v>0.21163194922225301</v>
      </c>
      <c r="N12" s="17">
        <v>0.29585898601585398</v>
      </c>
      <c r="O12" s="17">
        <v>0.30980712182277398</v>
      </c>
    </row>
    <row r="13" spans="2:15" x14ac:dyDescent="0.3">
      <c r="B13" s="18" t="s">
        <v>142</v>
      </c>
      <c r="C13" s="21">
        <v>9.8820192821187994E-2</v>
      </c>
      <c r="D13" s="21">
        <v>5.8088701793826303E-2</v>
      </c>
      <c r="E13" s="21">
        <v>0.124123813001287</v>
      </c>
      <c r="F13" s="21"/>
      <c r="G13" s="21">
        <v>6.3885498224484596E-2</v>
      </c>
      <c r="H13" s="21">
        <v>0.14920630556112499</v>
      </c>
      <c r="I13" s="21">
        <v>9.4948949264903507E-2</v>
      </c>
      <c r="J13" s="21">
        <v>9.1751440994290195E-2</v>
      </c>
      <c r="K13" s="21"/>
      <c r="L13" s="21">
        <v>3.1986836828563597E-2</v>
      </c>
      <c r="M13" s="21">
        <v>7.2771248960614904E-2</v>
      </c>
      <c r="N13" s="21">
        <v>5.2893889753584201E-2</v>
      </c>
      <c r="O13" s="21">
        <v>0.16770760603352</v>
      </c>
    </row>
    <row r="14" spans="2:15" x14ac:dyDescent="0.3">
      <c r="B14" s="18" t="s">
        <v>384</v>
      </c>
      <c r="C14" s="21">
        <v>0.30825323429406698</v>
      </c>
      <c r="D14" s="21">
        <v>0.37269584635276998</v>
      </c>
      <c r="E14" s="21">
        <v>0.264765328615096</v>
      </c>
      <c r="F14" s="21"/>
      <c r="G14" s="21">
        <v>0.24024773699565</v>
      </c>
      <c r="H14" s="21">
        <v>0.35228281783689502</v>
      </c>
      <c r="I14" s="21">
        <v>0.29989222174935898</v>
      </c>
      <c r="J14" s="21">
        <v>0.341473187954562</v>
      </c>
      <c r="K14" s="21"/>
      <c r="L14" s="21">
        <v>0.24022609528915001</v>
      </c>
      <c r="M14" s="21">
        <v>0.34188018122689201</v>
      </c>
      <c r="N14" s="21">
        <v>0.31600839319706597</v>
      </c>
      <c r="O14" s="21">
        <v>0.31760520070158099</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478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0.18821902828658901</v>
      </c>
      <c r="D9" s="17">
        <v>0.142112944931329</v>
      </c>
      <c r="E9" s="17">
        <v>0.227444664360648</v>
      </c>
      <c r="F9" s="17"/>
      <c r="G9" s="17">
        <v>0.23130431208015001</v>
      </c>
      <c r="H9" s="17">
        <v>0.15388372242722001</v>
      </c>
      <c r="I9" s="17">
        <v>0.20687148092235499</v>
      </c>
      <c r="J9" s="17">
        <v>0.162032716634185</v>
      </c>
      <c r="K9" s="17"/>
      <c r="L9" s="17">
        <v>0</v>
      </c>
      <c r="M9" s="17">
        <v>0.122792891903996</v>
      </c>
      <c r="N9" s="17">
        <v>0.23888158034350199</v>
      </c>
      <c r="O9" s="17">
        <v>0.25667049973738998</v>
      </c>
    </row>
    <row r="10" spans="2:15" x14ac:dyDescent="0.3">
      <c r="B10" s="18" t="s">
        <v>381</v>
      </c>
      <c r="C10" s="17">
        <v>0.41825463458641499</v>
      </c>
      <c r="D10" s="17">
        <v>0.45735339327843799</v>
      </c>
      <c r="E10" s="17">
        <v>0.39645828596109001</v>
      </c>
      <c r="F10" s="17"/>
      <c r="G10" s="17">
        <v>0.34700344239298903</v>
      </c>
      <c r="H10" s="17">
        <v>0.30857572760021201</v>
      </c>
      <c r="I10" s="17">
        <v>0.54787824434186105</v>
      </c>
      <c r="J10" s="17">
        <v>0.47614134857486201</v>
      </c>
      <c r="K10" s="17"/>
      <c r="L10" s="17">
        <v>0.53163837113497803</v>
      </c>
      <c r="M10" s="17">
        <v>0.33809968238131399</v>
      </c>
      <c r="N10" s="17">
        <v>0.37470475550931598</v>
      </c>
      <c r="O10" s="17">
        <v>0.43299483100610697</v>
      </c>
    </row>
    <row r="11" spans="2:15" x14ac:dyDescent="0.3">
      <c r="B11" s="18" t="s">
        <v>382</v>
      </c>
      <c r="C11" s="17">
        <v>0.203511623188709</v>
      </c>
      <c r="D11" s="17">
        <v>0.17404199130481801</v>
      </c>
      <c r="E11" s="17">
        <v>0.23023471811014501</v>
      </c>
      <c r="F11" s="17"/>
      <c r="G11" s="17">
        <v>0.181523914778811</v>
      </c>
      <c r="H11" s="17">
        <v>0.33423670051047</v>
      </c>
      <c r="I11" s="17">
        <v>0.120786232240921</v>
      </c>
      <c r="J11" s="17">
        <v>0.17829019284238201</v>
      </c>
      <c r="K11" s="17"/>
      <c r="L11" s="17">
        <v>0.16744292273238201</v>
      </c>
      <c r="M11" s="17">
        <v>0.39096873840678398</v>
      </c>
      <c r="N11" s="17">
        <v>0.247542083278773</v>
      </c>
      <c r="O11" s="17">
        <v>0.114482089599287</v>
      </c>
    </row>
    <row r="12" spans="2:15" x14ac:dyDescent="0.3">
      <c r="B12" s="18" t="s">
        <v>383</v>
      </c>
      <c r="C12" s="17">
        <v>0.12579501665513099</v>
      </c>
      <c r="D12" s="17">
        <v>0.18489682574021399</v>
      </c>
      <c r="E12" s="17">
        <v>7.0963360265036399E-2</v>
      </c>
      <c r="F12" s="17"/>
      <c r="G12" s="17">
        <v>0.188040972925652</v>
      </c>
      <c r="H12" s="17">
        <v>0.111144376205933</v>
      </c>
      <c r="I12" s="17">
        <v>6.4276742555168895E-2</v>
      </c>
      <c r="J12" s="17">
        <v>0.128611271759142</v>
      </c>
      <c r="K12" s="17"/>
      <c r="L12" s="17">
        <v>0.26893186930407598</v>
      </c>
      <c r="M12" s="17">
        <v>5.1012185987593099E-2</v>
      </c>
      <c r="N12" s="17">
        <v>0.111963861444403</v>
      </c>
      <c r="O12" s="17">
        <v>0.106013301431698</v>
      </c>
    </row>
    <row r="13" spans="2:15" x14ac:dyDescent="0.3">
      <c r="B13" s="18" t="s">
        <v>142</v>
      </c>
      <c r="C13" s="21">
        <v>6.4219697283156102E-2</v>
      </c>
      <c r="D13" s="21">
        <v>4.1594844745199901E-2</v>
      </c>
      <c r="E13" s="21">
        <v>7.4898971303080694E-2</v>
      </c>
      <c r="F13" s="21"/>
      <c r="G13" s="21">
        <v>5.21273578223981E-2</v>
      </c>
      <c r="H13" s="21">
        <v>9.2159473256165803E-2</v>
      </c>
      <c r="I13" s="21">
        <v>6.0187299939693503E-2</v>
      </c>
      <c r="J13" s="21">
        <v>5.4924470189428302E-2</v>
      </c>
      <c r="K13" s="21"/>
      <c r="L13" s="21">
        <v>3.1986836828563597E-2</v>
      </c>
      <c r="M13" s="21">
        <v>9.7126501320313793E-2</v>
      </c>
      <c r="N13" s="21">
        <v>2.6907719424006601E-2</v>
      </c>
      <c r="O13" s="21">
        <v>8.9839278225518404E-2</v>
      </c>
    </row>
    <row r="14" spans="2:15" x14ac:dyDescent="0.3">
      <c r="B14" s="18" t="s">
        <v>384</v>
      </c>
      <c r="C14" s="21">
        <v>0.60647366287300397</v>
      </c>
      <c r="D14" s="21">
        <v>0.59946633820976802</v>
      </c>
      <c r="E14" s="21">
        <v>0.62390295032173804</v>
      </c>
      <c r="F14" s="21"/>
      <c r="G14" s="21">
        <v>0.57830775447313898</v>
      </c>
      <c r="H14" s="21">
        <v>0.462459450027432</v>
      </c>
      <c r="I14" s="21">
        <v>0.75474972526421602</v>
      </c>
      <c r="J14" s="21">
        <v>0.63817406520904696</v>
      </c>
      <c r="K14" s="21"/>
      <c r="L14" s="21">
        <v>0.53163837113497803</v>
      </c>
      <c r="M14" s="21">
        <v>0.460892574285309</v>
      </c>
      <c r="N14" s="21">
        <v>0.61358633585281697</v>
      </c>
      <c r="O14" s="21">
        <v>0.68966533074349701</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479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7.4199806386884698E-2</v>
      </c>
      <c r="D9" s="17">
        <v>9.7794098596768103E-2</v>
      </c>
      <c r="E9" s="17">
        <v>5.7510423020334898E-2</v>
      </c>
      <c r="F9" s="17"/>
      <c r="G9" s="17">
        <v>0.14363396426250399</v>
      </c>
      <c r="H9" s="17">
        <v>3.10137894403479E-2</v>
      </c>
      <c r="I9" s="17">
        <v>3.4761649325210003E-2</v>
      </c>
      <c r="J9" s="17">
        <v>7.7053699709207502E-2</v>
      </c>
      <c r="K9" s="17"/>
      <c r="L9" s="17">
        <v>0.16318559911775801</v>
      </c>
      <c r="M9" s="17">
        <v>2.0300578194313801E-2</v>
      </c>
      <c r="N9" s="17">
        <v>6.4810740337082395E-2</v>
      </c>
      <c r="O9" s="17">
        <v>6.53584199159149E-2</v>
      </c>
    </row>
    <row r="10" spans="2:15" x14ac:dyDescent="0.3">
      <c r="B10" s="18" t="s">
        <v>381</v>
      </c>
      <c r="C10" s="17">
        <v>0.30990969868392898</v>
      </c>
      <c r="D10" s="17">
        <v>0.23390145791122599</v>
      </c>
      <c r="E10" s="17">
        <v>0.37456764813045001</v>
      </c>
      <c r="F10" s="17"/>
      <c r="G10" s="17">
        <v>0.244262510731619</v>
      </c>
      <c r="H10" s="17">
        <v>0.25959201634110401</v>
      </c>
      <c r="I10" s="17">
        <v>0.412111585314549</v>
      </c>
      <c r="J10" s="17">
        <v>0.33351444308675399</v>
      </c>
      <c r="K10" s="17"/>
      <c r="L10" s="17">
        <v>0.293013364437269</v>
      </c>
      <c r="M10" s="17">
        <v>0.29799327847596102</v>
      </c>
      <c r="N10" s="17">
        <v>0.32178257909632901</v>
      </c>
      <c r="O10" s="17">
        <v>0.31345377066514402</v>
      </c>
    </row>
    <row r="11" spans="2:15" x14ac:dyDescent="0.3">
      <c r="B11" s="18" t="s">
        <v>382</v>
      </c>
      <c r="C11" s="17">
        <v>0.33521360557472801</v>
      </c>
      <c r="D11" s="17">
        <v>0.36898687534417501</v>
      </c>
      <c r="E11" s="17">
        <v>0.304034633009096</v>
      </c>
      <c r="F11" s="17"/>
      <c r="G11" s="17">
        <v>0.28876492332578302</v>
      </c>
      <c r="H11" s="17">
        <v>0.37703105300220502</v>
      </c>
      <c r="I11" s="17">
        <v>0.36907181412766599</v>
      </c>
      <c r="J11" s="17">
        <v>0.31625996102570703</v>
      </c>
      <c r="K11" s="17"/>
      <c r="L11" s="17">
        <v>0.31962201593127898</v>
      </c>
      <c r="M11" s="17">
        <v>0.43679940545026003</v>
      </c>
      <c r="N11" s="17">
        <v>0.35467117974510298</v>
      </c>
      <c r="O11" s="17">
        <v>0.28834142066137403</v>
      </c>
    </row>
    <row r="12" spans="2:15" x14ac:dyDescent="0.3">
      <c r="B12" s="18" t="s">
        <v>383</v>
      </c>
      <c r="C12" s="17">
        <v>0.207950226418255</v>
      </c>
      <c r="D12" s="17">
        <v>0.25723085882335101</v>
      </c>
      <c r="E12" s="17">
        <v>0.174142862163151</v>
      </c>
      <c r="F12" s="17"/>
      <c r="G12" s="17">
        <v>0.27484598230253698</v>
      </c>
      <c r="H12" s="17">
        <v>0.25913506297445099</v>
      </c>
      <c r="I12" s="17">
        <v>6.6656016592247999E-2</v>
      </c>
      <c r="J12" s="17">
        <v>0.21362066171170899</v>
      </c>
      <c r="K12" s="17"/>
      <c r="L12" s="17">
        <v>0.13974234562606599</v>
      </c>
      <c r="M12" s="17">
        <v>0.20597934045348401</v>
      </c>
      <c r="N12" s="17">
        <v>0.22692868729409299</v>
      </c>
      <c r="O12" s="17">
        <v>0.22376939827622999</v>
      </c>
    </row>
    <row r="13" spans="2:15" x14ac:dyDescent="0.3">
      <c r="B13" s="18" t="s">
        <v>142</v>
      </c>
      <c r="C13" s="21">
        <v>7.2726662936202793E-2</v>
      </c>
      <c r="D13" s="21">
        <v>4.2086709324479499E-2</v>
      </c>
      <c r="E13" s="21">
        <v>8.9744433676967605E-2</v>
      </c>
      <c r="F13" s="21"/>
      <c r="G13" s="21">
        <v>4.8492619377558603E-2</v>
      </c>
      <c r="H13" s="21">
        <v>7.3228078241891301E-2</v>
      </c>
      <c r="I13" s="21">
        <v>0.117398934640328</v>
      </c>
      <c r="J13" s="21">
        <v>5.9551234466622603E-2</v>
      </c>
      <c r="K13" s="21"/>
      <c r="L13" s="21">
        <v>8.4436674887628599E-2</v>
      </c>
      <c r="M13" s="21">
        <v>3.8927397425981898E-2</v>
      </c>
      <c r="N13" s="21">
        <v>3.1806813527391897E-2</v>
      </c>
      <c r="O13" s="21">
        <v>0.109076990481337</v>
      </c>
    </row>
    <row r="14" spans="2:15" x14ac:dyDescent="0.3">
      <c r="B14" s="18" t="s">
        <v>384</v>
      </c>
      <c r="C14" s="21">
        <v>0.38410950507081398</v>
      </c>
      <c r="D14" s="21">
        <v>0.33169555650799498</v>
      </c>
      <c r="E14" s="21">
        <v>0.432078071150785</v>
      </c>
      <c r="F14" s="21"/>
      <c r="G14" s="21">
        <v>0.387896474994122</v>
      </c>
      <c r="H14" s="21">
        <v>0.29060580578145201</v>
      </c>
      <c r="I14" s="21">
        <v>0.44687323463975898</v>
      </c>
      <c r="J14" s="21">
        <v>0.41056814279596199</v>
      </c>
      <c r="K14" s="21"/>
      <c r="L14" s="21">
        <v>0.45619896355502698</v>
      </c>
      <c r="M14" s="21">
        <v>0.31829385667027399</v>
      </c>
      <c r="N14" s="21">
        <v>0.38659331943341102</v>
      </c>
      <c r="O14" s="21">
        <v>0.37881219058105903</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480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0.13594157739967899</v>
      </c>
      <c r="D9" s="17">
        <v>0.11357228710229</v>
      </c>
      <c r="E9" s="17">
        <v>0.14402420094448301</v>
      </c>
      <c r="F9" s="17"/>
      <c r="G9" s="17">
        <v>0.10559192243500699</v>
      </c>
      <c r="H9" s="17">
        <v>0.16318637281989201</v>
      </c>
      <c r="I9" s="17">
        <v>0.122076394056557</v>
      </c>
      <c r="J9" s="17">
        <v>0.15234587723071899</v>
      </c>
      <c r="K9" s="17"/>
      <c r="L9" s="17">
        <v>0.110561921081233</v>
      </c>
      <c r="M9" s="17">
        <v>0.209646356226352</v>
      </c>
      <c r="N9" s="17">
        <v>0.17446006349711399</v>
      </c>
      <c r="O9" s="17">
        <v>9.1102252918065202E-2</v>
      </c>
    </row>
    <row r="10" spans="2:15" x14ac:dyDescent="0.3">
      <c r="B10" s="18" t="s">
        <v>381</v>
      </c>
      <c r="C10" s="17">
        <v>0.27802668486788401</v>
      </c>
      <c r="D10" s="17">
        <v>0.37488985917761403</v>
      </c>
      <c r="E10" s="17">
        <v>0.20898299463557299</v>
      </c>
      <c r="F10" s="17"/>
      <c r="G10" s="17">
        <v>0.27405288322205801</v>
      </c>
      <c r="H10" s="17">
        <v>0.172936896023655</v>
      </c>
      <c r="I10" s="17">
        <v>0.29288695233902501</v>
      </c>
      <c r="J10" s="17">
        <v>0.35997978587371898</v>
      </c>
      <c r="K10" s="17"/>
      <c r="L10" s="17">
        <v>0.342578513053859</v>
      </c>
      <c r="M10" s="17">
        <v>0.158707310675931</v>
      </c>
      <c r="N10" s="17">
        <v>0.42774275549495899</v>
      </c>
      <c r="O10" s="17">
        <v>0.19676208982818699</v>
      </c>
    </row>
    <row r="11" spans="2:15" x14ac:dyDescent="0.3">
      <c r="B11" s="18" t="s">
        <v>382</v>
      </c>
      <c r="C11" s="17">
        <v>0.310428280446995</v>
      </c>
      <c r="D11" s="17">
        <v>0.26981898019912198</v>
      </c>
      <c r="E11" s="17">
        <v>0.34784794992990897</v>
      </c>
      <c r="F11" s="17"/>
      <c r="G11" s="17">
        <v>0.26461022881413199</v>
      </c>
      <c r="H11" s="17">
        <v>0.29710262912537799</v>
      </c>
      <c r="I11" s="17">
        <v>0.36494642576443098</v>
      </c>
      <c r="J11" s="17">
        <v>0.32164532622068198</v>
      </c>
      <c r="K11" s="17"/>
      <c r="L11" s="17">
        <v>0.20568263607190901</v>
      </c>
      <c r="M11" s="17">
        <v>0.389571552127079</v>
      </c>
      <c r="N11" s="17">
        <v>0.26164613120861102</v>
      </c>
      <c r="O11" s="17">
        <v>0.35534532678018699</v>
      </c>
    </row>
    <row r="12" spans="2:15" x14ac:dyDescent="0.3">
      <c r="B12" s="18" t="s">
        <v>383</v>
      </c>
      <c r="C12" s="17">
        <v>0.233630764205908</v>
      </c>
      <c r="D12" s="17">
        <v>0.21111123909916099</v>
      </c>
      <c r="E12" s="17">
        <v>0.25560167649600202</v>
      </c>
      <c r="F12" s="17"/>
      <c r="G12" s="17">
        <v>0.33869490168119198</v>
      </c>
      <c r="H12" s="17">
        <v>0.26832679871769299</v>
      </c>
      <c r="I12" s="17">
        <v>0.19223374950729499</v>
      </c>
      <c r="J12" s="17">
        <v>0.137629741021735</v>
      </c>
      <c r="K12" s="17"/>
      <c r="L12" s="17">
        <v>0.26851136176847501</v>
      </c>
      <c r="M12" s="17">
        <v>0.16930353201002299</v>
      </c>
      <c r="N12" s="17">
        <v>0.136151049799316</v>
      </c>
      <c r="O12" s="17">
        <v>0.31098341651424399</v>
      </c>
    </row>
    <row r="13" spans="2:15" x14ac:dyDescent="0.3">
      <c r="B13" s="18" t="s">
        <v>142</v>
      </c>
      <c r="C13" s="21">
        <v>4.1972693079534301E-2</v>
      </c>
      <c r="D13" s="21">
        <v>3.0607634421812802E-2</v>
      </c>
      <c r="E13" s="21">
        <v>4.3543177994032102E-2</v>
      </c>
      <c r="F13" s="21"/>
      <c r="G13" s="21">
        <v>1.70500638476116E-2</v>
      </c>
      <c r="H13" s="21">
        <v>9.8447303313381695E-2</v>
      </c>
      <c r="I13" s="21">
        <v>2.7856478332692201E-2</v>
      </c>
      <c r="J13" s="21">
        <v>2.83992696531453E-2</v>
      </c>
      <c r="K13" s="21"/>
      <c r="L13" s="21">
        <v>7.2665568024523605E-2</v>
      </c>
      <c r="M13" s="21">
        <v>7.2771248960614904E-2</v>
      </c>
      <c r="N13" s="21">
        <v>0</v>
      </c>
      <c r="O13" s="21">
        <v>4.5806913959316402E-2</v>
      </c>
    </row>
    <row r="14" spans="2:15" x14ac:dyDescent="0.3">
      <c r="B14" s="18" t="s">
        <v>384</v>
      </c>
      <c r="C14" s="21">
        <v>0.413968262267563</v>
      </c>
      <c r="D14" s="21">
        <v>0.48846214627990497</v>
      </c>
      <c r="E14" s="21">
        <v>0.353007195580056</v>
      </c>
      <c r="F14" s="21"/>
      <c r="G14" s="21">
        <v>0.37964480565706499</v>
      </c>
      <c r="H14" s="21">
        <v>0.33612326884354699</v>
      </c>
      <c r="I14" s="21">
        <v>0.41496334639558202</v>
      </c>
      <c r="J14" s="21">
        <v>0.51232566310443794</v>
      </c>
      <c r="K14" s="21"/>
      <c r="L14" s="21">
        <v>0.45314043413509197</v>
      </c>
      <c r="M14" s="21">
        <v>0.36835366690228299</v>
      </c>
      <c r="N14" s="21">
        <v>0.60220281899207295</v>
      </c>
      <c r="O14" s="21">
        <v>0.287864342746252</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481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0.112121315959961</v>
      </c>
      <c r="D9" s="17">
        <v>9.0211604720789595E-2</v>
      </c>
      <c r="E9" s="17">
        <v>0.131211488469066</v>
      </c>
      <c r="F9" s="17"/>
      <c r="G9" s="17">
        <v>0.17695978113334901</v>
      </c>
      <c r="H9" s="17">
        <v>5.1042869668236797E-2</v>
      </c>
      <c r="I9" s="17">
        <v>8.9717043138540495E-2</v>
      </c>
      <c r="J9" s="17">
        <v>0.121057698162713</v>
      </c>
      <c r="K9" s="17"/>
      <c r="L9" s="17">
        <v>7.2746894599789197E-2</v>
      </c>
      <c r="M9" s="17">
        <v>8.3800302940404206E-2</v>
      </c>
      <c r="N9" s="17">
        <v>0.17095824076018801</v>
      </c>
      <c r="O9" s="17">
        <v>9.9398461519103101E-2</v>
      </c>
    </row>
    <row r="10" spans="2:15" x14ac:dyDescent="0.3">
      <c r="B10" s="18" t="s">
        <v>381</v>
      </c>
      <c r="C10" s="17">
        <v>0.381997322511622</v>
      </c>
      <c r="D10" s="17">
        <v>0.37094978298137399</v>
      </c>
      <c r="E10" s="17">
        <v>0.38624788134754501</v>
      </c>
      <c r="F10" s="17"/>
      <c r="G10" s="17">
        <v>0.34426804616094497</v>
      </c>
      <c r="H10" s="17">
        <v>0.41537145974544498</v>
      </c>
      <c r="I10" s="17">
        <v>0.32437847275451498</v>
      </c>
      <c r="J10" s="17">
        <v>0.435042768148376</v>
      </c>
      <c r="K10" s="17"/>
      <c r="L10" s="17">
        <v>0.27484794114199701</v>
      </c>
      <c r="M10" s="17">
        <v>0.425935408791278</v>
      </c>
      <c r="N10" s="17">
        <v>0.34983156377708302</v>
      </c>
      <c r="O10" s="17">
        <v>0.43046977382742302</v>
      </c>
    </row>
    <row r="11" spans="2:15" x14ac:dyDescent="0.3">
      <c r="B11" s="18" t="s">
        <v>382</v>
      </c>
      <c r="C11" s="17">
        <v>0.289814531801319</v>
      </c>
      <c r="D11" s="17">
        <v>0.24703123788810699</v>
      </c>
      <c r="E11" s="17">
        <v>0.328498571590088</v>
      </c>
      <c r="F11" s="17"/>
      <c r="G11" s="17">
        <v>0.27670145617870701</v>
      </c>
      <c r="H11" s="17">
        <v>0.222889833965775</v>
      </c>
      <c r="I11" s="17">
        <v>0.39201748788497398</v>
      </c>
      <c r="J11" s="17">
        <v>0.27799485675894797</v>
      </c>
      <c r="K11" s="17"/>
      <c r="L11" s="17">
        <v>0.36691067908889002</v>
      </c>
      <c r="M11" s="17">
        <v>0.247982948425858</v>
      </c>
      <c r="N11" s="17">
        <v>0.32821152033836898</v>
      </c>
      <c r="O11" s="17">
        <v>0.248589323634444</v>
      </c>
    </row>
    <row r="12" spans="2:15" x14ac:dyDescent="0.3">
      <c r="B12" s="18" t="s">
        <v>383</v>
      </c>
      <c r="C12" s="17">
        <v>0.159258681183576</v>
      </c>
      <c r="D12" s="17">
        <v>0.24150361144183</v>
      </c>
      <c r="E12" s="17">
        <v>9.1099769058349503E-2</v>
      </c>
      <c r="F12" s="17"/>
      <c r="G12" s="17">
        <v>0.17507482315376599</v>
      </c>
      <c r="H12" s="17">
        <v>0.16089185373568801</v>
      </c>
      <c r="I12" s="17">
        <v>0.166030517889278</v>
      </c>
      <c r="J12" s="17">
        <v>0.13750540727681801</v>
      </c>
      <c r="K12" s="17"/>
      <c r="L12" s="17">
        <v>0.21282891714479901</v>
      </c>
      <c r="M12" s="17">
        <v>0.203353942416478</v>
      </c>
      <c r="N12" s="17">
        <v>0.105248183630042</v>
      </c>
      <c r="O12" s="17">
        <v>0.156666199097591</v>
      </c>
    </row>
    <row r="13" spans="2:15" x14ac:dyDescent="0.3">
      <c r="B13" s="18" t="s">
        <v>142</v>
      </c>
      <c r="C13" s="21">
        <v>5.6808148543522001E-2</v>
      </c>
      <c r="D13" s="21">
        <v>5.0303762967898603E-2</v>
      </c>
      <c r="E13" s="21">
        <v>6.2942289534951804E-2</v>
      </c>
      <c r="F13" s="21"/>
      <c r="G13" s="21">
        <v>2.69958933732325E-2</v>
      </c>
      <c r="H13" s="21">
        <v>0.149803982884855</v>
      </c>
      <c r="I13" s="21">
        <v>2.7856478332692201E-2</v>
      </c>
      <c r="J13" s="21">
        <v>2.83992696531453E-2</v>
      </c>
      <c r="K13" s="21"/>
      <c r="L13" s="21">
        <v>7.2665568024523605E-2</v>
      </c>
      <c r="M13" s="21">
        <v>3.8927397425981898E-2</v>
      </c>
      <c r="N13" s="21">
        <v>4.57504914943173E-2</v>
      </c>
      <c r="O13" s="21">
        <v>6.4876241921439495E-2</v>
      </c>
    </row>
    <row r="14" spans="2:15" x14ac:dyDescent="0.3">
      <c r="B14" s="18" t="s">
        <v>384</v>
      </c>
      <c r="C14" s="21">
        <v>0.49411863847158299</v>
      </c>
      <c r="D14" s="21">
        <v>0.46116138770216403</v>
      </c>
      <c r="E14" s="21">
        <v>0.517459369816611</v>
      </c>
      <c r="F14" s="21"/>
      <c r="G14" s="21">
        <v>0.52122782729429395</v>
      </c>
      <c r="H14" s="21">
        <v>0.46641432941368199</v>
      </c>
      <c r="I14" s="21">
        <v>0.41409551589305599</v>
      </c>
      <c r="J14" s="21">
        <v>0.556100466311089</v>
      </c>
      <c r="K14" s="21"/>
      <c r="L14" s="21">
        <v>0.34759483574178701</v>
      </c>
      <c r="M14" s="21">
        <v>0.50973571173168197</v>
      </c>
      <c r="N14" s="21">
        <v>0.52078980453727097</v>
      </c>
      <c r="O14" s="21">
        <v>0.52986823534652605</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482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7.0108961203375397E-2</v>
      </c>
      <c r="D9" s="17">
        <v>6.4670431265158798E-2</v>
      </c>
      <c r="E9" s="17">
        <v>7.5686604745021605E-2</v>
      </c>
      <c r="F9" s="17"/>
      <c r="G9" s="17">
        <v>0.101131155081679</v>
      </c>
      <c r="H9" s="17">
        <v>0</v>
      </c>
      <c r="I9" s="17">
        <v>0.15933620904068099</v>
      </c>
      <c r="J9" s="17">
        <v>2.96571675139287E-2</v>
      </c>
      <c r="K9" s="17"/>
      <c r="L9" s="17">
        <v>8.4905237288395594E-2</v>
      </c>
      <c r="M9" s="17">
        <v>4.65076070743956E-2</v>
      </c>
      <c r="N9" s="17">
        <v>0.102742572705291</v>
      </c>
      <c r="O9" s="17">
        <v>5.11499480085785E-2</v>
      </c>
    </row>
    <row r="10" spans="2:15" x14ac:dyDescent="0.3">
      <c r="B10" s="18" t="s">
        <v>381</v>
      </c>
      <c r="C10" s="17">
        <v>0.33866805331675198</v>
      </c>
      <c r="D10" s="17">
        <v>0.29234307327209202</v>
      </c>
      <c r="E10" s="17">
        <v>0.381047818359947</v>
      </c>
      <c r="F10" s="17"/>
      <c r="G10" s="17">
        <v>0.29650369260387999</v>
      </c>
      <c r="H10" s="17">
        <v>0.38792769707122299</v>
      </c>
      <c r="I10" s="17">
        <v>0.226744960579147</v>
      </c>
      <c r="J10" s="17">
        <v>0.42563104936271801</v>
      </c>
      <c r="K10" s="17"/>
      <c r="L10" s="17">
        <v>0.45881074481565398</v>
      </c>
      <c r="M10" s="17">
        <v>0.29872324902143299</v>
      </c>
      <c r="N10" s="17">
        <v>0.38257634456110201</v>
      </c>
      <c r="O10" s="17">
        <v>0.27531116015860901</v>
      </c>
    </row>
    <row r="11" spans="2:15" x14ac:dyDescent="0.3">
      <c r="B11" s="18" t="s">
        <v>382</v>
      </c>
      <c r="C11" s="17">
        <v>0.31551236793204002</v>
      </c>
      <c r="D11" s="17">
        <v>0.34970559237897803</v>
      </c>
      <c r="E11" s="17">
        <v>0.283619165198502</v>
      </c>
      <c r="F11" s="17"/>
      <c r="G11" s="17">
        <v>0.31163250919150598</v>
      </c>
      <c r="H11" s="17">
        <v>0.25906531190056098</v>
      </c>
      <c r="I11" s="17">
        <v>0.38004293484521201</v>
      </c>
      <c r="J11" s="17">
        <v>0.316051920454753</v>
      </c>
      <c r="K11" s="17"/>
      <c r="L11" s="17">
        <v>0.20495847619935201</v>
      </c>
      <c r="M11" s="17">
        <v>0.40506271587721898</v>
      </c>
      <c r="N11" s="17">
        <v>0.30667709048963199</v>
      </c>
      <c r="O11" s="17">
        <v>0.33153955252761902</v>
      </c>
    </row>
    <row r="12" spans="2:15" x14ac:dyDescent="0.3">
      <c r="B12" s="18" t="s">
        <v>383</v>
      </c>
      <c r="C12" s="17">
        <v>0.21178849619517101</v>
      </c>
      <c r="D12" s="17">
        <v>0.237253924563844</v>
      </c>
      <c r="E12" s="17">
        <v>0.19638921417746999</v>
      </c>
      <c r="F12" s="17"/>
      <c r="G12" s="17">
        <v>0.25660608687842101</v>
      </c>
      <c r="H12" s="17">
        <v>0.25722423261906002</v>
      </c>
      <c r="I12" s="17">
        <v>0.15141495898990001</v>
      </c>
      <c r="J12" s="17">
        <v>0.178673378619889</v>
      </c>
      <c r="K12" s="17"/>
      <c r="L12" s="17">
        <v>0.219338704868035</v>
      </c>
      <c r="M12" s="17">
        <v>0.17693517906633799</v>
      </c>
      <c r="N12" s="17">
        <v>0.18997171613167399</v>
      </c>
      <c r="O12" s="17">
        <v>0.23726607964229099</v>
      </c>
    </row>
    <row r="13" spans="2:15" x14ac:dyDescent="0.3">
      <c r="B13" s="18" t="s">
        <v>142</v>
      </c>
      <c r="C13" s="21">
        <v>6.3922121352660205E-2</v>
      </c>
      <c r="D13" s="21">
        <v>5.6026978519926697E-2</v>
      </c>
      <c r="E13" s="21">
        <v>6.32571975190592E-2</v>
      </c>
      <c r="F13" s="21"/>
      <c r="G13" s="21">
        <v>3.4126556244513502E-2</v>
      </c>
      <c r="H13" s="21">
        <v>9.5782758409156593E-2</v>
      </c>
      <c r="I13" s="21">
        <v>8.2460936545059996E-2</v>
      </c>
      <c r="J13" s="21">
        <v>4.9986484048711498E-2</v>
      </c>
      <c r="K13" s="21"/>
      <c r="L13" s="21">
        <v>3.1986836828563597E-2</v>
      </c>
      <c r="M13" s="21">
        <v>7.2771248960614904E-2</v>
      </c>
      <c r="N13" s="21">
        <v>1.8032276112301401E-2</v>
      </c>
      <c r="O13" s="21">
        <v>0.10473325966290301</v>
      </c>
    </row>
    <row r="14" spans="2:15" x14ac:dyDescent="0.3">
      <c r="B14" s="18" t="s">
        <v>384</v>
      </c>
      <c r="C14" s="21">
        <v>0.40877701452012799</v>
      </c>
      <c r="D14" s="21">
        <v>0.357013504537251</v>
      </c>
      <c r="E14" s="21">
        <v>0.45673442310496898</v>
      </c>
      <c r="F14" s="21"/>
      <c r="G14" s="21">
        <v>0.39763484768555901</v>
      </c>
      <c r="H14" s="21">
        <v>0.38792769707122299</v>
      </c>
      <c r="I14" s="21">
        <v>0.38608116961982802</v>
      </c>
      <c r="J14" s="21">
        <v>0.455288216876647</v>
      </c>
      <c r="K14" s="21"/>
      <c r="L14" s="21">
        <v>0.54371598210405003</v>
      </c>
      <c r="M14" s="21">
        <v>0.34523085609582799</v>
      </c>
      <c r="N14" s="21">
        <v>0.48531891726639298</v>
      </c>
      <c r="O14" s="21">
        <v>0.32646110816718699</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483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0.12083185285517201</v>
      </c>
      <c r="D9" s="17">
        <v>0.124493441349829</v>
      </c>
      <c r="E9" s="17">
        <v>0.10857718386915099</v>
      </c>
      <c r="F9" s="17"/>
      <c r="G9" s="17">
        <v>0.17314705780610201</v>
      </c>
      <c r="H9" s="17">
        <v>9.9831920968309604E-2</v>
      </c>
      <c r="I9" s="17">
        <v>0.119277508371664</v>
      </c>
      <c r="J9" s="17">
        <v>9.0620180072647896E-2</v>
      </c>
      <c r="K9" s="17"/>
      <c r="L9" s="17">
        <v>0.14603617519678899</v>
      </c>
      <c r="M9" s="17">
        <v>8.3262696818392198E-2</v>
      </c>
      <c r="N9" s="17">
        <v>0.12625954346872201</v>
      </c>
      <c r="O9" s="17">
        <v>0.12161521425687299</v>
      </c>
    </row>
    <row r="10" spans="2:15" x14ac:dyDescent="0.3">
      <c r="B10" s="18" t="s">
        <v>381</v>
      </c>
      <c r="C10" s="17">
        <v>0.354290912699816</v>
      </c>
      <c r="D10" s="17">
        <v>0.286884906323575</v>
      </c>
      <c r="E10" s="17">
        <v>0.41320797131313702</v>
      </c>
      <c r="F10" s="17"/>
      <c r="G10" s="17">
        <v>0.28962164435677601</v>
      </c>
      <c r="H10" s="17">
        <v>0.346204032061601</v>
      </c>
      <c r="I10" s="17">
        <v>0.34768149219509398</v>
      </c>
      <c r="J10" s="17">
        <v>0.42762075862368099</v>
      </c>
      <c r="K10" s="17"/>
      <c r="L10" s="17">
        <v>0.37202649908637397</v>
      </c>
      <c r="M10" s="17">
        <v>0.39577863722613299</v>
      </c>
      <c r="N10" s="17">
        <v>0.42273552345675602</v>
      </c>
      <c r="O10" s="17">
        <v>0.28412418311193299</v>
      </c>
    </row>
    <row r="11" spans="2:15" x14ac:dyDescent="0.3">
      <c r="B11" s="18" t="s">
        <v>382</v>
      </c>
      <c r="C11" s="17">
        <v>0.31325013867993301</v>
      </c>
      <c r="D11" s="17">
        <v>0.35742538183697098</v>
      </c>
      <c r="E11" s="17">
        <v>0.28546233830490098</v>
      </c>
      <c r="F11" s="17"/>
      <c r="G11" s="17">
        <v>0.29864339635202702</v>
      </c>
      <c r="H11" s="17">
        <v>0.35171733368774299</v>
      </c>
      <c r="I11" s="17">
        <v>0.25237685166621598</v>
      </c>
      <c r="J11" s="17">
        <v>0.342673077270783</v>
      </c>
      <c r="K11" s="17"/>
      <c r="L11" s="17">
        <v>0.388739205429951</v>
      </c>
      <c r="M11" s="17">
        <v>0.33630744860456901</v>
      </c>
      <c r="N11" s="17">
        <v>0.26729330615467201</v>
      </c>
      <c r="O11" s="17">
        <v>0.304487595722647</v>
      </c>
    </row>
    <row r="12" spans="2:15" x14ac:dyDescent="0.3">
      <c r="B12" s="18" t="s">
        <v>383</v>
      </c>
      <c r="C12" s="17">
        <v>0.15859549916771701</v>
      </c>
      <c r="D12" s="17">
        <v>0.20058863606781199</v>
      </c>
      <c r="E12" s="17">
        <v>0.12941829828739501</v>
      </c>
      <c r="F12" s="17"/>
      <c r="G12" s="17">
        <v>0.20186638940528601</v>
      </c>
      <c r="H12" s="17">
        <v>0.154547885012665</v>
      </c>
      <c r="I12" s="17">
        <v>0.21786967133906701</v>
      </c>
      <c r="J12" s="17">
        <v>7.3859743574881107E-2</v>
      </c>
      <c r="K12" s="17"/>
      <c r="L12" s="17">
        <v>2.9906112478256999E-2</v>
      </c>
      <c r="M12" s="17">
        <v>0.145723819924924</v>
      </c>
      <c r="N12" s="17">
        <v>0.18371162691984999</v>
      </c>
      <c r="O12" s="17">
        <v>0.19931981201419399</v>
      </c>
    </row>
    <row r="13" spans="2:15" x14ac:dyDescent="0.3">
      <c r="B13" s="18" t="s">
        <v>142</v>
      </c>
      <c r="C13" s="21">
        <v>5.3031596597361501E-2</v>
      </c>
      <c r="D13" s="21">
        <v>3.0607634421812802E-2</v>
      </c>
      <c r="E13" s="21">
        <v>6.3334208225415398E-2</v>
      </c>
      <c r="F13" s="21"/>
      <c r="G13" s="21">
        <v>3.6721512079808602E-2</v>
      </c>
      <c r="H13" s="21">
        <v>4.7698828269680402E-2</v>
      </c>
      <c r="I13" s="21">
        <v>6.2794476427960197E-2</v>
      </c>
      <c r="J13" s="21">
        <v>6.5226240458007206E-2</v>
      </c>
      <c r="K13" s="21"/>
      <c r="L13" s="21">
        <v>6.32920078086293E-2</v>
      </c>
      <c r="M13" s="21">
        <v>3.8927397425981898E-2</v>
      </c>
      <c r="N13" s="21">
        <v>0</v>
      </c>
      <c r="O13" s="21">
        <v>9.0453194894352301E-2</v>
      </c>
    </row>
    <row r="14" spans="2:15" x14ac:dyDescent="0.3">
      <c r="B14" s="18" t="s">
        <v>384</v>
      </c>
      <c r="C14" s="21">
        <v>0.475122765554988</v>
      </c>
      <c r="D14" s="21">
        <v>0.41137834767340398</v>
      </c>
      <c r="E14" s="21">
        <v>0.52178515518228796</v>
      </c>
      <c r="F14" s="21"/>
      <c r="G14" s="21">
        <v>0.46276870216287802</v>
      </c>
      <c r="H14" s="21">
        <v>0.446035953029911</v>
      </c>
      <c r="I14" s="21">
        <v>0.46695900056675699</v>
      </c>
      <c r="J14" s="21">
        <v>0.51824093869632903</v>
      </c>
      <c r="K14" s="21"/>
      <c r="L14" s="21">
        <v>0.51806267428316299</v>
      </c>
      <c r="M14" s="21">
        <v>0.47904133404452498</v>
      </c>
      <c r="N14" s="21">
        <v>0.54899506692547795</v>
      </c>
      <c r="O14" s="21">
        <v>0.40573939736880599</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484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4.3500929696412997E-2</v>
      </c>
      <c r="D9" s="17">
        <v>6.1935501887889197E-2</v>
      </c>
      <c r="E9" s="17">
        <v>3.01740620423416E-2</v>
      </c>
      <c r="F9" s="17"/>
      <c r="G9" s="17">
        <v>9.0332302899351902E-2</v>
      </c>
      <c r="H9" s="17">
        <v>0</v>
      </c>
      <c r="I9" s="17">
        <v>7.08468187780735E-2</v>
      </c>
      <c r="J9" s="17">
        <v>1.4690337235971899E-2</v>
      </c>
      <c r="K9" s="17"/>
      <c r="L9" s="17">
        <v>0</v>
      </c>
      <c r="M9" s="17">
        <v>4.0601156388627498E-2</v>
      </c>
      <c r="N9" s="17">
        <v>3.5242949838849798E-2</v>
      </c>
      <c r="O9" s="17">
        <v>6.8086077107948006E-2</v>
      </c>
    </row>
    <row r="10" spans="2:15" x14ac:dyDescent="0.3">
      <c r="B10" s="18" t="s">
        <v>381</v>
      </c>
      <c r="C10" s="17">
        <v>0.20388227086785701</v>
      </c>
      <c r="D10" s="17">
        <v>0.206248172516178</v>
      </c>
      <c r="E10" s="17">
        <v>0.206107106457116</v>
      </c>
      <c r="F10" s="17"/>
      <c r="G10" s="17">
        <v>0.19062650300813899</v>
      </c>
      <c r="H10" s="17">
        <v>0.172291964649922</v>
      </c>
      <c r="I10" s="17">
        <v>0.307399397656753</v>
      </c>
      <c r="J10" s="17">
        <v>0.16086888295280999</v>
      </c>
      <c r="K10" s="17"/>
      <c r="L10" s="17">
        <v>0.113431189475453</v>
      </c>
      <c r="M10" s="17">
        <v>0.108825717115904</v>
      </c>
      <c r="N10" s="17">
        <v>0.244007748019552</v>
      </c>
      <c r="O10" s="17">
        <v>0.251111795394868</v>
      </c>
    </row>
    <row r="11" spans="2:15" x14ac:dyDescent="0.3">
      <c r="B11" s="18" t="s">
        <v>382</v>
      </c>
      <c r="C11" s="17">
        <v>0.23459898397805701</v>
      </c>
      <c r="D11" s="17">
        <v>0.23222717183935701</v>
      </c>
      <c r="E11" s="17">
        <v>0.241080273653278</v>
      </c>
      <c r="F11" s="17"/>
      <c r="G11" s="17">
        <v>0.25637657910415201</v>
      </c>
      <c r="H11" s="17">
        <v>0.209240570653245</v>
      </c>
      <c r="I11" s="17">
        <v>0.21430506007828101</v>
      </c>
      <c r="J11" s="17">
        <v>0.25194178372463499</v>
      </c>
      <c r="K11" s="17"/>
      <c r="L11" s="17">
        <v>0.40648349113287402</v>
      </c>
      <c r="M11" s="17">
        <v>0.24309101999180499</v>
      </c>
      <c r="N11" s="17">
        <v>0.229559938415415</v>
      </c>
      <c r="O11" s="17">
        <v>0.16424452685628499</v>
      </c>
    </row>
    <row r="12" spans="2:15" x14ac:dyDescent="0.3">
      <c r="B12" s="18" t="s">
        <v>383</v>
      </c>
      <c r="C12" s="17">
        <v>0.41381879078892497</v>
      </c>
      <c r="D12" s="17">
        <v>0.40275278845023399</v>
      </c>
      <c r="E12" s="17">
        <v>0.41871505237331302</v>
      </c>
      <c r="F12" s="17"/>
      <c r="G12" s="17">
        <v>0.39174391579184498</v>
      </c>
      <c r="H12" s="17">
        <v>0.49799255005120602</v>
      </c>
      <c r="I12" s="17">
        <v>0.29856280514478301</v>
      </c>
      <c r="J12" s="17">
        <v>0.45453357641953201</v>
      </c>
      <c r="K12" s="17"/>
      <c r="L12" s="17">
        <v>0.36418465975921399</v>
      </c>
      <c r="M12" s="17">
        <v>0.56855470907768102</v>
      </c>
      <c r="N12" s="17">
        <v>0.370743041597831</v>
      </c>
      <c r="O12" s="17">
        <v>0.40248530257593701</v>
      </c>
    </row>
    <row r="13" spans="2:15" x14ac:dyDescent="0.3">
      <c r="B13" s="18" t="s">
        <v>142</v>
      </c>
      <c r="C13" s="21">
        <v>0.104199024668748</v>
      </c>
      <c r="D13" s="21">
        <v>9.6836365306341099E-2</v>
      </c>
      <c r="E13" s="21">
        <v>0.103923505473951</v>
      </c>
      <c r="F13" s="21"/>
      <c r="G13" s="21">
        <v>7.0920699196512296E-2</v>
      </c>
      <c r="H13" s="21">
        <v>0.120474914645627</v>
      </c>
      <c r="I13" s="21">
        <v>0.10888591834211001</v>
      </c>
      <c r="J13" s="21">
        <v>0.117965419667051</v>
      </c>
      <c r="K13" s="21"/>
      <c r="L13" s="21">
        <v>0.115900659632459</v>
      </c>
      <c r="M13" s="21">
        <v>3.8927397425981898E-2</v>
      </c>
      <c r="N13" s="21">
        <v>0.120446322128352</v>
      </c>
      <c r="O13" s="21">
        <v>0.114072298064962</v>
      </c>
    </row>
    <row r="14" spans="2:15" x14ac:dyDescent="0.3">
      <c r="B14" s="18" t="s">
        <v>384</v>
      </c>
      <c r="C14" s="21">
        <v>0.24738320056426999</v>
      </c>
      <c r="D14" s="21">
        <v>0.26818367440406699</v>
      </c>
      <c r="E14" s="21">
        <v>0.23628116849945799</v>
      </c>
      <c r="F14" s="21"/>
      <c r="G14" s="21">
        <v>0.280958805907491</v>
      </c>
      <c r="H14" s="21">
        <v>0.172291964649922</v>
      </c>
      <c r="I14" s="21">
        <v>0.37824621643482698</v>
      </c>
      <c r="J14" s="21">
        <v>0.17555922018878201</v>
      </c>
      <c r="K14" s="21"/>
      <c r="L14" s="21">
        <v>0.113431189475453</v>
      </c>
      <c r="M14" s="21">
        <v>0.14942687350453199</v>
      </c>
      <c r="N14" s="21">
        <v>0.27925069785840201</v>
      </c>
      <c r="O14" s="21">
        <v>0.319197872502816</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K19"/>
  <sheetViews>
    <sheetView showGridLines="0" workbookViewId="0">
      <pane xSplit="2" topLeftCell="C1" activePane="topRight" state="frozen"/>
      <selection pane="topRight" activeCell="A13" sqref="A13:XFD13"/>
    </sheetView>
  </sheetViews>
  <sheetFormatPr defaultColWidth="11.5546875" defaultRowHeight="14.4" x14ac:dyDescent="0.3"/>
  <cols>
    <col min="2" max="2" width="25.6640625" customWidth="1"/>
    <col min="3" max="11" width="20.6640625" customWidth="1"/>
  </cols>
  <sheetData>
    <row r="2" spans="2:11" ht="40.049999999999997" customHeight="1" x14ac:dyDescent="0.3">
      <c r="D2" s="30" t="s">
        <v>473</v>
      </c>
      <c r="E2" s="26"/>
      <c r="F2" s="26"/>
      <c r="G2" s="26"/>
      <c r="H2" s="26"/>
      <c r="I2" s="26"/>
      <c r="J2" s="26"/>
      <c r="K2" s="26"/>
    </row>
    <row r="6" spans="2:11" ht="49.95" customHeight="1" x14ac:dyDescent="0.3">
      <c r="B6" s="20" t="s">
        <v>14</v>
      </c>
      <c r="C6" s="20" t="s">
        <v>485</v>
      </c>
      <c r="D6" s="20" t="s">
        <v>486</v>
      </c>
      <c r="E6" s="20" t="s">
        <v>487</v>
      </c>
      <c r="F6" s="20" t="s">
        <v>488</v>
      </c>
      <c r="G6" s="20" t="s">
        <v>489</v>
      </c>
      <c r="H6" s="20" t="s">
        <v>490</v>
      </c>
      <c r="I6" s="20" t="s">
        <v>491</v>
      </c>
      <c r="J6" s="20" t="s">
        <v>492</v>
      </c>
    </row>
    <row r="7" spans="2:11" x14ac:dyDescent="0.3">
      <c r="B7" s="18" t="s">
        <v>380</v>
      </c>
      <c r="C7" s="17">
        <v>5.4661724088062601E-2</v>
      </c>
      <c r="D7" s="17">
        <v>6.23079001877542E-2</v>
      </c>
      <c r="E7" s="17">
        <v>3.4631052235273303E-2</v>
      </c>
      <c r="F7" s="17">
        <v>2.8281586879374699E-2</v>
      </c>
      <c r="G7" s="17">
        <v>6.2517364489769994E-2</v>
      </c>
      <c r="H7" s="17">
        <v>7.2252700716030099E-2</v>
      </c>
      <c r="I7" s="17">
        <v>9.0478732617953195E-2</v>
      </c>
      <c r="J7" s="17">
        <v>0.13580265303792599</v>
      </c>
    </row>
    <row r="8" spans="2:11" x14ac:dyDescent="0.3">
      <c r="B8" s="18" t="s">
        <v>381</v>
      </c>
      <c r="C8" s="17">
        <v>0.13703934199787801</v>
      </c>
      <c r="D8" s="17">
        <v>0.13621632250484</v>
      </c>
      <c r="E8" s="17">
        <v>0.18176599065868601</v>
      </c>
      <c r="F8" s="17">
        <v>0.21092047237081399</v>
      </c>
      <c r="G8" s="17">
        <v>0.187410793584847</v>
      </c>
      <c r="H8" s="17">
        <v>0.19905571975386999</v>
      </c>
      <c r="I8" s="17">
        <v>0.205815709124613</v>
      </c>
      <c r="J8" s="17">
        <v>0.209146782647219</v>
      </c>
    </row>
    <row r="9" spans="2:11" x14ac:dyDescent="0.3">
      <c r="B9" s="18" t="s">
        <v>382</v>
      </c>
      <c r="C9" s="17">
        <v>0.38442650110383197</v>
      </c>
      <c r="D9" s="17">
        <v>0.20992268506907499</v>
      </c>
      <c r="E9" s="17">
        <v>0.41170620841903999</v>
      </c>
      <c r="F9" s="17">
        <v>0.33537191726379401</v>
      </c>
      <c r="G9" s="17">
        <v>0.37233247817436599</v>
      </c>
      <c r="H9" s="17">
        <v>0.33189542875060002</v>
      </c>
      <c r="I9" s="17">
        <v>0.35503925327564401</v>
      </c>
      <c r="J9" s="17">
        <v>0.29999545836665897</v>
      </c>
    </row>
    <row r="10" spans="2:11" x14ac:dyDescent="0.3">
      <c r="B10" s="18" t="s">
        <v>383</v>
      </c>
      <c r="C10" s="17">
        <v>0.36600782313101998</v>
      </c>
      <c r="D10" s="17">
        <v>0.53484866957951005</v>
      </c>
      <c r="E10" s="17">
        <v>0.33841661317563698</v>
      </c>
      <c r="F10" s="17">
        <v>0.35565353153949902</v>
      </c>
      <c r="G10" s="17">
        <v>0.29836486571616699</v>
      </c>
      <c r="H10" s="17">
        <v>0.29154468781715598</v>
      </c>
      <c r="I10" s="17">
        <v>0.31553137713844998</v>
      </c>
      <c r="J10" s="17">
        <v>0.30816078712863598</v>
      </c>
    </row>
    <row r="11" spans="2:11" x14ac:dyDescent="0.3">
      <c r="B11" s="22" t="s">
        <v>142</v>
      </c>
      <c r="C11" s="21">
        <v>5.7864609679207403E-2</v>
      </c>
      <c r="D11" s="21">
        <v>5.6704422658820398E-2</v>
      </c>
      <c r="E11" s="21">
        <v>3.3480135511363203E-2</v>
      </c>
      <c r="F11" s="21">
        <v>6.9772491946518703E-2</v>
      </c>
      <c r="G11" s="21">
        <v>7.9374498034849403E-2</v>
      </c>
      <c r="H11" s="21">
        <v>0.105251462962344</v>
      </c>
      <c r="I11" s="21">
        <v>3.3134927843338997E-2</v>
      </c>
      <c r="J11" s="21">
        <v>4.6894318819559903E-2</v>
      </c>
    </row>
    <row r="12" spans="2:11" x14ac:dyDescent="0.3">
      <c r="B12" s="22" t="s">
        <v>384</v>
      </c>
      <c r="C12" s="21">
        <v>0.19170106608594101</v>
      </c>
      <c r="D12" s="21">
        <v>0.19852422269259501</v>
      </c>
      <c r="E12" s="21">
        <v>0.216397042893959</v>
      </c>
      <c r="F12" s="21">
        <v>0.239202059250189</v>
      </c>
      <c r="G12" s="21">
        <v>0.24992815807461799</v>
      </c>
      <c r="H12" s="21">
        <v>0.2713084204699</v>
      </c>
      <c r="I12" s="21">
        <v>0.29629444174256597</v>
      </c>
      <c r="J12" s="21">
        <v>0.34494943568514502</v>
      </c>
    </row>
    <row r="13" spans="2:11" x14ac:dyDescent="0.3">
      <c r="B13" s="16" t="s">
        <v>474</v>
      </c>
      <c r="C13" s="16"/>
      <c r="D13" s="16"/>
      <c r="E13" s="16"/>
      <c r="F13" s="16"/>
      <c r="G13" s="16"/>
      <c r="H13" s="16"/>
      <c r="I13" s="16"/>
      <c r="J13" s="16"/>
    </row>
    <row r="14" spans="2:11" x14ac:dyDescent="0.3">
      <c r="B14" t="s">
        <v>47</v>
      </c>
    </row>
    <row r="15" spans="2:11" x14ac:dyDescent="0.3">
      <c r="B15" t="s">
        <v>48</v>
      </c>
    </row>
    <row r="19" spans="2:2" x14ac:dyDescent="0.3">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493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2.8281586879374699E-2</v>
      </c>
      <c r="D9" s="17">
        <v>2.0986689281112001E-2</v>
      </c>
      <c r="E9" s="17">
        <v>3.4458125690670097E-2</v>
      </c>
      <c r="F9" s="17"/>
      <c r="G9" s="17">
        <v>5.0309576834066901E-2</v>
      </c>
      <c r="H9" s="17">
        <v>0</v>
      </c>
      <c r="I9" s="17">
        <v>3.4761649325210003E-2</v>
      </c>
      <c r="J9" s="17">
        <v>2.6525200536282899E-2</v>
      </c>
      <c r="K9" s="17"/>
      <c r="L9" s="17">
        <v>2.0297056540724299E-2</v>
      </c>
      <c r="M9" s="17">
        <v>2.0300578194313801E-2</v>
      </c>
      <c r="N9" s="17">
        <v>5.11558941290675E-2</v>
      </c>
      <c r="O9" s="17">
        <v>1.9140610330121498E-2</v>
      </c>
    </row>
    <row r="10" spans="2:15" x14ac:dyDescent="0.3">
      <c r="B10" s="18" t="s">
        <v>381</v>
      </c>
      <c r="C10" s="17">
        <v>0.21092047237081399</v>
      </c>
      <c r="D10" s="17">
        <v>0.22441572102875201</v>
      </c>
      <c r="E10" s="17">
        <v>0.19670730550930801</v>
      </c>
      <c r="F10" s="17"/>
      <c r="G10" s="17">
        <v>0.23923356292949099</v>
      </c>
      <c r="H10" s="17">
        <v>0.15653671439925401</v>
      </c>
      <c r="I10" s="17">
        <v>0.245091941425093</v>
      </c>
      <c r="J10" s="17">
        <v>0.20349199213741401</v>
      </c>
      <c r="K10" s="17"/>
      <c r="L10" s="17">
        <v>0.33504494262444801</v>
      </c>
      <c r="M10" s="17">
        <v>0.16012020724399401</v>
      </c>
      <c r="N10" s="17">
        <v>0.18783300739323999</v>
      </c>
      <c r="O10" s="17">
        <v>0.19577550478393099</v>
      </c>
    </row>
    <row r="11" spans="2:15" x14ac:dyDescent="0.3">
      <c r="B11" s="18" t="s">
        <v>382</v>
      </c>
      <c r="C11" s="17">
        <v>0.33537191726379401</v>
      </c>
      <c r="D11" s="17">
        <v>0.28313385803257402</v>
      </c>
      <c r="E11" s="17">
        <v>0.37040388186498402</v>
      </c>
      <c r="F11" s="17"/>
      <c r="G11" s="17">
        <v>0.215934211733638</v>
      </c>
      <c r="H11" s="17">
        <v>0.36585992875668599</v>
      </c>
      <c r="I11" s="17">
        <v>0.35388497085659198</v>
      </c>
      <c r="J11" s="17">
        <v>0.40736233933383198</v>
      </c>
      <c r="K11" s="17"/>
      <c r="L11" s="17">
        <v>0.23743023066138999</v>
      </c>
      <c r="M11" s="17">
        <v>0.41788881200086397</v>
      </c>
      <c r="N11" s="17">
        <v>0.33915083304283999</v>
      </c>
      <c r="O11" s="17">
        <v>0.34042281685662301</v>
      </c>
    </row>
    <row r="12" spans="2:15" x14ac:dyDescent="0.3">
      <c r="B12" s="18" t="s">
        <v>383</v>
      </c>
      <c r="C12" s="17">
        <v>0.35565353153949902</v>
      </c>
      <c r="D12" s="17">
        <v>0.41514413952607099</v>
      </c>
      <c r="E12" s="17">
        <v>0.31691811382372898</v>
      </c>
      <c r="F12" s="17"/>
      <c r="G12" s="17">
        <v>0.479076457407351</v>
      </c>
      <c r="H12" s="17">
        <v>0.33264981520481801</v>
      </c>
      <c r="I12" s="17">
        <v>0.310924386944536</v>
      </c>
      <c r="J12" s="17">
        <v>0.29440492680062202</v>
      </c>
      <c r="K12" s="17"/>
      <c r="L12" s="17">
        <v>0.37524093334487402</v>
      </c>
      <c r="M12" s="17">
        <v>0.30814895308019102</v>
      </c>
      <c r="N12" s="17">
        <v>0.33838871208507998</v>
      </c>
      <c r="O12" s="17">
        <v>0.37808744791045301</v>
      </c>
    </row>
    <row r="13" spans="2:15" x14ac:dyDescent="0.3">
      <c r="B13" s="18" t="s">
        <v>142</v>
      </c>
      <c r="C13" s="21">
        <v>6.9772491946518703E-2</v>
      </c>
      <c r="D13" s="21">
        <v>5.6319592131491403E-2</v>
      </c>
      <c r="E13" s="21">
        <v>8.1512573111308106E-2</v>
      </c>
      <c r="F13" s="21"/>
      <c r="G13" s="21">
        <v>1.5446191095452999E-2</v>
      </c>
      <c r="H13" s="21">
        <v>0.14495354163924201</v>
      </c>
      <c r="I13" s="21">
        <v>5.5337051448569201E-2</v>
      </c>
      <c r="J13" s="21">
        <v>6.8215541191849596E-2</v>
      </c>
      <c r="K13" s="21"/>
      <c r="L13" s="21">
        <v>3.1986836828563597E-2</v>
      </c>
      <c r="M13" s="21">
        <v>9.3541449480637098E-2</v>
      </c>
      <c r="N13" s="21">
        <v>8.3471553349772895E-2</v>
      </c>
      <c r="O13" s="21">
        <v>6.6573620118871704E-2</v>
      </c>
    </row>
    <row r="14" spans="2:15" x14ac:dyDescent="0.3">
      <c r="B14" s="18" t="s">
        <v>384</v>
      </c>
      <c r="C14" s="21">
        <v>0.239202059250189</v>
      </c>
      <c r="D14" s="21">
        <v>0.24540241030986401</v>
      </c>
      <c r="E14" s="21">
        <v>0.23116543119997801</v>
      </c>
      <c r="F14" s="21"/>
      <c r="G14" s="21">
        <v>0.289543139763558</v>
      </c>
      <c r="H14" s="21">
        <v>0.15653671439925401</v>
      </c>
      <c r="I14" s="21">
        <v>0.27985359075030303</v>
      </c>
      <c r="J14" s="21">
        <v>0.230017192673697</v>
      </c>
      <c r="K14" s="21"/>
      <c r="L14" s="21">
        <v>0.35534199916517301</v>
      </c>
      <c r="M14" s="21">
        <v>0.180420785438307</v>
      </c>
      <c r="N14" s="21">
        <v>0.23898890152230701</v>
      </c>
      <c r="O14" s="21">
        <v>0.21491611511405301</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494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3.4631052235273303E-2</v>
      </c>
      <c r="D9" s="17">
        <v>5.0591570642039001E-2</v>
      </c>
      <c r="E9" s="17">
        <v>2.3032583020288301E-2</v>
      </c>
      <c r="F9" s="17"/>
      <c r="G9" s="17">
        <v>6.6915784895590302E-2</v>
      </c>
      <c r="H9" s="17">
        <v>2.2169578297469499E-2</v>
      </c>
      <c r="I9" s="17">
        <v>3.4761649325210003E-2</v>
      </c>
      <c r="J9" s="17">
        <v>1.4690337235971899E-2</v>
      </c>
      <c r="K9" s="17"/>
      <c r="L9" s="17">
        <v>6.32920078086293E-2</v>
      </c>
      <c r="M9" s="17">
        <v>2.0300578194313801E-2</v>
      </c>
      <c r="N9" s="17">
        <v>4.8440378175573499E-2</v>
      </c>
      <c r="O9" s="17">
        <v>1.9140610330121498E-2</v>
      </c>
    </row>
    <row r="10" spans="2:15" x14ac:dyDescent="0.3">
      <c r="B10" s="18" t="s">
        <v>381</v>
      </c>
      <c r="C10" s="17">
        <v>0.18176599065868601</v>
      </c>
      <c r="D10" s="17">
        <v>0.16936654118774899</v>
      </c>
      <c r="E10" s="17">
        <v>0.19491766068178401</v>
      </c>
      <c r="F10" s="17"/>
      <c r="G10" s="17">
        <v>0.14159395866779301</v>
      </c>
      <c r="H10" s="17">
        <v>0.15480175070382901</v>
      </c>
      <c r="I10" s="17">
        <v>0.26877255558027802</v>
      </c>
      <c r="J10" s="17">
        <v>0.17340598514549799</v>
      </c>
      <c r="K10" s="17"/>
      <c r="L10" s="17">
        <v>0.160080455748141</v>
      </c>
      <c r="M10" s="17">
        <v>9.7075111414888796E-2</v>
      </c>
      <c r="N10" s="17">
        <v>0.28444857698144699</v>
      </c>
      <c r="O10" s="17">
        <v>0.154184739877199</v>
      </c>
    </row>
    <row r="11" spans="2:15" x14ac:dyDescent="0.3">
      <c r="B11" s="18" t="s">
        <v>382</v>
      </c>
      <c r="C11" s="17">
        <v>0.41170620841903999</v>
      </c>
      <c r="D11" s="17">
        <v>0.38791162952698299</v>
      </c>
      <c r="E11" s="17">
        <v>0.43018168966995102</v>
      </c>
      <c r="F11" s="17"/>
      <c r="G11" s="17">
        <v>0.41069887026804403</v>
      </c>
      <c r="H11" s="17">
        <v>0.38560416025955502</v>
      </c>
      <c r="I11" s="17">
        <v>0.447981374593999</v>
      </c>
      <c r="J11" s="17">
        <v>0.40607633538944898</v>
      </c>
      <c r="K11" s="17"/>
      <c r="L11" s="17">
        <v>0.25126225268313002</v>
      </c>
      <c r="M11" s="17">
        <v>0.46812657442116501</v>
      </c>
      <c r="N11" s="17">
        <v>0.4206103721328</v>
      </c>
      <c r="O11" s="17">
        <v>0.44916644306799097</v>
      </c>
    </row>
    <row r="12" spans="2:15" x14ac:dyDescent="0.3">
      <c r="B12" s="18" t="s">
        <v>383</v>
      </c>
      <c r="C12" s="17">
        <v>0.33841661317563698</v>
      </c>
      <c r="D12" s="17">
        <v>0.37986188081397898</v>
      </c>
      <c r="E12" s="17">
        <v>0.30139563202734099</v>
      </c>
      <c r="F12" s="17"/>
      <c r="G12" s="17">
        <v>0.380791386168573</v>
      </c>
      <c r="H12" s="17">
        <v>0.32271035731571601</v>
      </c>
      <c r="I12" s="17">
        <v>0.220627942167821</v>
      </c>
      <c r="J12" s="17">
        <v>0.40582734222908101</v>
      </c>
      <c r="K12" s="17"/>
      <c r="L12" s="17">
        <v>0.49337844693153599</v>
      </c>
      <c r="M12" s="17">
        <v>0.31331946383444398</v>
      </c>
      <c r="N12" s="17">
        <v>0.24650067271018</v>
      </c>
      <c r="O12" s="17">
        <v>0.34731999344327202</v>
      </c>
    </row>
    <row r="13" spans="2:15" x14ac:dyDescent="0.3">
      <c r="B13" s="18" t="s">
        <v>142</v>
      </c>
      <c r="C13" s="21">
        <v>3.3480135511363203E-2</v>
      </c>
      <c r="D13" s="21">
        <v>1.2268377829250599E-2</v>
      </c>
      <c r="E13" s="21">
        <v>5.0472434600636003E-2</v>
      </c>
      <c r="F13" s="21"/>
      <c r="G13" s="21">
        <v>0</v>
      </c>
      <c r="H13" s="21">
        <v>0.114714153423431</v>
      </c>
      <c r="I13" s="21">
        <v>2.7856478332692201E-2</v>
      </c>
      <c r="J13" s="21">
        <v>0</v>
      </c>
      <c r="K13" s="21"/>
      <c r="L13" s="21">
        <v>3.1986836828563597E-2</v>
      </c>
      <c r="M13" s="21">
        <v>0.101178272135188</v>
      </c>
      <c r="N13" s="21">
        <v>0</v>
      </c>
      <c r="O13" s="21">
        <v>3.01882132814155E-2</v>
      </c>
    </row>
    <row r="14" spans="2:15" x14ac:dyDescent="0.3">
      <c r="B14" s="18" t="s">
        <v>384</v>
      </c>
      <c r="C14" s="21">
        <v>0.216397042893959</v>
      </c>
      <c r="D14" s="21">
        <v>0.219958111829788</v>
      </c>
      <c r="E14" s="21">
        <v>0.217950243702072</v>
      </c>
      <c r="F14" s="21"/>
      <c r="G14" s="21">
        <v>0.208509743563383</v>
      </c>
      <c r="H14" s="21">
        <v>0.176971329001299</v>
      </c>
      <c r="I14" s="21">
        <v>0.30353420490548799</v>
      </c>
      <c r="J14" s="21">
        <v>0.18809632238147</v>
      </c>
      <c r="K14" s="21"/>
      <c r="L14" s="21">
        <v>0.22337246355677001</v>
      </c>
      <c r="M14" s="21">
        <v>0.117375689609203</v>
      </c>
      <c r="N14" s="21">
        <v>0.33288895515702099</v>
      </c>
      <c r="O14" s="21">
        <v>0.17332535020732101</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495</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9.0478732617953195E-2</v>
      </c>
      <c r="D9" s="17">
        <v>3.23534264010992E-2</v>
      </c>
      <c r="E9" s="17">
        <v>0.137016608592924</v>
      </c>
      <c r="F9" s="17"/>
      <c r="G9" s="17">
        <v>9.9178032678750694E-2</v>
      </c>
      <c r="H9" s="17">
        <v>1.8931395014274498E-2</v>
      </c>
      <c r="I9" s="17">
        <v>9.4948949264903507E-2</v>
      </c>
      <c r="J9" s="17">
        <v>0.140001101854104</v>
      </c>
      <c r="K9" s="17"/>
      <c r="L9" s="17">
        <v>8.3755009039130496E-2</v>
      </c>
      <c r="M9" s="17">
        <v>0.14701206557927099</v>
      </c>
      <c r="N9" s="17">
        <v>8.3492814622471795E-2</v>
      </c>
      <c r="O9" s="17">
        <v>7.5709713587230498E-2</v>
      </c>
    </row>
    <row r="10" spans="2:15" x14ac:dyDescent="0.3">
      <c r="B10" s="18" t="s">
        <v>381</v>
      </c>
      <c r="C10" s="17">
        <v>0.205815709124613</v>
      </c>
      <c r="D10" s="17">
        <v>0.178652539473833</v>
      </c>
      <c r="E10" s="17">
        <v>0.230809113462323</v>
      </c>
      <c r="F10" s="17"/>
      <c r="G10" s="17">
        <v>0.18400285298533001</v>
      </c>
      <c r="H10" s="17">
        <v>0.18217206663581101</v>
      </c>
      <c r="I10" s="17">
        <v>0.31939804527281601</v>
      </c>
      <c r="J10" s="17">
        <v>0.156047797220115</v>
      </c>
      <c r="K10" s="17"/>
      <c r="L10" s="17">
        <v>0.21765633921210301</v>
      </c>
      <c r="M10" s="17">
        <v>0.28481184119612801</v>
      </c>
      <c r="N10" s="17">
        <v>0.32062456773288101</v>
      </c>
      <c r="O10" s="17">
        <v>9.1751296177195102E-2</v>
      </c>
    </row>
    <row r="11" spans="2:15" x14ac:dyDescent="0.3">
      <c r="B11" s="18" t="s">
        <v>382</v>
      </c>
      <c r="C11" s="17">
        <v>0.35503925327564401</v>
      </c>
      <c r="D11" s="17">
        <v>0.322830140281059</v>
      </c>
      <c r="E11" s="17">
        <v>0.367033312155081</v>
      </c>
      <c r="F11" s="17"/>
      <c r="G11" s="17">
        <v>0.29099791410599302</v>
      </c>
      <c r="H11" s="17">
        <v>0.32165706073746803</v>
      </c>
      <c r="I11" s="17">
        <v>0.296238517578158</v>
      </c>
      <c r="J11" s="17">
        <v>0.49110472922648202</v>
      </c>
      <c r="K11" s="17"/>
      <c r="L11" s="17">
        <v>0.27020711338260101</v>
      </c>
      <c r="M11" s="17">
        <v>0.23341476249984999</v>
      </c>
      <c r="N11" s="17">
        <v>0.353129658773151</v>
      </c>
      <c r="O11" s="17">
        <v>0.43902429418911199</v>
      </c>
    </row>
    <row r="12" spans="2:15" x14ac:dyDescent="0.3">
      <c r="B12" s="18" t="s">
        <v>383</v>
      </c>
      <c r="C12" s="17">
        <v>0.31553137713844998</v>
      </c>
      <c r="D12" s="17">
        <v>0.42351156041456101</v>
      </c>
      <c r="E12" s="17">
        <v>0.23867456829301101</v>
      </c>
      <c r="F12" s="17"/>
      <c r="G12" s="17">
        <v>0.39335182898609899</v>
      </c>
      <c r="H12" s="17">
        <v>0.40698596917550001</v>
      </c>
      <c r="I12" s="17">
        <v>0.289414487884123</v>
      </c>
      <c r="J12" s="17">
        <v>0.184447102046152</v>
      </c>
      <c r="K12" s="17"/>
      <c r="L12" s="17">
        <v>0.39639470153760098</v>
      </c>
      <c r="M12" s="17">
        <v>0.30091747919011902</v>
      </c>
      <c r="N12" s="17">
        <v>0.23054132595700899</v>
      </c>
      <c r="O12" s="17">
        <v>0.34595794005810299</v>
      </c>
    </row>
    <row r="13" spans="2:15" x14ac:dyDescent="0.3">
      <c r="B13" s="18" t="s">
        <v>142</v>
      </c>
      <c r="C13" s="21">
        <v>3.3134927843338997E-2</v>
      </c>
      <c r="D13" s="21">
        <v>4.26523334294482E-2</v>
      </c>
      <c r="E13" s="21">
        <v>2.6466397496660899E-2</v>
      </c>
      <c r="F13" s="21"/>
      <c r="G13" s="21">
        <v>3.2469371243827802E-2</v>
      </c>
      <c r="H13" s="21">
        <v>7.0253508436945694E-2</v>
      </c>
      <c r="I13" s="21">
        <v>0</v>
      </c>
      <c r="J13" s="21">
        <v>2.83992696531453E-2</v>
      </c>
      <c r="K13" s="21"/>
      <c r="L13" s="21">
        <v>3.1986836828563597E-2</v>
      </c>
      <c r="M13" s="21">
        <v>3.3843851534632999E-2</v>
      </c>
      <c r="N13" s="21">
        <v>1.2211632914487101E-2</v>
      </c>
      <c r="O13" s="21">
        <v>4.7556755988359498E-2</v>
      </c>
    </row>
    <row r="14" spans="2:15" x14ac:dyDescent="0.3">
      <c r="B14" s="18" t="s">
        <v>384</v>
      </c>
      <c r="C14" s="21">
        <v>0.29629444174256597</v>
      </c>
      <c r="D14" s="21">
        <v>0.21100596587493201</v>
      </c>
      <c r="E14" s="21">
        <v>0.367825722055247</v>
      </c>
      <c r="F14" s="21"/>
      <c r="G14" s="21">
        <v>0.28318088566408001</v>
      </c>
      <c r="H14" s="21">
        <v>0.201103461650086</v>
      </c>
      <c r="I14" s="21">
        <v>0.414346994537719</v>
      </c>
      <c r="J14" s="21">
        <v>0.29604889907422</v>
      </c>
      <c r="K14" s="21"/>
      <c r="L14" s="21">
        <v>0.301411348251234</v>
      </c>
      <c r="M14" s="21">
        <v>0.431823906775398</v>
      </c>
      <c r="N14" s="21">
        <v>0.40411738235535299</v>
      </c>
      <c r="O14" s="21">
        <v>0.16746100976442599</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496</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0.13580265303792599</v>
      </c>
      <c r="D9" s="17">
        <v>8.1311963394055303E-2</v>
      </c>
      <c r="E9" s="17">
        <v>0.180442203034992</v>
      </c>
      <c r="F9" s="17"/>
      <c r="G9" s="17">
        <v>0.14948391177977999</v>
      </c>
      <c r="H9" s="17">
        <v>0.12514868103052701</v>
      </c>
      <c r="I9" s="17">
        <v>0.11744056630669</v>
      </c>
      <c r="J9" s="17">
        <v>0.14665535927239001</v>
      </c>
      <c r="K9" s="17"/>
      <c r="L9" s="17">
        <v>0.13961849010764399</v>
      </c>
      <c r="M9" s="17">
        <v>0.15589773827070599</v>
      </c>
      <c r="N9" s="17">
        <v>0.18893505249605799</v>
      </c>
      <c r="O9" s="17">
        <v>9.0183694791574995E-2</v>
      </c>
    </row>
    <row r="10" spans="2:15" x14ac:dyDescent="0.3">
      <c r="B10" s="18" t="s">
        <v>381</v>
      </c>
      <c r="C10" s="17">
        <v>0.209146782647219</v>
      </c>
      <c r="D10" s="17">
        <v>0.24866514570408299</v>
      </c>
      <c r="E10" s="17">
        <v>0.17104371441837901</v>
      </c>
      <c r="F10" s="17"/>
      <c r="G10" s="17">
        <v>0.13778785137368699</v>
      </c>
      <c r="H10" s="17">
        <v>0.201073081039609</v>
      </c>
      <c r="I10" s="17">
        <v>0.30123630221893299</v>
      </c>
      <c r="J10" s="17">
        <v>0.210019662504877</v>
      </c>
      <c r="K10" s="17"/>
      <c r="L10" s="17">
        <v>0.23252461904134999</v>
      </c>
      <c r="M10" s="17">
        <v>0.170978348054204</v>
      </c>
      <c r="N10" s="17">
        <v>0.24913601986346801</v>
      </c>
      <c r="O10" s="17">
        <v>0.18740817741031601</v>
      </c>
    </row>
    <row r="11" spans="2:15" x14ac:dyDescent="0.3">
      <c r="B11" s="18" t="s">
        <v>382</v>
      </c>
      <c r="C11" s="17">
        <v>0.29999545836665897</v>
      </c>
      <c r="D11" s="17">
        <v>0.30804643788699099</v>
      </c>
      <c r="E11" s="17">
        <v>0.29174072992462302</v>
      </c>
      <c r="F11" s="17"/>
      <c r="G11" s="17">
        <v>0.28691617929464902</v>
      </c>
      <c r="H11" s="17">
        <v>0.22539055355442</v>
      </c>
      <c r="I11" s="17">
        <v>0.33489682626818001</v>
      </c>
      <c r="J11" s="17">
        <v>0.348436792931961</v>
      </c>
      <c r="K11" s="17"/>
      <c r="L11" s="17">
        <v>0.23744801254659501</v>
      </c>
      <c r="M11" s="17">
        <v>0.33949784914160902</v>
      </c>
      <c r="N11" s="17">
        <v>0.322982990479528</v>
      </c>
      <c r="O11" s="17">
        <v>0.29442675589162798</v>
      </c>
    </row>
    <row r="12" spans="2:15" x14ac:dyDescent="0.3">
      <c r="B12" s="18" t="s">
        <v>383</v>
      </c>
      <c r="C12" s="17">
        <v>0.30816078712863598</v>
      </c>
      <c r="D12" s="17">
        <v>0.331368818593058</v>
      </c>
      <c r="E12" s="17">
        <v>0.29641164092781103</v>
      </c>
      <c r="F12" s="17"/>
      <c r="G12" s="17">
        <v>0.40854172366422598</v>
      </c>
      <c r="H12" s="17">
        <v>0.33367353095201302</v>
      </c>
      <c r="I12" s="17">
        <v>0.214095483599195</v>
      </c>
      <c r="J12" s="17">
        <v>0.266488915637626</v>
      </c>
      <c r="K12" s="17"/>
      <c r="L12" s="17">
        <v>0.358422041475847</v>
      </c>
      <c r="M12" s="17">
        <v>0.271375189824275</v>
      </c>
      <c r="N12" s="17">
        <v>0.22238671295988799</v>
      </c>
      <c r="O12" s="17">
        <v>0.36039709921153001</v>
      </c>
    </row>
    <row r="13" spans="2:15" x14ac:dyDescent="0.3">
      <c r="B13" s="18" t="s">
        <v>142</v>
      </c>
      <c r="C13" s="21">
        <v>4.6894318819559903E-2</v>
      </c>
      <c r="D13" s="21">
        <v>3.0607634421812802E-2</v>
      </c>
      <c r="E13" s="21">
        <v>6.0361711694195901E-2</v>
      </c>
      <c r="F13" s="21"/>
      <c r="G13" s="21">
        <v>1.7270333887658001E-2</v>
      </c>
      <c r="H13" s="21">
        <v>0.114714153423431</v>
      </c>
      <c r="I13" s="21">
        <v>3.2330821607001202E-2</v>
      </c>
      <c r="J13" s="21">
        <v>2.83992696531453E-2</v>
      </c>
      <c r="K13" s="21"/>
      <c r="L13" s="21">
        <v>3.1986836828563597E-2</v>
      </c>
      <c r="M13" s="21">
        <v>6.22508747092064E-2</v>
      </c>
      <c r="N13" s="21">
        <v>1.6559224201058102E-2</v>
      </c>
      <c r="O13" s="21">
        <v>6.7584272694950806E-2</v>
      </c>
    </row>
    <row r="14" spans="2:15" x14ac:dyDescent="0.3">
      <c r="B14" s="18" t="s">
        <v>384</v>
      </c>
      <c r="C14" s="21">
        <v>0.34494943568514502</v>
      </c>
      <c r="D14" s="21">
        <v>0.32997710909813899</v>
      </c>
      <c r="E14" s="21">
        <v>0.35148591745336999</v>
      </c>
      <c r="F14" s="21"/>
      <c r="G14" s="21">
        <v>0.28727176315346598</v>
      </c>
      <c r="H14" s="21">
        <v>0.32622176207013598</v>
      </c>
      <c r="I14" s="21">
        <v>0.41867686852562302</v>
      </c>
      <c r="J14" s="21">
        <v>0.35667502177726801</v>
      </c>
      <c r="K14" s="21"/>
      <c r="L14" s="21">
        <v>0.37214310914899401</v>
      </c>
      <c r="M14" s="21">
        <v>0.32687608632491</v>
      </c>
      <c r="N14" s="21">
        <v>0.43807107235952603</v>
      </c>
      <c r="O14" s="21">
        <v>0.27759187220189102</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497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7.2252700716030099E-2</v>
      </c>
      <c r="D9" s="17">
        <v>8.8839336611983205E-2</v>
      </c>
      <c r="E9" s="17">
        <v>6.0918867709642999E-2</v>
      </c>
      <c r="F9" s="17"/>
      <c r="G9" s="17">
        <v>0.15322133726562701</v>
      </c>
      <c r="H9" s="17">
        <v>2.0727460664931901E-2</v>
      </c>
      <c r="I9" s="17">
        <v>6.2236470022663498E-2</v>
      </c>
      <c r="J9" s="17">
        <v>4.7869795190540597E-2</v>
      </c>
      <c r="K9" s="17"/>
      <c r="L9" s="17">
        <v>0.175260621826548</v>
      </c>
      <c r="M9" s="17">
        <v>0</v>
      </c>
      <c r="N9" s="17">
        <v>8.7013666223848193E-2</v>
      </c>
      <c r="O9" s="17">
        <v>4.8471717567861602E-2</v>
      </c>
    </row>
    <row r="10" spans="2:15" x14ac:dyDescent="0.3">
      <c r="B10" s="18" t="s">
        <v>381</v>
      </c>
      <c r="C10" s="17">
        <v>0.19905571975386999</v>
      </c>
      <c r="D10" s="17">
        <v>0.23646243522781701</v>
      </c>
      <c r="E10" s="17">
        <v>0.16237785117900799</v>
      </c>
      <c r="F10" s="17"/>
      <c r="G10" s="17">
        <v>0.120026855799633</v>
      </c>
      <c r="H10" s="17">
        <v>0.25827013341301902</v>
      </c>
      <c r="I10" s="17">
        <v>0.12762863134389901</v>
      </c>
      <c r="J10" s="17">
        <v>0.280013433570521</v>
      </c>
      <c r="K10" s="17"/>
      <c r="L10" s="17">
        <v>0.36209077884504498</v>
      </c>
      <c r="M10" s="17">
        <v>0.139331002421971</v>
      </c>
      <c r="N10" s="17">
        <v>0.156675597015042</v>
      </c>
      <c r="O10" s="17">
        <v>0.18460391234936899</v>
      </c>
    </row>
    <row r="11" spans="2:15" x14ac:dyDescent="0.3">
      <c r="B11" s="18" t="s">
        <v>382</v>
      </c>
      <c r="C11" s="17">
        <v>0.33189542875060002</v>
      </c>
      <c r="D11" s="17">
        <v>0.26068035422085001</v>
      </c>
      <c r="E11" s="17">
        <v>0.38528932406112398</v>
      </c>
      <c r="F11" s="17"/>
      <c r="G11" s="17">
        <v>0.24451327055906</v>
      </c>
      <c r="H11" s="17">
        <v>0.27088426947241301</v>
      </c>
      <c r="I11" s="17">
        <v>0.48612672781267602</v>
      </c>
      <c r="J11" s="17">
        <v>0.343684574528623</v>
      </c>
      <c r="K11" s="17"/>
      <c r="L11" s="17">
        <v>0.204350830160236</v>
      </c>
      <c r="M11" s="17">
        <v>0.36991682429060302</v>
      </c>
      <c r="N11" s="17">
        <v>0.34724892090167803</v>
      </c>
      <c r="O11" s="17">
        <v>0.35873729064734</v>
      </c>
    </row>
    <row r="12" spans="2:15" x14ac:dyDescent="0.3">
      <c r="B12" s="18" t="s">
        <v>383</v>
      </c>
      <c r="C12" s="17">
        <v>0.29154468781715598</v>
      </c>
      <c r="D12" s="17">
        <v>0.33650489420677898</v>
      </c>
      <c r="E12" s="17">
        <v>0.262721916275381</v>
      </c>
      <c r="F12" s="17"/>
      <c r="G12" s="17">
        <v>0.40268657701569699</v>
      </c>
      <c r="H12" s="17">
        <v>0.30441215145884998</v>
      </c>
      <c r="I12" s="17">
        <v>0.236340297765191</v>
      </c>
      <c r="J12" s="17">
        <v>0.21952424634825901</v>
      </c>
      <c r="K12" s="17"/>
      <c r="L12" s="17">
        <v>0.226310932339608</v>
      </c>
      <c r="M12" s="17">
        <v>0.417980924326812</v>
      </c>
      <c r="N12" s="17">
        <v>0.25613714855501601</v>
      </c>
      <c r="O12" s="17">
        <v>0.29253910068900102</v>
      </c>
    </row>
    <row r="13" spans="2:15" x14ac:dyDescent="0.3">
      <c r="B13" s="18" t="s">
        <v>142</v>
      </c>
      <c r="C13" s="21">
        <v>0.105251462962344</v>
      </c>
      <c r="D13" s="21">
        <v>7.7512979732571305E-2</v>
      </c>
      <c r="E13" s="21">
        <v>0.128692040774844</v>
      </c>
      <c r="F13" s="21"/>
      <c r="G13" s="21">
        <v>7.9551959359983895E-2</v>
      </c>
      <c r="H13" s="21">
        <v>0.14570598499078699</v>
      </c>
      <c r="I13" s="21">
        <v>8.7667873055570403E-2</v>
      </c>
      <c r="J13" s="21">
        <v>0.108907950362056</v>
      </c>
      <c r="K13" s="21"/>
      <c r="L13" s="21">
        <v>3.1986836828563597E-2</v>
      </c>
      <c r="M13" s="21">
        <v>7.2771248960614904E-2</v>
      </c>
      <c r="N13" s="21">
        <v>0.15292466730441501</v>
      </c>
      <c r="O13" s="21">
        <v>0.115647978746428</v>
      </c>
    </row>
    <row r="14" spans="2:15" x14ac:dyDescent="0.3">
      <c r="B14" s="18" t="s">
        <v>384</v>
      </c>
      <c r="C14" s="21">
        <v>0.2713084204699</v>
      </c>
      <c r="D14" s="21">
        <v>0.32530177183980002</v>
      </c>
      <c r="E14" s="21">
        <v>0.22329671888865099</v>
      </c>
      <c r="F14" s="21"/>
      <c r="G14" s="21">
        <v>0.27324819306525999</v>
      </c>
      <c r="H14" s="21">
        <v>0.27899759407795099</v>
      </c>
      <c r="I14" s="21">
        <v>0.18986510136656201</v>
      </c>
      <c r="J14" s="21">
        <v>0.32788322876106202</v>
      </c>
      <c r="K14" s="21"/>
      <c r="L14" s="21">
        <v>0.53735140067159304</v>
      </c>
      <c r="M14" s="21">
        <v>0.139331002421971</v>
      </c>
      <c r="N14" s="21">
        <v>0.24368926323889101</v>
      </c>
      <c r="O14" s="21">
        <v>0.23307562991723099</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498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6.23079001877542E-2</v>
      </c>
      <c r="D9" s="17">
        <v>8.4342738208869797E-2</v>
      </c>
      <c r="E9" s="17">
        <v>4.6582924531696997E-2</v>
      </c>
      <c r="F9" s="17"/>
      <c r="G9" s="17">
        <v>8.8124777514339198E-2</v>
      </c>
      <c r="H9" s="17">
        <v>3.86623101670747E-2</v>
      </c>
      <c r="I9" s="17">
        <v>0.116787647544326</v>
      </c>
      <c r="J9" s="17">
        <v>1.4690337235971899E-2</v>
      </c>
      <c r="K9" s="17"/>
      <c r="L9" s="17">
        <v>7.1991454473747399E-2</v>
      </c>
      <c r="M9" s="17">
        <v>8.0830913075806296E-2</v>
      </c>
      <c r="N9" s="17">
        <v>7.5677929571224198E-2</v>
      </c>
      <c r="O9" s="17">
        <v>4.1947715289298103E-2</v>
      </c>
    </row>
    <row r="10" spans="2:15" x14ac:dyDescent="0.3">
      <c r="B10" s="18" t="s">
        <v>381</v>
      </c>
      <c r="C10" s="17">
        <v>0.13621632250484</v>
      </c>
      <c r="D10" s="17">
        <v>0.16167920570907199</v>
      </c>
      <c r="E10" s="17">
        <v>0.119319284486208</v>
      </c>
      <c r="F10" s="17"/>
      <c r="G10" s="17">
        <v>9.2669961265624295E-2</v>
      </c>
      <c r="H10" s="17">
        <v>9.9704427715572794E-2</v>
      </c>
      <c r="I10" s="17">
        <v>0.176256626756843</v>
      </c>
      <c r="J10" s="17">
        <v>0.17670995249603699</v>
      </c>
      <c r="K10" s="17"/>
      <c r="L10" s="17">
        <v>0.160503285654269</v>
      </c>
      <c r="M10" s="17">
        <v>3.4476911487295703E-2</v>
      </c>
      <c r="N10" s="17">
        <v>0.20412313616556099</v>
      </c>
      <c r="O10" s="17">
        <v>0.120166109168725</v>
      </c>
    </row>
    <row r="11" spans="2:15" x14ac:dyDescent="0.3">
      <c r="B11" s="18" t="s">
        <v>382</v>
      </c>
      <c r="C11" s="17">
        <v>0.20992268506907499</v>
      </c>
      <c r="D11" s="17">
        <v>0.19011288568793699</v>
      </c>
      <c r="E11" s="17">
        <v>0.22933728562553499</v>
      </c>
      <c r="F11" s="17"/>
      <c r="G11" s="17">
        <v>0.18188462575894099</v>
      </c>
      <c r="H11" s="17">
        <v>0.196936344242061</v>
      </c>
      <c r="I11" s="17">
        <v>0.19320235315805401</v>
      </c>
      <c r="J11" s="17">
        <v>0.26089673384974899</v>
      </c>
      <c r="K11" s="17"/>
      <c r="L11" s="17">
        <v>0.11465772849129501</v>
      </c>
      <c r="M11" s="17">
        <v>0.19011169720278001</v>
      </c>
      <c r="N11" s="17">
        <v>0.144749681020161</v>
      </c>
      <c r="O11" s="17">
        <v>0.30109338308487499</v>
      </c>
    </row>
    <row r="12" spans="2:15" x14ac:dyDescent="0.3">
      <c r="B12" s="18" t="s">
        <v>383</v>
      </c>
      <c r="C12" s="17">
        <v>0.53484866957951005</v>
      </c>
      <c r="D12" s="17">
        <v>0.52438040573065403</v>
      </c>
      <c r="E12" s="17">
        <v>0.53367584754748798</v>
      </c>
      <c r="F12" s="17"/>
      <c r="G12" s="17">
        <v>0.61004082327388898</v>
      </c>
      <c r="H12" s="17">
        <v>0.57253744461912504</v>
      </c>
      <c r="I12" s="17">
        <v>0.45804041587539301</v>
      </c>
      <c r="J12" s="17">
        <v>0.49277850622881297</v>
      </c>
      <c r="K12" s="17"/>
      <c r="L12" s="17">
        <v>0.620860694552125</v>
      </c>
      <c r="M12" s="17">
        <v>0.58831866020758095</v>
      </c>
      <c r="N12" s="17">
        <v>0.52238497372535198</v>
      </c>
      <c r="O12" s="17">
        <v>0.48701065717637099</v>
      </c>
    </row>
    <row r="13" spans="2:15" x14ac:dyDescent="0.3">
      <c r="B13" s="18" t="s">
        <v>142</v>
      </c>
      <c r="C13" s="21">
        <v>5.6704422658820398E-2</v>
      </c>
      <c r="D13" s="21">
        <v>3.9484764663466898E-2</v>
      </c>
      <c r="E13" s="21">
        <v>7.1084657809072402E-2</v>
      </c>
      <c r="F13" s="21"/>
      <c r="G13" s="21">
        <v>2.7279812187206799E-2</v>
      </c>
      <c r="H13" s="21">
        <v>9.2159473256165803E-2</v>
      </c>
      <c r="I13" s="21">
        <v>5.5712956665384498E-2</v>
      </c>
      <c r="J13" s="21">
        <v>5.4924470189428302E-2</v>
      </c>
      <c r="K13" s="21"/>
      <c r="L13" s="21">
        <v>3.1986836828563597E-2</v>
      </c>
      <c r="M13" s="21">
        <v>0.106261818026537</v>
      </c>
      <c r="N13" s="21">
        <v>5.3064279517702297E-2</v>
      </c>
      <c r="O13" s="21">
        <v>4.9782135280731797E-2</v>
      </c>
    </row>
    <row r="14" spans="2:15" x14ac:dyDescent="0.3">
      <c r="B14" s="18" t="s">
        <v>384</v>
      </c>
      <c r="C14" s="21">
        <v>0.19852422269259501</v>
      </c>
      <c r="D14" s="21">
        <v>0.24602194391794199</v>
      </c>
      <c r="E14" s="21">
        <v>0.16590220901790501</v>
      </c>
      <c r="F14" s="21"/>
      <c r="G14" s="21">
        <v>0.18079473877996299</v>
      </c>
      <c r="H14" s="21">
        <v>0.138366737882647</v>
      </c>
      <c r="I14" s="21">
        <v>0.29304427430116903</v>
      </c>
      <c r="J14" s="21">
        <v>0.19140028973200901</v>
      </c>
      <c r="K14" s="21"/>
      <c r="L14" s="21">
        <v>0.23249474012801599</v>
      </c>
      <c r="M14" s="21">
        <v>0.115307824563102</v>
      </c>
      <c r="N14" s="21">
        <v>0.27980106573678498</v>
      </c>
      <c r="O14" s="21">
        <v>0.162113824458023</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499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6.2517364489769994E-2</v>
      </c>
      <c r="D9" s="17">
        <v>5.5593580242258599E-2</v>
      </c>
      <c r="E9" s="17">
        <v>5.7253617203869997E-2</v>
      </c>
      <c r="F9" s="17"/>
      <c r="G9" s="17">
        <v>9.03916228209313E-2</v>
      </c>
      <c r="H9" s="17">
        <v>2.6189763721587E-2</v>
      </c>
      <c r="I9" s="17">
        <v>5.70352859305766E-2</v>
      </c>
      <c r="J9" s="17">
        <v>7.1676776381256205E-2</v>
      </c>
      <c r="K9" s="17"/>
      <c r="L9" s="17">
        <v>0.125057452807567</v>
      </c>
      <c r="M9" s="17">
        <v>2.0300578194313801E-2</v>
      </c>
      <c r="N9" s="17">
        <v>9.0304038798076094E-2</v>
      </c>
      <c r="O9" s="17">
        <v>3.4625244110545003E-2</v>
      </c>
    </row>
    <row r="10" spans="2:15" x14ac:dyDescent="0.3">
      <c r="B10" s="18" t="s">
        <v>381</v>
      </c>
      <c r="C10" s="17">
        <v>0.187410793584847</v>
      </c>
      <c r="D10" s="17">
        <v>0.203614396909994</v>
      </c>
      <c r="E10" s="17">
        <v>0.178657092522163</v>
      </c>
      <c r="F10" s="17"/>
      <c r="G10" s="17">
        <v>0.153939233703967</v>
      </c>
      <c r="H10" s="17">
        <v>0.100608043837177</v>
      </c>
      <c r="I10" s="17">
        <v>0.33747123044885202</v>
      </c>
      <c r="J10" s="17">
        <v>0.17367468412659101</v>
      </c>
      <c r="K10" s="17"/>
      <c r="L10" s="17">
        <v>6.39610733897958E-2</v>
      </c>
      <c r="M10" s="17">
        <v>0.24152684852408099</v>
      </c>
      <c r="N10" s="17">
        <v>0.20251507835511701</v>
      </c>
      <c r="O10" s="17">
        <v>0.206402398637059</v>
      </c>
    </row>
    <row r="11" spans="2:15" x14ac:dyDescent="0.3">
      <c r="B11" s="18" t="s">
        <v>382</v>
      </c>
      <c r="C11" s="17">
        <v>0.37233247817436599</v>
      </c>
      <c r="D11" s="17">
        <v>0.39449399276354502</v>
      </c>
      <c r="E11" s="17">
        <v>0.35465158518691198</v>
      </c>
      <c r="F11" s="17"/>
      <c r="G11" s="17">
        <v>0.363791274294268</v>
      </c>
      <c r="H11" s="17">
        <v>0.44223905040163802</v>
      </c>
      <c r="I11" s="17">
        <v>0.27116550444452597</v>
      </c>
      <c r="J11" s="17">
        <v>0.40123754994695598</v>
      </c>
      <c r="K11" s="17"/>
      <c r="L11" s="17">
        <v>0.27431892989575701</v>
      </c>
      <c r="M11" s="17">
        <v>0.30331213281645703</v>
      </c>
      <c r="N11" s="17">
        <v>0.41926830246567698</v>
      </c>
      <c r="O11" s="17">
        <v>0.40777004410029</v>
      </c>
    </row>
    <row r="12" spans="2:15" x14ac:dyDescent="0.3">
      <c r="B12" s="18" t="s">
        <v>383</v>
      </c>
      <c r="C12" s="17">
        <v>0.29836486571616699</v>
      </c>
      <c r="D12" s="17">
        <v>0.296844449274419</v>
      </c>
      <c r="E12" s="17">
        <v>0.30545620944174501</v>
      </c>
      <c r="F12" s="17"/>
      <c r="G12" s="17">
        <v>0.37914182700965399</v>
      </c>
      <c r="H12" s="17">
        <v>0.28784889684251003</v>
      </c>
      <c r="I12" s="17">
        <v>0.27414067923635099</v>
      </c>
      <c r="J12" s="17">
        <v>0.25035921114571003</v>
      </c>
      <c r="K12" s="17"/>
      <c r="L12" s="17">
        <v>0.45553944632878401</v>
      </c>
      <c r="M12" s="17">
        <v>0.30051213042564001</v>
      </c>
      <c r="N12" s="17">
        <v>0.24879322804263701</v>
      </c>
      <c r="O12" s="17">
        <v>0.26682655561901503</v>
      </c>
    </row>
    <row r="13" spans="2:15" x14ac:dyDescent="0.3">
      <c r="B13" s="18" t="s">
        <v>142</v>
      </c>
      <c r="C13" s="21">
        <v>7.9374498034849403E-2</v>
      </c>
      <c r="D13" s="21">
        <v>4.9453580809782502E-2</v>
      </c>
      <c r="E13" s="21">
        <v>0.10398149564530899</v>
      </c>
      <c r="F13" s="21"/>
      <c r="G13" s="21">
        <v>1.27360421711803E-2</v>
      </c>
      <c r="H13" s="21">
        <v>0.14311424519708801</v>
      </c>
      <c r="I13" s="21">
        <v>6.0187299939693503E-2</v>
      </c>
      <c r="J13" s="21">
        <v>0.103051778399487</v>
      </c>
      <c r="K13" s="21"/>
      <c r="L13" s="21">
        <v>8.1123097578096603E-2</v>
      </c>
      <c r="M13" s="21">
        <v>0.13434831003950801</v>
      </c>
      <c r="N13" s="21">
        <v>3.9119352338493701E-2</v>
      </c>
      <c r="O13" s="21">
        <v>8.4375757533090706E-2</v>
      </c>
    </row>
    <row r="14" spans="2:15" x14ac:dyDescent="0.3">
      <c r="B14" s="18" t="s">
        <v>384</v>
      </c>
      <c r="C14" s="21">
        <v>0.24992815807461799</v>
      </c>
      <c r="D14" s="21">
        <v>0.25920797715225302</v>
      </c>
      <c r="E14" s="21">
        <v>0.23591070972603301</v>
      </c>
      <c r="F14" s="21"/>
      <c r="G14" s="21">
        <v>0.244330856524898</v>
      </c>
      <c r="H14" s="21">
        <v>0.12679780755876399</v>
      </c>
      <c r="I14" s="21">
        <v>0.39450651637942902</v>
      </c>
      <c r="J14" s="21">
        <v>0.24535146050784701</v>
      </c>
      <c r="K14" s="21"/>
      <c r="L14" s="21">
        <v>0.18901852619736201</v>
      </c>
      <c r="M14" s="21">
        <v>0.26182742671839498</v>
      </c>
      <c r="N14" s="21">
        <v>0.29281911715319298</v>
      </c>
      <c r="O14" s="21">
        <v>0.24102764274760399</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O19"/>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500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171</v>
      </c>
      <c r="D7" s="10">
        <v>77</v>
      </c>
      <c r="E7" s="10">
        <v>92</v>
      </c>
      <c r="F7" s="10"/>
      <c r="G7" s="10">
        <v>57</v>
      </c>
      <c r="H7" s="10">
        <v>42</v>
      </c>
      <c r="I7" s="10">
        <v>33</v>
      </c>
      <c r="J7" s="10">
        <v>39</v>
      </c>
      <c r="K7" s="10"/>
      <c r="L7" s="10">
        <v>25</v>
      </c>
      <c r="M7" s="10">
        <v>31</v>
      </c>
      <c r="N7" s="10">
        <v>54</v>
      </c>
      <c r="O7" s="10">
        <v>61</v>
      </c>
    </row>
    <row r="8" spans="2:15" ht="30" customHeight="1" x14ac:dyDescent="0.3">
      <c r="B8" s="11" t="s">
        <v>19</v>
      </c>
      <c r="C8" s="11">
        <v>180</v>
      </c>
      <c r="D8" s="11">
        <v>77</v>
      </c>
      <c r="E8" s="11">
        <v>100</v>
      </c>
      <c r="F8" s="11"/>
      <c r="G8" s="11">
        <v>47</v>
      </c>
      <c r="H8" s="11">
        <v>43</v>
      </c>
      <c r="I8" s="11">
        <v>40</v>
      </c>
      <c r="J8" s="11">
        <v>50</v>
      </c>
      <c r="K8" s="11"/>
      <c r="L8" s="11">
        <v>30</v>
      </c>
      <c r="M8" s="11">
        <v>29</v>
      </c>
      <c r="N8" s="11">
        <v>49</v>
      </c>
      <c r="O8" s="11">
        <v>72</v>
      </c>
    </row>
    <row r="9" spans="2:15" x14ac:dyDescent="0.3">
      <c r="B9" s="18" t="s">
        <v>380</v>
      </c>
      <c r="C9" s="17">
        <v>5.4661724088062601E-2</v>
      </c>
      <c r="D9" s="17">
        <v>6.4363413469575095E-2</v>
      </c>
      <c r="E9" s="17">
        <v>4.8278535162401999E-2</v>
      </c>
      <c r="F9" s="17"/>
      <c r="G9" s="17">
        <v>7.7824068621872494E-2</v>
      </c>
      <c r="H9" s="17">
        <v>0</v>
      </c>
      <c r="I9" s="17">
        <v>9.4434336465122004E-2</v>
      </c>
      <c r="J9" s="17">
        <v>4.7869795190540597E-2</v>
      </c>
      <c r="K9" s="17"/>
      <c r="L9" s="17">
        <v>0.108657626254202</v>
      </c>
      <c r="M9" s="17">
        <v>2.0300578194313801E-2</v>
      </c>
      <c r="N9" s="17">
        <v>4.6015320716306402E-2</v>
      </c>
      <c r="O9" s="17">
        <v>5.1955002787320202E-2</v>
      </c>
    </row>
    <row r="10" spans="2:15" x14ac:dyDescent="0.3">
      <c r="B10" s="18" t="s">
        <v>381</v>
      </c>
      <c r="C10" s="17">
        <v>0.13703934199787801</v>
      </c>
      <c r="D10" s="17">
        <v>0.18352898664037101</v>
      </c>
      <c r="E10" s="17">
        <v>9.2139124962273694E-2</v>
      </c>
      <c r="F10" s="17"/>
      <c r="G10" s="17">
        <v>0.122131055584389</v>
      </c>
      <c r="H10" s="17">
        <v>0.11835162579056201</v>
      </c>
      <c r="I10" s="17">
        <v>0.172355395135324</v>
      </c>
      <c r="J10" s="17">
        <v>0.13896029709740901</v>
      </c>
      <c r="K10" s="17"/>
      <c r="L10" s="17">
        <v>0.109785592254304</v>
      </c>
      <c r="M10" s="17">
        <v>2.0300578194313801E-2</v>
      </c>
      <c r="N10" s="17">
        <v>0.231911367775749</v>
      </c>
      <c r="O10" s="17">
        <v>0.12967984495041199</v>
      </c>
    </row>
    <row r="11" spans="2:15" x14ac:dyDescent="0.3">
      <c r="B11" s="18" t="s">
        <v>382</v>
      </c>
      <c r="C11" s="17">
        <v>0.38442650110383197</v>
      </c>
      <c r="D11" s="17">
        <v>0.34659429291317401</v>
      </c>
      <c r="E11" s="17">
        <v>0.41316618084072998</v>
      </c>
      <c r="F11" s="17"/>
      <c r="G11" s="17">
        <v>0.31820128993929703</v>
      </c>
      <c r="H11" s="17">
        <v>0.37429528077866098</v>
      </c>
      <c r="I11" s="17">
        <v>0.49140462688843201</v>
      </c>
      <c r="J11" s="17">
        <v>0.37032805199394903</v>
      </c>
      <c r="K11" s="17"/>
      <c r="L11" s="17">
        <v>0.26860425989594799</v>
      </c>
      <c r="M11" s="17">
        <v>0.44794611527881101</v>
      </c>
      <c r="N11" s="17">
        <v>0.35015842258028101</v>
      </c>
      <c r="O11" s="17">
        <v>0.43016716435605401</v>
      </c>
    </row>
    <row r="12" spans="2:15" x14ac:dyDescent="0.3">
      <c r="B12" s="18" t="s">
        <v>383</v>
      </c>
      <c r="C12" s="17">
        <v>0.36600782313101998</v>
      </c>
      <c r="D12" s="17">
        <v>0.35252565746514902</v>
      </c>
      <c r="E12" s="17">
        <v>0.38364916468482102</v>
      </c>
      <c r="F12" s="17"/>
      <c r="G12" s="17">
        <v>0.45567598425057199</v>
      </c>
      <c r="H12" s="17">
        <v>0.392638940007346</v>
      </c>
      <c r="I12" s="17">
        <v>0.21394916317843099</v>
      </c>
      <c r="J12" s="17">
        <v>0.37978599678762298</v>
      </c>
      <c r="K12" s="17"/>
      <c r="L12" s="17">
        <v>0.48096568476698198</v>
      </c>
      <c r="M12" s="17">
        <v>0.34959051582999601</v>
      </c>
      <c r="N12" s="17">
        <v>0.34682474390897899</v>
      </c>
      <c r="O12" s="17">
        <v>0.33841585262548202</v>
      </c>
    </row>
    <row r="13" spans="2:15" x14ac:dyDescent="0.3">
      <c r="B13" s="18" t="s">
        <v>142</v>
      </c>
      <c r="C13" s="21">
        <v>5.7864609679207403E-2</v>
      </c>
      <c r="D13" s="21">
        <v>5.2987649511731003E-2</v>
      </c>
      <c r="E13" s="21">
        <v>6.2766994349773605E-2</v>
      </c>
      <c r="F13" s="21"/>
      <c r="G13" s="21">
        <v>2.6167601603869599E-2</v>
      </c>
      <c r="H13" s="21">
        <v>0.114714153423431</v>
      </c>
      <c r="I13" s="21">
        <v>2.7856478332692201E-2</v>
      </c>
      <c r="J13" s="21">
        <v>6.3055858930478006E-2</v>
      </c>
      <c r="K13" s="21"/>
      <c r="L13" s="21">
        <v>3.1986836828563597E-2</v>
      </c>
      <c r="M13" s="21">
        <v>0.16186221250256599</v>
      </c>
      <c r="N13" s="21">
        <v>2.5090145018684801E-2</v>
      </c>
      <c r="O13" s="21">
        <v>4.9782135280731797E-2</v>
      </c>
    </row>
    <row r="14" spans="2:15" x14ac:dyDescent="0.3">
      <c r="B14" s="18" t="s">
        <v>384</v>
      </c>
      <c r="C14" s="21">
        <v>0.19170106608594101</v>
      </c>
      <c r="D14" s="21">
        <v>0.24789240010994601</v>
      </c>
      <c r="E14" s="21">
        <v>0.14041766012467599</v>
      </c>
      <c r="F14" s="21"/>
      <c r="G14" s="21">
        <v>0.19995512420626199</v>
      </c>
      <c r="H14" s="21">
        <v>0.11835162579056201</v>
      </c>
      <c r="I14" s="21">
        <v>0.266789731600446</v>
      </c>
      <c r="J14" s="21">
        <v>0.18683009228795</v>
      </c>
      <c r="K14" s="21"/>
      <c r="L14" s="21">
        <v>0.21844321850850701</v>
      </c>
      <c r="M14" s="21">
        <v>4.0601156388627498E-2</v>
      </c>
      <c r="N14" s="21">
        <v>0.27792668849205499</v>
      </c>
      <c r="O14" s="21">
        <v>0.181634847737732</v>
      </c>
    </row>
    <row r="15" spans="2:15" x14ac:dyDescent="0.3">
      <c r="B15" s="16" t="s">
        <v>474</v>
      </c>
    </row>
    <row r="16" spans="2:15" x14ac:dyDescent="0.3">
      <c r="B16" t="s">
        <v>47</v>
      </c>
    </row>
    <row r="17" spans="2:2" x14ac:dyDescent="0.3">
      <c r="B17" t="s">
        <v>48</v>
      </c>
    </row>
    <row r="19" spans="2:2" x14ac:dyDescent="0.3">
      <c r="B19"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G21"/>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7" width="20.6640625" customWidth="1"/>
  </cols>
  <sheetData>
    <row r="2" spans="2:7" ht="40.049999999999997" customHeight="1" x14ac:dyDescent="0.3">
      <c r="D2" s="30" t="s">
        <v>505</v>
      </c>
      <c r="E2" s="26"/>
      <c r="F2" s="26"/>
      <c r="G2" s="26"/>
    </row>
    <row r="6" spans="2:7" ht="49.95" customHeight="1" x14ac:dyDescent="0.3">
      <c r="B6" s="20" t="s">
        <v>14</v>
      </c>
      <c r="C6" s="20" t="s">
        <v>501</v>
      </c>
      <c r="D6" s="20" t="s">
        <v>502</v>
      </c>
      <c r="E6" s="20" t="s">
        <v>503</v>
      </c>
      <c r="F6" s="20" t="s">
        <v>504</v>
      </c>
    </row>
    <row r="7" spans="2:7" x14ac:dyDescent="0.3">
      <c r="B7" s="18" t="s">
        <v>137</v>
      </c>
      <c r="C7" s="17">
        <v>0.227551533675447</v>
      </c>
      <c r="D7" s="17">
        <v>0.161383922289698</v>
      </c>
      <c r="E7" s="17">
        <v>0.182567184355694</v>
      </c>
      <c r="F7" s="17">
        <v>0.15835120947326101</v>
      </c>
    </row>
    <row r="8" spans="2:7" x14ac:dyDescent="0.3">
      <c r="B8" s="18" t="s">
        <v>138</v>
      </c>
      <c r="C8" s="17">
        <v>0.58871400429600995</v>
      </c>
      <c r="D8" s="17">
        <v>0.48738856853655499</v>
      </c>
      <c r="E8" s="17">
        <v>0.50620813752802496</v>
      </c>
      <c r="F8" s="17">
        <v>0.50382563476011999</v>
      </c>
    </row>
    <row r="9" spans="2:7" x14ac:dyDescent="0.3">
      <c r="B9" s="18" t="s">
        <v>139</v>
      </c>
      <c r="C9" s="17">
        <v>0.108253193047397</v>
      </c>
      <c r="D9" s="17">
        <v>0.19934357003789899</v>
      </c>
      <c r="E9" s="17">
        <v>0.15965181514698601</v>
      </c>
      <c r="F9" s="17">
        <v>0.16882978875308099</v>
      </c>
    </row>
    <row r="10" spans="2:7" x14ac:dyDescent="0.3">
      <c r="B10" s="18" t="s">
        <v>140</v>
      </c>
      <c r="C10" s="17">
        <v>5.0104915235341399E-2</v>
      </c>
      <c r="D10" s="17">
        <v>8.5249943150865398E-2</v>
      </c>
      <c r="E10" s="17">
        <v>8.0869848472239797E-2</v>
      </c>
      <c r="F10" s="17">
        <v>9.7223082617804005E-2</v>
      </c>
    </row>
    <row r="11" spans="2:7" x14ac:dyDescent="0.3">
      <c r="B11" s="18" t="s">
        <v>141</v>
      </c>
      <c r="C11" s="17">
        <v>1.3480094318184799E-2</v>
      </c>
      <c r="D11" s="17">
        <v>1.5777436778742299E-2</v>
      </c>
      <c r="E11" s="17">
        <v>2.2005648282985599E-2</v>
      </c>
      <c r="F11" s="17">
        <v>3.5608618118695402E-2</v>
      </c>
    </row>
    <row r="12" spans="2:7" x14ac:dyDescent="0.3">
      <c r="B12" s="18" t="s">
        <v>142</v>
      </c>
      <c r="C12" s="17">
        <v>1.18962594276201E-2</v>
      </c>
      <c r="D12" s="17">
        <v>5.0856559206240499E-2</v>
      </c>
      <c r="E12" s="17">
        <v>4.8697366214068803E-2</v>
      </c>
      <c r="F12" s="17">
        <v>3.6161666277038498E-2</v>
      </c>
    </row>
    <row r="13" spans="2:7" x14ac:dyDescent="0.3">
      <c r="B13" s="22" t="s">
        <v>143</v>
      </c>
      <c r="C13" s="21">
        <v>0.81626553797145696</v>
      </c>
      <c r="D13" s="21">
        <v>0.64877249082625299</v>
      </c>
      <c r="E13" s="21">
        <v>0.68877532188372004</v>
      </c>
      <c r="F13" s="21">
        <v>0.66217684423338097</v>
      </c>
    </row>
    <row r="14" spans="2:7" x14ac:dyDescent="0.3">
      <c r="B14" s="22" t="s">
        <v>144</v>
      </c>
      <c r="C14" s="21">
        <v>6.3585009553526195E-2</v>
      </c>
      <c r="D14" s="21">
        <v>0.101027379929608</v>
      </c>
      <c r="E14" s="21">
        <v>0.102875496755225</v>
      </c>
      <c r="F14" s="21">
        <v>0.132831700736499</v>
      </c>
    </row>
    <row r="15" spans="2:7" x14ac:dyDescent="0.3">
      <c r="B15" s="16"/>
      <c r="C15" s="16"/>
      <c r="D15" s="16"/>
      <c r="E15" s="16"/>
      <c r="F15" s="16"/>
    </row>
    <row r="16" spans="2:7" x14ac:dyDescent="0.3">
      <c r="B16" t="s">
        <v>47</v>
      </c>
    </row>
    <row r="17" spans="2:2" x14ac:dyDescent="0.3">
      <c r="B17" t="s">
        <v>48</v>
      </c>
    </row>
    <row r="21" spans="2:2" x14ac:dyDescent="0.3">
      <c r="B21"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506</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0.15835120947326101</v>
      </c>
      <c r="D9" s="17">
        <v>0.15890219261845701</v>
      </c>
      <c r="E9" s="17">
        <v>0.15895480230202899</v>
      </c>
      <c r="F9" s="17"/>
      <c r="G9" s="17">
        <v>0.23596878862869999</v>
      </c>
      <c r="H9" s="17">
        <v>0.10075442996471499</v>
      </c>
      <c r="I9" s="17">
        <v>0.16967035096928201</v>
      </c>
      <c r="J9" s="17">
        <v>0.113624053800306</v>
      </c>
      <c r="K9" s="17"/>
      <c r="L9" s="17">
        <v>0.15902541617562099</v>
      </c>
      <c r="M9" s="17">
        <v>0.12353275739129101</v>
      </c>
      <c r="N9" s="17">
        <v>0.190784943347721</v>
      </c>
      <c r="O9" s="17">
        <v>0.15999667134356799</v>
      </c>
    </row>
    <row r="10" spans="2:15" x14ac:dyDescent="0.3">
      <c r="B10" s="18" t="s">
        <v>138</v>
      </c>
      <c r="C10" s="17">
        <v>0.50382563476011999</v>
      </c>
      <c r="D10" s="17">
        <v>0.50923319479120099</v>
      </c>
      <c r="E10" s="17">
        <v>0.49480846828129799</v>
      </c>
      <c r="F10" s="17"/>
      <c r="G10" s="17">
        <v>0.52693244042363796</v>
      </c>
      <c r="H10" s="17">
        <v>0.52279340742110503</v>
      </c>
      <c r="I10" s="17">
        <v>0.49987609747179801</v>
      </c>
      <c r="J10" s="17">
        <v>0.451892341000661</v>
      </c>
      <c r="K10" s="17"/>
      <c r="L10" s="17">
        <v>0.45616328874566398</v>
      </c>
      <c r="M10" s="17">
        <v>0.568169812711526</v>
      </c>
      <c r="N10" s="17">
        <v>0.46887467602164501</v>
      </c>
      <c r="O10" s="17">
        <v>0.52013278252080697</v>
      </c>
    </row>
    <row r="11" spans="2:15" x14ac:dyDescent="0.3">
      <c r="B11" s="18" t="s">
        <v>139</v>
      </c>
      <c r="C11" s="17">
        <v>0.16882978875308099</v>
      </c>
      <c r="D11" s="17">
        <v>0.16434586461355999</v>
      </c>
      <c r="E11" s="17">
        <v>0.17453891997284299</v>
      </c>
      <c r="F11" s="17"/>
      <c r="G11" s="17">
        <v>0.106880653473495</v>
      </c>
      <c r="H11" s="17">
        <v>0.15434266168860999</v>
      </c>
      <c r="I11" s="17">
        <v>0.23417187768637601</v>
      </c>
      <c r="J11" s="17">
        <v>0.207610569895852</v>
      </c>
      <c r="K11" s="17"/>
      <c r="L11" s="17">
        <v>0.18930430795914099</v>
      </c>
      <c r="M11" s="17">
        <v>0.17190136561717301</v>
      </c>
      <c r="N11" s="17">
        <v>0.18090615995147599</v>
      </c>
      <c r="O11" s="17">
        <v>0.13196826200102299</v>
      </c>
    </row>
    <row r="12" spans="2:15" x14ac:dyDescent="0.3">
      <c r="B12" s="18" t="s">
        <v>140</v>
      </c>
      <c r="C12" s="17">
        <v>9.7223082617804005E-2</v>
      </c>
      <c r="D12" s="17">
        <v>0.100256712616662</v>
      </c>
      <c r="E12" s="17">
        <v>9.4901396035443703E-2</v>
      </c>
      <c r="F12" s="17"/>
      <c r="G12" s="17">
        <v>0.107981148757363</v>
      </c>
      <c r="H12" s="17">
        <v>0.102167975418958</v>
      </c>
      <c r="I12" s="17">
        <v>4.6353283010814698E-2</v>
      </c>
      <c r="J12" s="17">
        <v>0.12480293148442601</v>
      </c>
      <c r="K12" s="17"/>
      <c r="L12" s="17">
        <v>0.127305296877013</v>
      </c>
      <c r="M12" s="17">
        <v>8.0648998292267293E-2</v>
      </c>
      <c r="N12" s="17">
        <v>8.5420469596200602E-2</v>
      </c>
      <c r="O12" s="17">
        <v>9.7756729239772605E-2</v>
      </c>
    </row>
    <row r="13" spans="2:15" x14ac:dyDescent="0.3">
      <c r="B13" s="18" t="s">
        <v>141</v>
      </c>
      <c r="C13" s="17">
        <v>3.5608618118695402E-2</v>
      </c>
      <c r="D13" s="17">
        <v>4.55561522430913E-2</v>
      </c>
      <c r="E13" s="17">
        <v>2.5931893082181301E-2</v>
      </c>
      <c r="F13" s="17"/>
      <c r="G13" s="17">
        <v>9.1032971451161897E-3</v>
      </c>
      <c r="H13" s="17">
        <v>3.7069974107695303E-2</v>
      </c>
      <c r="I13" s="17">
        <v>2.8036888441038299E-2</v>
      </c>
      <c r="J13" s="17">
        <v>7.5640286379911006E-2</v>
      </c>
      <c r="K13" s="17"/>
      <c r="L13" s="17">
        <v>4.03812191673577E-2</v>
      </c>
      <c r="M13" s="17">
        <v>3.2946969421763797E-2</v>
      </c>
      <c r="N13" s="17">
        <v>3.12615086176007E-2</v>
      </c>
      <c r="O13" s="17">
        <v>3.8408674445948601E-2</v>
      </c>
    </row>
    <row r="14" spans="2:15" x14ac:dyDescent="0.3">
      <c r="B14" s="18" t="s">
        <v>142</v>
      </c>
      <c r="C14" s="17">
        <v>3.6161666277038498E-2</v>
      </c>
      <c r="D14" s="17">
        <v>2.1705883117029898E-2</v>
      </c>
      <c r="E14" s="17">
        <v>5.0864520326205899E-2</v>
      </c>
      <c r="F14" s="17"/>
      <c r="G14" s="17">
        <v>1.31336715716876E-2</v>
      </c>
      <c r="H14" s="17">
        <v>8.2871551398917206E-2</v>
      </c>
      <c r="I14" s="17">
        <v>2.1891502420690798E-2</v>
      </c>
      <c r="J14" s="17">
        <v>2.6429817438843699E-2</v>
      </c>
      <c r="K14" s="17"/>
      <c r="L14" s="17">
        <v>2.7820471075203201E-2</v>
      </c>
      <c r="M14" s="17">
        <v>2.28000965659798E-2</v>
      </c>
      <c r="N14" s="17">
        <v>4.2752242465356499E-2</v>
      </c>
      <c r="O14" s="17">
        <v>5.17368804488803E-2</v>
      </c>
    </row>
    <row r="15" spans="2:15" x14ac:dyDescent="0.3">
      <c r="B15" s="18" t="s">
        <v>143</v>
      </c>
      <c r="C15" s="21">
        <v>0.66217684423338097</v>
      </c>
      <c r="D15" s="21">
        <v>0.66813538740965694</v>
      </c>
      <c r="E15" s="21">
        <v>0.65376327058332695</v>
      </c>
      <c r="F15" s="21"/>
      <c r="G15" s="21">
        <v>0.76290122905233804</v>
      </c>
      <c r="H15" s="21">
        <v>0.62354783738581998</v>
      </c>
      <c r="I15" s="21">
        <v>0.66954644844108002</v>
      </c>
      <c r="J15" s="21">
        <v>0.56551639480096705</v>
      </c>
      <c r="K15" s="21"/>
      <c r="L15" s="21">
        <v>0.61518870492128497</v>
      </c>
      <c r="M15" s="21">
        <v>0.69170257010281599</v>
      </c>
      <c r="N15" s="21">
        <v>0.65965961936936601</v>
      </c>
      <c r="O15" s="21">
        <v>0.68012945386437595</v>
      </c>
    </row>
    <row r="16" spans="2:15" x14ac:dyDescent="0.3">
      <c r="B16" s="18" t="s">
        <v>144</v>
      </c>
      <c r="C16" s="21">
        <v>0.132831700736499</v>
      </c>
      <c r="D16" s="21">
        <v>0.14581286485975301</v>
      </c>
      <c r="E16" s="21">
        <v>0.120833289117625</v>
      </c>
      <c r="F16" s="21"/>
      <c r="G16" s="21">
        <v>0.117084445902479</v>
      </c>
      <c r="H16" s="21">
        <v>0.139237949526653</v>
      </c>
      <c r="I16" s="21">
        <v>7.4390171451853102E-2</v>
      </c>
      <c r="J16" s="21">
        <v>0.200443217864337</v>
      </c>
      <c r="K16" s="21"/>
      <c r="L16" s="21">
        <v>0.16768651604437099</v>
      </c>
      <c r="M16" s="21">
        <v>0.11359596771403099</v>
      </c>
      <c r="N16" s="21">
        <v>0.116681978213801</v>
      </c>
      <c r="O16" s="21">
        <v>0.136165403685721</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507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0.227551533675447</v>
      </c>
      <c r="D9" s="17">
        <v>0.228167319363173</v>
      </c>
      <c r="E9" s="17">
        <v>0.22424906983905499</v>
      </c>
      <c r="F9" s="17"/>
      <c r="G9" s="17">
        <v>0.24565127079938701</v>
      </c>
      <c r="H9" s="17">
        <v>0.24151614417120901</v>
      </c>
      <c r="I9" s="17">
        <v>0.18179600150456099</v>
      </c>
      <c r="J9" s="17">
        <v>0.22377379364715699</v>
      </c>
      <c r="K9" s="17"/>
      <c r="L9" s="17">
        <v>0.25003798508900799</v>
      </c>
      <c r="M9" s="17">
        <v>0.2049828654675</v>
      </c>
      <c r="N9" s="17">
        <v>0.212212246412601</v>
      </c>
      <c r="O9" s="17">
        <v>0.24596105926276099</v>
      </c>
    </row>
    <row r="10" spans="2:15" x14ac:dyDescent="0.3">
      <c r="B10" s="18" t="s">
        <v>138</v>
      </c>
      <c r="C10" s="17">
        <v>0.58871400429600995</v>
      </c>
      <c r="D10" s="17">
        <v>0.57177212703104896</v>
      </c>
      <c r="E10" s="17">
        <v>0.60698505854389395</v>
      </c>
      <c r="F10" s="17"/>
      <c r="G10" s="17">
        <v>0.60692286418022401</v>
      </c>
      <c r="H10" s="17">
        <v>0.58804617918125801</v>
      </c>
      <c r="I10" s="17">
        <v>0.64077122615717697</v>
      </c>
      <c r="J10" s="17">
        <v>0.52293500793205205</v>
      </c>
      <c r="K10" s="17"/>
      <c r="L10" s="17">
        <v>0.55265336770339302</v>
      </c>
      <c r="M10" s="17">
        <v>0.68004047055872197</v>
      </c>
      <c r="N10" s="17">
        <v>0.57565738386820497</v>
      </c>
      <c r="O10" s="17">
        <v>0.54067417506946802</v>
      </c>
    </row>
    <row r="11" spans="2:15" x14ac:dyDescent="0.3">
      <c r="B11" s="18" t="s">
        <v>139</v>
      </c>
      <c r="C11" s="17">
        <v>0.108253193047397</v>
      </c>
      <c r="D11" s="17">
        <v>0.12698782834567501</v>
      </c>
      <c r="E11" s="17">
        <v>9.0328746723628006E-2</v>
      </c>
      <c r="F11" s="17"/>
      <c r="G11" s="17">
        <v>9.4867427100471802E-2</v>
      </c>
      <c r="H11" s="17">
        <v>8.7496532284203204E-2</v>
      </c>
      <c r="I11" s="17">
        <v>0.11300604346184</v>
      </c>
      <c r="J11" s="17">
        <v>0.14575445496961101</v>
      </c>
      <c r="K11" s="17"/>
      <c r="L11" s="17">
        <v>0.12790879751435699</v>
      </c>
      <c r="M11" s="17">
        <v>6.5130688352327507E-2</v>
      </c>
      <c r="N11" s="17">
        <v>0.13974450108463399</v>
      </c>
      <c r="O11" s="17">
        <v>0.100871365984791</v>
      </c>
    </row>
    <row r="12" spans="2:15" x14ac:dyDescent="0.3">
      <c r="B12" s="18" t="s">
        <v>140</v>
      </c>
      <c r="C12" s="17">
        <v>5.0104915235341399E-2</v>
      </c>
      <c r="D12" s="17">
        <v>4.92749178414656E-2</v>
      </c>
      <c r="E12" s="17">
        <v>5.1299096539701501E-2</v>
      </c>
      <c r="F12" s="17"/>
      <c r="G12" s="17">
        <v>3.09402995254635E-2</v>
      </c>
      <c r="H12" s="17">
        <v>5.2735585207440698E-2</v>
      </c>
      <c r="I12" s="17">
        <v>6.4426728876421799E-2</v>
      </c>
      <c r="J12" s="17">
        <v>5.9390425996368401E-2</v>
      </c>
      <c r="K12" s="17"/>
      <c r="L12" s="17">
        <v>3.4874066027651099E-2</v>
      </c>
      <c r="M12" s="17">
        <v>4.2919576308092303E-2</v>
      </c>
      <c r="N12" s="17">
        <v>3.6032537379100997E-2</v>
      </c>
      <c r="O12" s="17">
        <v>8.8310523239332694E-2</v>
      </c>
    </row>
    <row r="13" spans="2:15" x14ac:dyDescent="0.3">
      <c r="B13" s="18" t="s">
        <v>141</v>
      </c>
      <c r="C13" s="17">
        <v>1.3480094318184799E-2</v>
      </c>
      <c r="D13" s="17">
        <v>1.53867075336581E-2</v>
      </c>
      <c r="E13" s="17">
        <v>1.16738838000139E-2</v>
      </c>
      <c r="F13" s="17"/>
      <c r="G13" s="17">
        <v>7.5989088801897697E-3</v>
      </c>
      <c r="H13" s="17">
        <v>8.6354712272148706E-3</v>
      </c>
      <c r="I13" s="17">
        <v>0</v>
      </c>
      <c r="J13" s="17">
        <v>3.9041817019116097E-2</v>
      </c>
      <c r="K13" s="17"/>
      <c r="L13" s="17">
        <v>1.92097422240416E-2</v>
      </c>
      <c r="M13" s="17">
        <v>6.9263993133580502E-3</v>
      </c>
      <c r="N13" s="17">
        <v>1.7980518013420502E-2</v>
      </c>
      <c r="O13" s="17">
        <v>9.9251744598029407E-3</v>
      </c>
    </row>
    <row r="14" spans="2:15" x14ac:dyDescent="0.3">
      <c r="B14" s="18" t="s">
        <v>142</v>
      </c>
      <c r="C14" s="17">
        <v>1.18962594276201E-2</v>
      </c>
      <c r="D14" s="17">
        <v>8.4110998849788003E-3</v>
      </c>
      <c r="E14" s="17">
        <v>1.5464144553708E-2</v>
      </c>
      <c r="F14" s="17"/>
      <c r="G14" s="17">
        <v>1.4019229514264601E-2</v>
      </c>
      <c r="H14" s="17">
        <v>2.1570087928674899E-2</v>
      </c>
      <c r="I14" s="17">
        <v>0</v>
      </c>
      <c r="J14" s="17">
        <v>9.1045004356957605E-3</v>
      </c>
      <c r="K14" s="17"/>
      <c r="L14" s="17">
        <v>1.5316041441548699E-2</v>
      </c>
      <c r="M14" s="17">
        <v>0</v>
      </c>
      <c r="N14" s="17">
        <v>1.8372813242037999E-2</v>
      </c>
      <c r="O14" s="17">
        <v>1.42577019838451E-2</v>
      </c>
    </row>
    <row r="15" spans="2:15" x14ac:dyDescent="0.3">
      <c r="B15" s="18" t="s">
        <v>143</v>
      </c>
      <c r="C15" s="21">
        <v>0.81626553797145696</v>
      </c>
      <c r="D15" s="21">
        <v>0.79993944639422199</v>
      </c>
      <c r="E15" s="21">
        <v>0.83123412838294897</v>
      </c>
      <c r="F15" s="21"/>
      <c r="G15" s="21">
        <v>0.85257413497960999</v>
      </c>
      <c r="H15" s="21">
        <v>0.82956232335246605</v>
      </c>
      <c r="I15" s="21">
        <v>0.82256722766173895</v>
      </c>
      <c r="J15" s="21">
        <v>0.74670880157920905</v>
      </c>
      <c r="K15" s="21"/>
      <c r="L15" s="21">
        <v>0.802691352792401</v>
      </c>
      <c r="M15" s="21">
        <v>0.88502333602622196</v>
      </c>
      <c r="N15" s="21">
        <v>0.78786963028080603</v>
      </c>
      <c r="O15" s="21">
        <v>0.78663523433222804</v>
      </c>
    </row>
    <row r="16" spans="2:15" x14ac:dyDescent="0.3">
      <c r="B16" s="18" t="s">
        <v>144</v>
      </c>
      <c r="C16" s="21">
        <v>6.3585009553526195E-2</v>
      </c>
      <c r="D16" s="21">
        <v>6.4661625375123696E-2</v>
      </c>
      <c r="E16" s="21">
        <v>6.2972980339715504E-2</v>
      </c>
      <c r="F16" s="21"/>
      <c r="G16" s="21">
        <v>3.8539208405653301E-2</v>
      </c>
      <c r="H16" s="21">
        <v>6.1371056434655603E-2</v>
      </c>
      <c r="I16" s="21">
        <v>6.4426728876421799E-2</v>
      </c>
      <c r="J16" s="21">
        <v>9.8432243015484394E-2</v>
      </c>
      <c r="K16" s="21"/>
      <c r="L16" s="21">
        <v>5.4083808251692699E-2</v>
      </c>
      <c r="M16" s="21">
        <v>4.9845975621450399E-2</v>
      </c>
      <c r="N16" s="21">
        <v>5.4013055392521499E-2</v>
      </c>
      <c r="O16" s="21">
        <v>9.8235697699135593E-2</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508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0.161383922289698</v>
      </c>
      <c r="D9" s="17">
        <v>0.16583278098365101</v>
      </c>
      <c r="E9" s="17">
        <v>0.15811617515909901</v>
      </c>
      <c r="F9" s="17"/>
      <c r="G9" s="17">
        <v>0.207436434381577</v>
      </c>
      <c r="H9" s="17">
        <v>0.17962846121172099</v>
      </c>
      <c r="I9" s="17">
        <v>0.13666469598886499</v>
      </c>
      <c r="J9" s="17">
        <v>9.66445368585096E-2</v>
      </c>
      <c r="K9" s="17"/>
      <c r="L9" s="17">
        <v>0.14563266095699401</v>
      </c>
      <c r="M9" s="17">
        <v>0.16033728176533399</v>
      </c>
      <c r="N9" s="17">
        <v>0.16126149193081099</v>
      </c>
      <c r="O9" s="17">
        <v>0.17839374798437399</v>
      </c>
    </row>
    <row r="10" spans="2:15" x14ac:dyDescent="0.3">
      <c r="B10" s="18" t="s">
        <v>138</v>
      </c>
      <c r="C10" s="17">
        <v>0.48738856853655499</v>
      </c>
      <c r="D10" s="17">
        <v>0.49554776742010598</v>
      </c>
      <c r="E10" s="17">
        <v>0.47550311283860403</v>
      </c>
      <c r="F10" s="17"/>
      <c r="G10" s="17">
        <v>0.54283799076481998</v>
      </c>
      <c r="H10" s="17">
        <v>0.45730307027766598</v>
      </c>
      <c r="I10" s="17">
        <v>0.481820067087187</v>
      </c>
      <c r="J10" s="17">
        <v>0.45831158309985598</v>
      </c>
      <c r="K10" s="17"/>
      <c r="L10" s="17">
        <v>0.49019481689774602</v>
      </c>
      <c r="M10" s="17">
        <v>0.49202130719996201</v>
      </c>
      <c r="N10" s="17">
        <v>0.48377258039503701</v>
      </c>
      <c r="O10" s="17">
        <v>0.48351593694834499</v>
      </c>
    </row>
    <row r="11" spans="2:15" x14ac:dyDescent="0.3">
      <c r="B11" s="18" t="s">
        <v>139</v>
      </c>
      <c r="C11" s="17">
        <v>0.19934357003789899</v>
      </c>
      <c r="D11" s="17">
        <v>0.22022387875999</v>
      </c>
      <c r="E11" s="17">
        <v>0.179939692585181</v>
      </c>
      <c r="F11" s="17"/>
      <c r="G11" s="17">
        <v>0.147336679969052</v>
      </c>
      <c r="H11" s="17">
        <v>0.169530363023328</v>
      </c>
      <c r="I11" s="17">
        <v>0.25810491906646799</v>
      </c>
      <c r="J11" s="17">
        <v>0.24882591620408201</v>
      </c>
      <c r="K11" s="17"/>
      <c r="L11" s="17">
        <v>0.244597834618588</v>
      </c>
      <c r="M11" s="17">
        <v>0.19119169239901401</v>
      </c>
      <c r="N11" s="17">
        <v>0.21299890197913601</v>
      </c>
      <c r="O11" s="17">
        <v>0.14806547331421399</v>
      </c>
    </row>
    <row r="12" spans="2:15" x14ac:dyDescent="0.3">
      <c r="B12" s="18" t="s">
        <v>140</v>
      </c>
      <c r="C12" s="17">
        <v>8.5249943150865398E-2</v>
      </c>
      <c r="D12" s="17">
        <v>7.8677800018306196E-2</v>
      </c>
      <c r="E12" s="17">
        <v>9.2435847763162493E-2</v>
      </c>
      <c r="F12" s="17"/>
      <c r="G12" s="17">
        <v>7.0912518348841297E-2</v>
      </c>
      <c r="H12" s="17">
        <v>7.8761155865039498E-2</v>
      </c>
      <c r="I12" s="17">
        <v>7.47049098317005E-2</v>
      </c>
      <c r="J12" s="17">
        <v>0.12157466960055301</v>
      </c>
      <c r="K12" s="17"/>
      <c r="L12" s="17">
        <v>7.4787635964593993E-2</v>
      </c>
      <c r="M12" s="17">
        <v>6.4762906487691799E-2</v>
      </c>
      <c r="N12" s="17">
        <v>9.1275982809761E-2</v>
      </c>
      <c r="O12" s="17">
        <v>0.11122312560189899</v>
      </c>
    </row>
    <row r="13" spans="2:15" x14ac:dyDescent="0.3">
      <c r="B13" s="18" t="s">
        <v>141</v>
      </c>
      <c r="C13" s="17">
        <v>1.5777436778742299E-2</v>
      </c>
      <c r="D13" s="17">
        <v>1.8942833693170201E-2</v>
      </c>
      <c r="E13" s="17">
        <v>1.27306162945555E-2</v>
      </c>
      <c r="F13" s="17"/>
      <c r="G13" s="17">
        <v>0</v>
      </c>
      <c r="H13" s="17">
        <v>2.9574369790793899E-2</v>
      </c>
      <c r="I13" s="17">
        <v>1.6657499410310701E-2</v>
      </c>
      <c r="J13" s="17">
        <v>1.99756840837301E-2</v>
      </c>
      <c r="K13" s="17"/>
      <c r="L13" s="17">
        <v>1.92122253242798E-2</v>
      </c>
      <c r="M13" s="17">
        <v>2.6390568331003301E-2</v>
      </c>
      <c r="N13" s="17">
        <v>1.6631736683371499E-2</v>
      </c>
      <c r="O13" s="17">
        <v>0</v>
      </c>
    </row>
    <row r="14" spans="2:15" x14ac:dyDescent="0.3">
      <c r="B14" s="18" t="s">
        <v>142</v>
      </c>
      <c r="C14" s="17">
        <v>5.0856559206240499E-2</v>
      </c>
      <c r="D14" s="17">
        <v>2.0774939124777101E-2</v>
      </c>
      <c r="E14" s="17">
        <v>8.1274555359398204E-2</v>
      </c>
      <c r="F14" s="17"/>
      <c r="G14" s="17">
        <v>3.1476376535709602E-2</v>
      </c>
      <c r="H14" s="17">
        <v>8.5202579831451505E-2</v>
      </c>
      <c r="I14" s="17">
        <v>3.2047908615469099E-2</v>
      </c>
      <c r="J14" s="17">
        <v>5.4667610153269201E-2</v>
      </c>
      <c r="K14" s="17"/>
      <c r="L14" s="17">
        <v>2.5574826237797801E-2</v>
      </c>
      <c r="M14" s="17">
        <v>6.5296243816994406E-2</v>
      </c>
      <c r="N14" s="17">
        <v>3.4059306201882703E-2</v>
      </c>
      <c r="O14" s="17">
        <v>7.8801716151168696E-2</v>
      </c>
    </row>
    <row r="15" spans="2:15" x14ac:dyDescent="0.3">
      <c r="B15" s="18" t="s">
        <v>143</v>
      </c>
      <c r="C15" s="21">
        <v>0.64877249082625299</v>
      </c>
      <c r="D15" s="21">
        <v>0.66138054840375704</v>
      </c>
      <c r="E15" s="21">
        <v>0.63361928799770295</v>
      </c>
      <c r="F15" s="21"/>
      <c r="G15" s="21">
        <v>0.75027442514639697</v>
      </c>
      <c r="H15" s="21">
        <v>0.63693153148938697</v>
      </c>
      <c r="I15" s="21">
        <v>0.61848476307605205</v>
      </c>
      <c r="J15" s="21">
        <v>0.55495611995836602</v>
      </c>
      <c r="K15" s="21"/>
      <c r="L15" s="21">
        <v>0.63582747785474003</v>
      </c>
      <c r="M15" s="21">
        <v>0.65235858896529597</v>
      </c>
      <c r="N15" s="21">
        <v>0.64503407232584797</v>
      </c>
      <c r="O15" s="21">
        <v>0.66190968493271896</v>
      </c>
    </row>
    <row r="16" spans="2:15" x14ac:dyDescent="0.3">
      <c r="B16" s="18" t="s">
        <v>144</v>
      </c>
      <c r="C16" s="21">
        <v>0.101027379929608</v>
      </c>
      <c r="D16" s="21">
        <v>9.7620633711476307E-2</v>
      </c>
      <c r="E16" s="21">
        <v>0.105166464057718</v>
      </c>
      <c r="F16" s="21"/>
      <c r="G16" s="21">
        <v>7.0912518348841297E-2</v>
      </c>
      <c r="H16" s="21">
        <v>0.108335525655833</v>
      </c>
      <c r="I16" s="21">
        <v>9.1362409242011194E-2</v>
      </c>
      <c r="J16" s="21">
        <v>0.14155035368428301</v>
      </c>
      <c r="K16" s="21"/>
      <c r="L16" s="21">
        <v>9.3999861288873804E-2</v>
      </c>
      <c r="M16" s="21">
        <v>9.1153474818695193E-2</v>
      </c>
      <c r="N16" s="21">
        <v>0.10790771949313301</v>
      </c>
      <c r="O16" s="21">
        <v>0.11122312560189899</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509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0.182567184355694</v>
      </c>
      <c r="D9" s="17">
        <v>0.18016185858724401</v>
      </c>
      <c r="E9" s="17">
        <v>0.18630019062828901</v>
      </c>
      <c r="F9" s="17"/>
      <c r="G9" s="17">
        <v>0.228136396884841</v>
      </c>
      <c r="H9" s="17">
        <v>0.17766863129764299</v>
      </c>
      <c r="I9" s="17">
        <v>0.14775319753760499</v>
      </c>
      <c r="J9" s="17">
        <v>0.15410348204997901</v>
      </c>
      <c r="K9" s="17"/>
      <c r="L9" s="17">
        <v>0.166495076888176</v>
      </c>
      <c r="M9" s="17">
        <v>0.152266189243734</v>
      </c>
      <c r="N9" s="17">
        <v>0.21785889411119799</v>
      </c>
      <c r="O9" s="17">
        <v>0.193003131299435</v>
      </c>
    </row>
    <row r="10" spans="2:15" x14ac:dyDescent="0.3">
      <c r="B10" s="18" t="s">
        <v>138</v>
      </c>
      <c r="C10" s="17">
        <v>0.50620813752802496</v>
      </c>
      <c r="D10" s="17">
        <v>0.51356574707793601</v>
      </c>
      <c r="E10" s="17">
        <v>0.49960611218030798</v>
      </c>
      <c r="F10" s="17"/>
      <c r="G10" s="17">
        <v>0.56260968313299198</v>
      </c>
      <c r="H10" s="17">
        <v>0.45177473199289803</v>
      </c>
      <c r="I10" s="17">
        <v>0.52244415586320603</v>
      </c>
      <c r="J10" s="17">
        <v>0.48377638584975702</v>
      </c>
      <c r="K10" s="17"/>
      <c r="L10" s="17">
        <v>0.46680823835769703</v>
      </c>
      <c r="M10" s="17">
        <v>0.515805674970784</v>
      </c>
      <c r="N10" s="17">
        <v>0.47110057224357699</v>
      </c>
      <c r="O10" s="17">
        <v>0.57331660881050805</v>
      </c>
    </row>
    <row r="11" spans="2:15" x14ac:dyDescent="0.3">
      <c r="B11" s="18" t="s">
        <v>139</v>
      </c>
      <c r="C11" s="17">
        <v>0.15965181514698601</v>
      </c>
      <c r="D11" s="17">
        <v>0.16752828203249101</v>
      </c>
      <c r="E11" s="17">
        <v>0.15294773773986101</v>
      </c>
      <c r="F11" s="17"/>
      <c r="G11" s="17">
        <v>0.107088676879019</v>
      </c>
      <c r="H11" s="17">
        <v>0.168892031061669</v>
      </c>
      <c r="I11" s="17">
        <v>0.21394077045648199</v>
      </c>
      <c r="J11" s="17">
        <v>0.169301021662349</v>
      </c>
      <c r="K11" s="17"/>
      <c r="L11" s="17">
        <v>0.176668622418935</v>
      </c>
      <c r="M11" s="17">
        <v>0.157932868559334</v>
      </c>
      <c r="N11" s="17">
        <v>0.18961278676590801</v>
      </c>
      <c r="O11" s="17">
        <v>0.112026458435194</v>
      </c>
    </row>
    <row r="12" spans="2:15" x14ac:dyDescent="0.3">
      <c r="B12" s="18" t="s">
        <v>140</v>
      </c>
      <c r="C12" s="17">
        <v>8.0869848472239797E-2</v>
      </c>
      <c r="D12" s="17">
        <v>6.9222935960560797E-2</v>
      </c>
      <c r="E12" s="17">
        <v>8.87472192063707E-2</v>
      </c>
      <c r="F12" s="17"/>
      <c r="G12" s="17">
        <v>6.3381919377772697E-2</v>
      </c>
      <c r="H12" s="17">
        <v>8.16874222082771E-2</v>
      </c>
      <c r="I12" s="17">
        <v>8.6232175003579797E-2</v>
      </c>
      <c r="J12" s="17">
        <v>9.8451165770858107E-2</v>
      </c>
      <c r="K12" s="17"/>
      <c r="L12" s="17">
        <v>9.6826596460555803E-2</v>
      </c>
      <c r="M12" s="17">
        <v>8.0527283538225997E-2</v>
      </c>
      <c r="N12" s="17">
        <v>8.6772987936957396E-2</v>
      </c>
      <c r="O12" s="17">
        <v>5.88865495534341E-2</v>
      </c>
    </row>
    <row r="13" spans="2:15" x14ac:dyDescent="0.3">
      <c r="B13" s="18" t="s">
        <v>141</v>
      </c>
      <c r="C13" s="17">
        <v>2.2005648282985599E-2</v>
      </c>
      <c r="D13" s="17">
        <v>2.2802171352336399E-2</v>
      </c>
      <c r="E13" s="17">
        <v>2.1370392812073698E-2</v>
      </c>
      <c r="F13" s="17"/>
      <c r="G13" s="17">
        <v>6.84260803368916E-3</v>
      </c>
      <c r="H13" s="17">
        <v>3.7427168717397402E-2</v>
      </c>
      <c r="I13" s="17">
        <v>0</v>
      </c>
      <c r="J13" s="17">
        <v>4.44949799939258E-2</v>
      </c>
      <c r="K13" s="17"/>
      <c r="L13" s="17">
        <v>4.8359056172874899E-2</v>
      </c>
      <c r="M13" s="17">
        <v>2.7315674259232502E-2</v>
      </c>
      <c r="N13" s="17">
        <v>4.8719829016286896E-3</v>
      </c>
      <c r="O13" s="17">
        <v>8.5014105514824197E-3</v>
      </c>
    </row>
    <row r="14" spans="2:15" x14ac:dyDescent="0.3">
      <c r="B14" s="18" t="s">
        <v>142</v>
      </c>
      <c r="C14" s="17">
        <v>4.8697366214068803E-2</v>
      </c>
      <c r="D14" s="17">
        <v>4.6719004989431497E-2</v>
      </c>
      <c r="E14" s="17">
        <v>5.10283474330969E-2</v>
      </c>
      <c r="F14" s="17"/>
      <c r="G14" s="17">
        <v>3.1940715691686099E-2</v>
      </c>
      <c r="H14" s="17">
        <v>8.2550014722114595E-2</v>
      </c>
      <c r="I14" s="17">
        <v>2.96297011391271E-2</v>
      </c>
      <c r="J14" s="17">
        <v>4.9872964673131598E-2</v>
      </c>
      <c r="K14" s="17"/>
      <c r="L14" s="17">
        <v>4.4842409701761399E-2</v>
      </c>
      <c r="M14" s="17">
        <v>6.6152309428689396E-2</v>
      </c>
      <c r="N14" s="17">
        <v>2.9782776040730902E-2</v>
      </c>
      <c r="O14" s="17">
        <v>5.4265841349946102E-2</v>
      </c>
    </row>
    <row r="15" spans="2:15" x14ac:dyDescent="0.3">
      <c r="B15" s="18" t="s">
        <v>143</v>
      </c>
      <c r="C15" s="21">
        <v>0.68877532188372004</v>
      </c>
      <c r="D15" s="21">
        <v>0.69372760566517999</v>
      </c>
      <c r="E15" s="21">
        <v>0.68590630280859699</v>
      </c>
      <c r="F15" s="21"/>
      <c r="G15" s="21">
        <v>0.79074608001783298</v>
      </c>
      <c r="H15" s="21">
        <v>0.62944336329054196</v>
      </c>
      <c r="I15" s="21">
        <v>0.67019735340081099</v>
      </c>
      <c r="J15" s="21">
        <v>0.63787986789973605</v>
      </c>
      <c r="K15" s="21"/>
      <c r="L15" s="21">
        <v>0.63330331524587302</v>
      </c>
      <c r="M15" s="21">
        <v>0.66807186421451903</v>
      </c>
      <c r="N15" s="21">
        <v>0.68895946635477501</v>
      </c>
      <c r="O15" s="21">
        <v>0.76631974010994297</v>
      </c>
    </row>
    <row r="16" spans="2:15" x14ac:dyDescent="0.3">
      <c r="B16" s="18" t="s">
        <v>144</v>
      </c>
      <c r="C16" s="21">
        <v>0.102875496755225</v>
      </c>
      <c r="D16" s="21">
        <v>9.2025107312897203E-2</v>
      </c>
      <c r="E16" s="21">
        <v>0.110117612018444</v>
      </c>
      <c r="F16" s="21"/>
      <c r="G16" s="21">
        <v>7.0224527411461901E-2</v>
      </c>
      <c r="H16" s="21">
        <v>0.119114590925674</v>
      </c>
      <c r="I16" s="21">
        <v>8.6232175003579797E-2</v>
      </c>
      <c r="J16" s="21">
        <v>0.14294614576478401</v>
      </c>
      <c r="K16" s="21"/>
      <c r="L16" s="21">
        <v>0.145185652633431</v>
      </c>
      <c r="M16" s="21">
        <v>0.10784295779745801</v>
      </c>
      <c r="N16" s="21">
        <v>9.1644970838586096E-2</v>
      </c>
      <c r="O16" s="21">
        <v>6.73879601049166E-2</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B2:J21"/>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10" width="20.6640625" customWidth="1"/>
  </cols>
  <sheetData>
    <row r="2" spans="2:10" ht="40.049999999999997" customHeight="1" x14ac:dyDescent="0.3">
      <c r="D2" s="30" t="s">
        <v>145</v>
      </c>
      <c r="E2" s="26"/>
      <c r="F2" s="26"/>
      <c r="G2" s="26"/>
      <c r="H2" s="26"/>
      <c r="I2" s="26"/>
      <c r="J2" s="26"/>
    </row>
    <row r="6" spans="2:10" ht="49.95" customHeight="1" x14ac:dyDescent="0.3">
      <c r="B6" s="20" t="s">
        <v>14</v>
      </c>
      <c r="C6" s="20" t="s">
        <v>510</v>
      </c>
      <c r="D6" s="20" t="s">
        <v>511</v>
      </c>
      <c r="E6" s="20" t="s">
        <v>512</v>
      </c>
      <c r="F6" s="20" t="s">
        <v>513</v>
      </c>
      <c r="G6" s="20" t="s">
        <v>514</v>
      </c>
      <c r="H6" s="20" t="s">
        <v>515</v>
      </c>
      <c r="I6" s="20" t="s">
        <v>516</v>
      </c>
    </row>
    <row r="7" spans="2:10" x14ac:dyDescent="0.3">
      <c r="B7" s="18" t="s">
        <v>137</v>
      </c>
      <c r="C7" s="17">
        <v>0.30311907484804501</v>
      </c>
      <c r="D7" s="17">
        <v>0.11861990000912399</v>
      </c>
      <c r="E7" s="17">
        <v>0.119407784247802</v>
      </c>
      <c r="F7" s="17">
        <v>2.51821204447541E-2</v>
      </c>
      <c r="G7" s="17">
        <v>2.6309175946068498E-2</v>
      </c>
      <c r="H7" s="17">
        <v>2.3573584126775401E-2</v>
      </c>
      <c r="I7" s="17">
        <v>1.8057507427526601E-2</v>
      </c>
    </row>
    <row r="8" spans="2:10" x14ac:dyDescent="0.3">
      <c r="B8" s="18" t="s">
        <v>138</v>
      </c>
      <c r="C8" s="17">
        <v>0.46778961667794</v>
      </c>
      <c r="D8" s="17">
        <v>0.34590084632285001</v>
      </c>
      <c r="E8" s="17">
        <v>0.34933195382203502</v>
      </c>
      <c r="F8" s="17">
        <v>0.113257546384983</v>
      </c>
      <c r="G8" s="17">
        <v>0.1127965681659</v>
      </c>
      <c r="H8" s="17">
        <v>7.2391963488404307E-2</v>
      </c>
      <c r="I8" s="17">
        <v>8.4145655336274106E-2</v>
      </c>
    </row>
    <row r="9" spans="2:10" x14ac:dyDescent="0.3">
      <c r="B9" s="18" t="s">
        <v>139</v>
      </c>
      <c r="C9" s="17">
        <v>0.139553148441563</v>
      </c>
      <c r="D9" s="17">
        <v>0.25177455582675001</v>
      </c>
      <c r="E9" s="17">
        <v>0.17879293988786699</v>
      </c>
      <c r="F9" s="17">
        <v>0.14616966228228101</v>
      </c>
      <c r="G9" s="17">
        <v>0.17090101759642901</v>
      </c>
      <c r="H9" s="17">
        <v>0.12618805009969999</v>
      </c>
      <c r="I9" s="17">
        <v>0.102122558420599</v>
      </c>
    </row>
    <row r="10" spans="2:10" x14ac:dyDescent="0.3">
      <c r="B10" s="18" t="s">
        <v>140</v>
      </c>
      <c r="C10" s="17">
        <v>3.9176556090994498E-2</v>
      </c>
      <c r="D10" s="17">
        <v>0.13298123298161499</v>
      </c>
      <c r="E10" s="17">
        <v>0.190696178182584</v>
      </c>
      <c r="F10" s="17">
        <v>0.308020807681672</v>
      </c>
      <c r="G10" s="17">
        <v>0.25132570955184902</v>
      </c>
      <c r="H10" s="17">
        <v>0.27693661380132101</v>
      </c>
      <c r="I10" s="17">
        <v>0.18755194806004299</v>
      </c>
    </row>
    <row r="11" spans="2:10" x14ac:dyDescent="0.3">
      <c r="B11" s="18" t="s">
        <v>141</v>
      </c>
      <c r="C11" s="17">
        <v>2.41464997553359E-2</v>
      </c>
      <c r="D11" s="17">
        <v>8.5414456131268898E-2</v>
      </c>
      <c r="E11" s="17">
        <v>0.116335871621462</v>
      </c>
      <c r="F11" s="17">
        <v>0.36491936886913601</v>
      </c>
      <c r="G11" s="17">
        <v>0.42660273503219798</v>
      </c>
      <c r="H11" s="17">
        <v>0.484058128265899</v>
      </c>
      <c r="I11" s="17">
        <v>0.58246651298089702</v>
      </c>
    </row>
    <row r="12" spans="2:10" x14ac:dyDescent="0.3">
      <c r="B12" s="18" t="s">
        <v>142</v>
      </c>
      <c r="C12" s="17">
        <v>2.6215104186120799E-2</v>
      </c>
      <c r="D12" s="17">
        <v>6.5309008728391502E-2</v>
      </c>
      <c r="E12" s="17">
        <v>4.54352722382491E-2</v>
      </c>
      <c r="F12" s="17">
        <v>4.2450494337174099E-2</v>
      </c>
      <c r="G12" s="17">
        <v>1.2064793707555799E-2</v>
      </c>
      <c r="H12" s="17">
        <v>1.6851660217900001E-2</v>
      </c>
      <c r="I12" s="17">
        <v>2.565581777466E-2</v>
      </c>
    </row>
    <row r="13" spans="2:10" x14ac:dyDescent="0.3">
      <c r="B13" s="22" t="s">
        <v>143</v>
      </c>
      <c r="C13" s="21">
        <v>0.77090869152598596</v>
      </c>
      <c r="D13" s="21">
        <v>0.46452074633197399</v>
      </c>
      <c r="E13" s="21">
        <v>0.46873973806983799</v>
      </c>
      <c r="F13" s="21">
        <v>0.13843966682973699</v>
      </c>
      <c r="G13" s="21">
        <v>0.13910574411196899</v>
      </c>
      <c r="H13" s="21">
        <v>9.5965547615179697E-2</v>
      </c>
      <c r="I13" s="21">
        <v>0.10220316276380099</v>
      </c>
    </row>
    <row r="14" spans="2:10" x14ac:dyDescent="0.3">
      <c r="B14" s="22" t="s">
        <v>144</v>
      </c>
      <c r="C14" s="21">
        <v>6.3323055846330398E-2</v>
      </c>
      <c r="D14" s="21">
        <v>0.21839568911288401</v>
      </c>
      <c r="E14" s="21">
        <v>0.30703204980404603</v>
      </c>
      <c r="F14" s="21">
        <v>0.67294017655080796</v>
      </c>
      <c r="G14" s="21">
        <v>0.677928444584046</v>
      </c>
      <c r="H14" s="21">
        <v>0.76099474206721995</v>
      </c>
      <c r="I14" s="21">
        <v>0.77001846104093996</v>
      </c>
    </row>
    <row r="15" spans="2:10" x14ac:dyDescent="0.3">
      <c r="B15" s="16"/>
      <c r="C15" s="16"/>
      <c r="D15" s="16"/>
      <c r="E15" s="16"/>
      <c r="F15" s="16"/>
      <c r="G15" s="16"/>
      <c r="H15" s="16"/>
      <c r="I15" s="16"/>
    </row>
    <row r="16" spans="2:10" x14ac:dyDescent="0.3">
      <c r="B16" t="s">
        <v>47</v>
      </c>
    </row>
    <row r="17" spans="2:2" x14ac:dyDescent="0.3">
      <c r="B17" t="s">
        <v>48</v>
      </c>
    </row>
    <row r="21" spans="2:2" x14ac:dyDescent="0.3">
      <c r="B21"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517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0.30311907484804501</v>
      </c>
      <c r="D9" s="17">
        <v>0.28853027580075702</v>
      </c>
      <c r="E9" s="17">
        <v>0.31555457607572401</v>
      </c>
      <c r="F9" s="17"/>
      <c r="G9" s="17">
        <v>0.31952084431921102</v>
      </c>
      <c r="H9" s="17">
        <v>0.30718940838015901</v>
      </c>
      <c r="I9" s="17">
        <v>0.25231721333335799</v>
      </c>
      <c r="J9" s="17">
        <v>0.32591704340991101</v>
      </c>
      <c r="K9" s="17"/>
      <c r="L9" s="17">
        <v>0.28058753362456101</v>
      </c>
      <c r="M9" s="17">
        <v>0.32606332843826302</v>
      </c>
      <c r="N9" s="17">
        <v>0.287174923765456</v>
      </c>
      <c r="O9" s="17">
        <v>0.31824099179122201</v>
      </c>
    </row>
    <row r="10" spans="2:15" x14ac:dyDescent="0.3">
      <c r="B10" s="18" t="s">
        <v>138</v>
      </c>
      <c r="C10" s="17">
        <v>0.46778961667794</v>
      </c>
      <c r="D10" s="17">
        <v>0.45408989601411398</v>
      </c>
      <c r="E10" s="17">
        <v>0.48194099413679697</v>
      </c>
      <c r="F10" s="17"/>
      <c r="G10" s="17">
        <v>0.49424575271306598</v>
      </c>
      <c r="H10" s="17">
        <v>0.47195109661812301</v>
      </c>
      <c r="I10" s="17">
        <v>0.46065175930612701</v>
      </c>
      <c r="J10" s="17">
        <v>0.43092522773620001</v>
      </c>
      <c r="K10" s="17"/>
      <c r="L10" s="17">
        <v>0.49734835917367298</v>
      </c>
      <c r="M10" s="17">
        <v>0.49254603490230198</v>
      </c>
      <c r="N10" s="17">
        <v>0.42233792954656102</v>
      </c>
      <c r="O10" s="17">
        <v>0.46083829745438698</v>
      </c>
    </row>
    <row r="11" spans="2:15" x14ac:dyDescent="0.3">
      <c r="B11" s="18" t="s">
        <v>139</v>
      </c>
      <c r="C11" s="17">
        <v>0.139553148441563</v>
      </c>
      <c r="D11" s="17">
        <v>0.153252522080146</v>
      </c>
      <c r="E11" s="17">
        <v>0.12688632560083801</v>
      </c>
      <c r="F11" s="17"/>
      <c r="G11" s="17">
        <v>0.10757212617256</v>
      </c>
      <c r="H11" s="17">
        <v>0.11265384271165101</v>
      </c>
      <c r="I11" s="17">
        <v>0.18374463626118001</v>
      </c>
      <c r="J11" s="17">
        <v>0.17248574550990001</v>
      </c>
      <c r="K11" s="17"/>
      <c r="L11" s="17">
        <v>0.19749537296604699</v>
      </c>
      <c r="M11" s="17">
        <v>9.9204102863536495E-2</v>
      </c>
      <c r="N11" s="17">
        <v>0.199349166043326</v>
      </c>
      <c r="O11" s="17">
        <v>6.0237696303652902E-2</v>
      </c>
    </row>
    <row r="12" spans="2:15" x14ac:dyDescent="0.3">
      <c r="B12" s="18" t="s">
        <v>140</v>
      </c>
      <c r="C12" s="17">
        <v>3.9176556090994498E-2</v>
      </c>
      <c r="D12" s="17">
        <v>4.0392857264808901E-2</v>
      </c>
      <c r="E12" s="17">
        <v>3.8247129328243097E-2</v>
      </c>
      <c r="F12" s="17"/>
      <c r="G12" s="17">
        <v>3.8334721006332298E-2</v>
      </c>
      <c r="H12" s="17">
        <v>4.4747438016290303E-2</v>
      </c>
      <c r="I12" s="17">
        <v>2.9133873321350399E-2</v>
      </c>
      <c r="J12" s="17">
        <v>4.3425108176349397E-2</v>
      </c>
      <c r="K12" s="17"/>
      <c r="L12" s="17">
        <v>1.58778243285362E-2</v>
      </c>
      <c r="M12" s="17">
        <v>1.17874716878289E-2</v>
      </c>
      <c r="N12" s="17">
        <v>3.7558616806958399E-2</v>
      </c>
      <c r="O12" s="17">
        <v>9.3692070450927395E-2</v>
      </c>
    </row>
    <row r="13" spans="2:15" x14ac:dyDescent="0.3">
      <c r="B13" s="18" t="s">
        <v>141</v>
      </c>
      <c r="C13" s="17">
        <v>2.41464997553359E-2</v>
      </c>
      <c r="D13" s="17">
        <v>2.7316781947003599E-2</v>
      </c>
      <c r="E13" s="17">
        <v>2.1155787226971701E-2</v>
      </c>
      <c r="F13" s="17"/>
      <c r="G13" s="17">
        <v>2.5012344887053201E-2</v>
      </c>
      <c r="H13" s="17">
        <v>2.58427061263297E-2</v>
      </c>
      <c r="I13" s="17">
        <v>4.7471390913367502E-2</v>
      </c>
      <c r="J13" s="17">
        <v>0</v>
      </c>
      <c r="K13" s="17"/>
      <c r="L13" s="17">
        <v>0</v>
      </c>
      <c r="M13" s="17">
        <v>3.3544454389832203E-2</v>
      </c>
      <c r="N13" s="17">
        <v>3.46306908143603E-2</v>
      </c>
      <c r="O13" s="17">
        <v>2.6825204968709999E-2</v>
      </c>
    </row>
    <row r="14" spans="2:15" x14ac:dyDescent="0.3">
      <c r="B14" s="18" t="s">
        <v>142</v>
      </c>
      <c r="C14" s="17">
        <v>2.6215104186120799E-2</v>
      </c>
      <c r="D14" s="17">
        <v>3.6417666893170102E-2</v>
      </c>
      <c r="E14" s="17">
        <v>1.6215187631426702E-2</v>
      </c>
      <c r="F14" s="17"/>
      <c r="G14" s="17">
        <v>1.53142109017772E-2</v>
      </c>
      <c r="H14" s="17">
        <v>3.7615508147447102E-2</v>
      </c>
      <c r="I14" s="17">
        <v>2.66811268646172E-2</v>
      </c>
      <c r="J14" s="17">
        <v>2.7246875167639399E-2</v>
      </c>
      <c r="K14" s="17"/>
      <c r="L14" s="17">
        <v>8.69090990718226E-3</v>
      </c>
      <c r="M14" s="17">
        <v>3.6854607718237301E-2</v>
      </c>
      <c r="N14" s="17">
        <v>1.8948673023337501E-2</v>
      </c>
      <c r="O14" s="17">
        <v>4.0165739031100801E-2</v>
      </c>
    </row>
    <row r="15" spans="2:15" x14ac:dyDescent="0.3">
      <c r="B15" s="18" t="s">
        <v>143</v>
      </c>
      <c r="C15" s="21">
        <v>0.77090869152598596</v>
      </c>
      <c r="D15" s="21">
        <v>0.74262017181487106</v>
      </c>
      <c r="E15" s="21">
        <v>0.79749557021252104</v>
      </c>
      <c r="F15" s="21"/>
      <c r="G15" s="21">
        <v>0.81376659703227805</v>
      </c>
      <c r="H15" s="21">
        <v>0.77914050499828202</v>
      </c>
      <c r="I15" s="21">
        <v>0.712968972639485</v>
      </c>
      <c r="J15" s="21">
        <v>0.75684227114611102</v>
      </c>
      <c r="K15" s="21"/>
      <c r="L15" s="21">
        <v>0.77793589279823405</v>
      </c>
      <c r="M15" s="21">
        <v>0.818609363340565</v>
      </c>
      <c r="N15" s="21">
        <v>0.70951285331201697</v>
      </c>
      <c r="O15" s="21">
        <v>0.77907928924560899</v>
      </c>
    </row>
    <row r="16" spans="2:15" x14ac:dyDescent="0.3">
      <c r="B16" s="18" t="s">
        <v>144</v>
      </c>
      <c r="C16" s="21">
        <v>6.3323055846330398E-2</v>
      </c>
      <c r="D16" s="21">
        <v>6.77096392118125E-2</v>
      </c>
      <c r="E16" s="21">
        <v>5.9402916555214798E-2</v>
      </c>
      <c r="F16" s="21"/>
      <c r="G16" s="21">
        <v>6.3347065893385499E-2</v>
      </c>
      <c r="H16" s="21">
        <v>7.0590144142620007E-2</v>
      </c>
      <c r="I16" s="21">
        <v>7.6605264234718001E-2</v>
      </c>
      <c r="J16" s="21">
        <v>4.3425108176349397E-2</v>
      </c>
      <c r="K16" s="21"/>
      <c r="L16" s="21">
        <v>1.58778243285362E-2</v>
      </c>
      <c r="M16" s="21">
        <v>4.5331926077661101E-2</v>
      </c>
      <c r="N16" s="21">
        <v>7.2189307621318699E-2</v>
      </c>
      <c r="O16" s="21">
        <v>0.120517275419637</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518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0.11861990000912399</v>
      </c>
      <c r="D9" s="17">
        <v>0.12365732435351801</v>
      </c>
      <c r="E9" s="17">
        <v>0.114452623708735</v>
      </c>
      <c r="F9" s="17"/>
      <c r="G9" s="17">
        <v>0.171239338683631</v>
      </c>
      <c r="H9" s="17">
        <v>0.12016825957277801</v>
      </c>
      <c r="I9" s="17">
        <v>0.10850365944290299</v>
      </c>
      <c r="J9" s="17">
        <v>5.0617032787173298E-2</v>
      </c>
      <c r="K9" s="17"/>
      <c r="L9" s="17">
        <v>5.3527863780583503E-2</v>
      </c>
      <c r="M9" s="17">
        <v>0.119381394023217</v>
      </c>
      <c r="N9" s="17">
        <v>0.158330453419263</v>
      </c>
      <c r="O9" s="17">
        <v>0.13987298708879201</v>
      </c>
    </row>
    <row r="10" spans="2:15" x14ac:dyDescent="0.3">
      <c r="B10" s="18" t="s">
        <v>138</v>
      </c>
      <c r="C10" s="17">
        <v>0.34590084632285001</v>
      </c>
      <c r="D10" s="17">
        <v>0.33730067792505503</v>
      </c>
      <c r="E10" s="17">
        <v>0.34972462738326499</v>
      </c>
      <c r="F10" s="17"/>
      <c r="G10" s="17">
        <v>0.40396671957022601</v>
      </c>
      <c r="H10" s="17">
        <v>0.34353766213686998</v>
      </c>
      <c r="I10" s="17">
        <v>0.28399254409482999</v>
      </c>
      <c r="J10" s="17">
        <v>0.33224762511838302</v>
      </c>
      <c r="K10" s="17"/>
      <c r="L10" s="17">
        <v>0.39389564251429798</v>
      </c>
      <c r="M10" s="17">
        <v>0.35676193367504699</v>
      </c>
      <c r="N10" s="17">
        <v>0.30585353700276002</v>
      </c>
      <c r="O10" s="17">
        <v>0.32960673822807701</v>
      </c>
    </row>
    <row r="11" spans="2:15" x14ac:dyDescent="0.3">
      <c r="B11" s="18" t="s">
        <v>139</v>
      </c>
      <c r="C11" s="17">
        <v>0.25177455582675001</v>
      </c>
      <c r="D11" s="17">
        <v>0.245234963092991</v>
      </c>
      <c r="E11" s="17">
        <v>0.26014145793946503</v>
      </c>
      <c r="F11" s="17"/>
      <c r="G11" s="17">
        <v>0.19476361134489401</v>
      </c>
      <c r="H11" s="17">
        <v>0.27573107331258401</v>
      </c>
      <c r="I11" s="17">
        <v>0.23712886281267601</v>
      </c>
      <c r="J11" s="17">
        <v>0.31414998186672899</v>
      </c>
      <c r="K11" s="17"/>
      <c r="L11" s="17">
        <v>0.19411358644214</v>
      </c>
      <c r="M11" s="17">
        <v>0.226577190849619</v>
      </c>
      <c r="N11" s="17">
        <v>0.28843830947751198</v>
      </c>
      <c r="O11" s="17">
        <v>0.29682271501964602</v>
      </c>
    </row>
    <row r="12" spans="2:15" x14ac:dyDescent="0.3">
      <c r="B12" s="18" t="s">
        <v>140</v>
      </c>
      <c r="C12" s="17">
        <v>0.13298123298161499</v>
      </c>
      <c r="D12" s="17">
        <v>0.13426422595316301</v>
      </c>
      <c r="E12" s="17">
        <v>0.13266877090641799</v>
      </c>
      <c r="F12" s="17"/>
      <c r="G12" s="17">
        <v>0.120926138286677</v>
      </c>
      <c r="H12" s="17">
        <v>0.111457215546743</v>
      </c>
      <c r="I12" s="17">
        <v>0.132360279703958</v>
      </c>
      <c r="J12" s="17">
        <v>0.17472166638661199</v>
      </c>
      <c r="K12" s="17"/>
      <c r="L12" s="17">
        <v>0.19131924874974199</v>
      </c>
      <c r="M12" s="17">
        <v>0.12676675027526499</v>
      </c>
      <c r="N12" s="17">
        <v>0.13475819552238</v>
      </c>
      <c r="O12" s="17">
        <v>7.9403451311764406E-2</v>
      </c>
    </row>
    <row r="13" spans="2:15" x14ac:dyDescent="0.3">
      <c r="B13" s="18" t="s">
        <v>141</v>
      </c>
      <c r="C13" s="17">
        <v>8.5414456131268898E-2</v>
      </c>
      <c r="D13" s="17">
        <v>8.7618493585870594E-2</v>
      </c>
      <c r="E13" s="17">
        <v>8.3835365380216506E-2</v>
      </c>
      <c r="F13" s="17"/>
      <c r="G13" s="17">
        <v>7.3611147890689899E-2</v>
      </c>
      <c r="H13" s="17">
        <v>7.9308435435211794E-2</v>
      </c>
      <c r="I13" s="17">
        <v>0.13877246689352299</v>
      </c>
      <c r="J13" s="17">
        <v>5.9690767873578299E-2</v>
      </c>
      <c r="K13" s="17"/>
      <c r="L13" s="17">
        <v>9.0334568373679897E-2</v>
      </c>
      <c r="M13" s="17">
        <v>9.32691746453225E-2</v>
      </c>
      <c r="N13" s="17">
        <v>4.9293318714267197E-2</v>
      </c>
      <c r="O13" s="17">
        <v>0.11117580314367299</v>
      </c>
    </row>
    <row r="14" spans="2:15" x14ac:dyDescent="0.3">
      <c r="B14" s="18" t="s">
        <v>142</v>
      </c>
      <c r="C14" s="17">
        <v>6.5309008728391502E-2</v>
      </c>
      <c r="D14" s="17">
        <v>7.1924315089403307E-2</v>
      </c>
      <c r="E14" s="17">
        <v>5.9177154681899997E-2</v>
      </c>
      <c r="F14" s="17"/>
      <c r="G14" s="17">
        <v>3.5493044223881103E-2</v>
      </c>
      <c r="H14" s="17">
        <v>6.9797353995813396E-2</v>
      </c>
      <c r="I14" s="17">
        <v>9.9242187052109798E-2</v>
      </c>
      <c r="J14" s="17">
        <v>6.8572925967524206E-2</v>
      </c>
      <c r="K14" s="17"/>
      <c r="L14" s="17">
        <v>7.6809090139557001E-2</v>
      </c>
      <c r="M14" s="17">
        <v>7.7243556531529006E-2</v>
      </c>
      <c r="N14" s="17">
        <v>6.3326185863817594E-2</v>
      </c>
      <c r="O14" s="17">
        <v>4.3118305208048498E-2</v>
      </c>
    </row>
    <row r="15" spans="2:15" x14ac:dyDescent="0.3">
      <c r="B15" s="18" t="s">
        <v>143</v>
      </c>
      <c r="C15" s="21">
        <v>0.46452074633197399</v>
      </c>
      <c r="D15" s="21">
        <v>0.46095800227857198</v>
      </c>
      <c r="E15" s="21">
        <v>0.46417725109199998</v>
      </c>
      <c r="F15" s="21"/>
      <c r="G15" s="21">
        <v>0.57520605825385696</v>
      </c>
      <c r="H15" s="21">
        <v>0.46370592170964797</v>
      </c>
      <c r="I15" s="21">
        <v>0.39249620353773301</v>
      </c>
      <c r="J15" s="21">
        <v>0.38286465790555602</v>
      </c>
      <c r="K15" s="21"/>
      <c r="L15" s="21">
        <v>0.44742350629488098</v>
      </c>
      <c r="M15" s="21">
        <v>0.47614332769826401</v>
      </c>
      <c r="N15" s="21">
        <v>0.46418399042202302</v>
      </c>
      <c r="O15" s="21">
        <v>0.46947972531686799</v>
      </c>
    </row>
    <row r="16" spans="2:15" x14ac:dyDescent="0.3">
      <c r="B16" s="18" t="s">
        <v>144</v>
      </c>
      <c r="C16" s="21">
        <v>0.21839568911288401</v>
      </c>
      <c r="D16" s="21">
        <v>0.22188271953903399</v>
      </c>
      <c r="E16" s="21">
        <v>0.21650413628663401</v>
      </c>
      <c r="F16" s="21"/>
      <c r="G16" s="21">
        <v>0.19453728617736701</v>
      </c>
      <c r="H16" s="21">
        <v>0.190765650981955</v>
      </c>
      <c r="I16" s="21">
        <v>0.27113274659748099</v>
      </c>
      <c r="J16" s="21">
        <v>0.23441243426019101</v>
      </c>
      <c r="K16" s="21"/>
      <c r="L16" s="21">
        <v>0.28165381712342102</v>
      </c>
      <c r="M16" s="21">
        <v>0.22003592492058799</v>
      </c>
      <c r="N16" s="21">
        <v>0.18405151423664701</v>
      </c>
      <c r="O16" s="21">
        <v>0.190579254455438</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519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0.119407784247802</v>
      </c>
      <c r="D9" s="17">
        <v>0.13086851753825199</v>
      </c>
      <c r="E9" s="17">
        <v>0.108830249582808</v>
      </c>
      <c r="F9" s="17"/>
      <c r="G9" s="17">
        <v>0.15814514947733499</v>
      </c>
      <c r="H9" s="17">
        <v>9.4092247412767394E-2</v>
      </c>
      <c r="I9" s="17">
        <v>9.3575832770192699E-2</v>
      </c>
      <c r="J9" s="17">
        <v>0.114310513514811</v>
      </c>
      <c r="K9" s="17"/>
      <c r="L9" s="17">
        <v>7.8490771063951303E-2</v>
      </c>
      <c r="M9" s="17">
        <v>0.13694627489465999</v>
      </c>
      <c r="N9" s="17">
        <v>0.149173581297328</v>
      </c>
      <c r="O9" s="17">
        <v>0.10921135311395699</v>
      </c>
    </row>
    <row r="10" spans="2:15" x14ac:dyDescent="0.3">
      <c r="B10" s="18" t="s">
        <v>138</v>
      </c>
      <c r="C10" s="17">
        <v>0.34933195382203502</v>
      </c>
      <c r="D10" s="17">
        <v>0.34419182518559899</v>
      </c>
      <c r="E10" s="17">
        <v>0.354070245453806</v>
      </c>
      <c r="F10" s="17"/>
      <c r="G10" s="17">
        <v>0.39642583885438698</v>
      </c>
      <c r="H10" s="17">
        <v>0.37767542652004199</v>
      </c>
      <c r="I10" s="17">
        <v>0.287532414282749</v>
      </c>
      <c r="J10" s="17">
        <v>0.31503668964245501</v>
      </c>
      <c r="K10" s="17"/>
      <c r="L10" s="17">
        <v>0.39585961363308297</v>
      </c>
      <c r="M10" s="17">
        <v>0.32892240801135603</v>
      </c>
      <c r="N10" s="17">
        <v>0.31581935479141998</v>
      </c>
      <c r="O10" s="17">
        <v>0.36106533315109601</v>
      </c>
    </row>
    <row r="11" spans="2:15" x14ac:dyDescent="0.3">
      <c r="B11" s="18" t="s">
        <v>139</v>
      </c>
      <c r="C11" s="17">
        <v>0.17879293988786699</v>
      </c>
      <c r="D11" s="17">
        <v>0.17210873607428201</v>
      </c>
      <c r="E11" s="17">
        <v>0.186772451329344</v>
      </c>
      <c r="F11" s="17"/>
      <c r="G11" s="17">
        <v>0.153710196660199</v>
      </c>
      <c r="H11" s="17">
        <v>0.14900657445712301</v>
      </c>
      <c r="I11" s="17">
        <v>0.24355083096320901</v>
      </c>
      <c r="J11" s="17">
        <v>0.187566391815986</v>
      </c>
      <c r="K11" s="17"/>
      <c r="L11" s="17">
        <v>0.13433981619959401</v>
      </c>
      <c r="M11" s="17">
        <v>0.17227451378174699</v>
      </c>
      <c r="N11" s="17">
        <v>0.24657502052590399</v>
      </c>
      <c r="O11" s="17">
        <v>0.156827722483942</v>
      </c>
    </row>
    <row r="12" spans="2:15" x14ac:dyDescent="0.3">
      <c r="B12" s="18" t="s">
        <v>140</v>
      </c>
      <c r="C12" s="17">
        <v>0.190696178182584</v>
      </c>
      <c r="D12" s="17">
        <v>0.180012978828687</v>
      </c>
      <c r="E12" s="17">
        <v>0.202756876913324</v>
      </c>
      <c r="F12" s="17"/>
      <c r="G12" s="17">
        <v>0.15979306025968201</v>
      </c>
      <c r="H12" s="17">
        <v>0.22080974407107601</v>
      </c>
      <c r="I12" s="17">
        <v>0.20556423318990899</v>
      </c>
      <c r="J12" s="17">
        <v>0.184684778127161</v>
      </c>
      <c r="K12" s="17"/>
      <c r="L12" s="17">
        <v>0.26430896246392399</v>
      </c>
      <c r="M12" s="17">
        <v>0.19078554761556499</v>
      </c>
      <c r="N12" s="17">
        <v>0.146487249100442</v>
      </c>
      <c r="O12" s="17">
        <v>0.16488026056232799</v>
      </c>
    </row>
    <row r="13" spans="2:15" x14ac:dyDescent="0.3">
      <c r="B13" s="18" t="s">
        <v>141</v>
      </c>
      <c r="C13" s="17">
        <v>0.116335871621462</v>
      </c>
      <c r="D13" s="17">
        <v>0.12568856703293099</v>
      </c>
      <c r="E13" s="17">
        <v>0.107841590233602</v>
      </c>
      <c r="F13" s="17"/>
      <c r="G13" s="17">
        <v>0.110893884911555</v>
      </c>
      <c r="H13" s="17">
        <v>8.9057960483751503E-2</v>
      </c>
      <c r="I13" s="17">
        <v>0.123655557952421</v>
      </c>
      <c r="J13" s="17">
        <v>0.148620877479959</v>
      </c>
      <c r="K13" s="17"/>
      <c r="L13" s="17">
        <v>0.10916689496753899</v>
      </c>
      <c r="M13" s="17">
        <v>0.11417651153316</v>
      </c>
      <c r="N13" s="17">
        <v>0.10519083891353601</v>
      </c>
      <c r="O13" s="17">
        <v>0.13790158168275099</v>
      </c>
    </row>
    <row r="14" spans="2:15" x14ac:dyDescent="0.3">
      <c r="B14" s="18" t="s">
        <v>142</v>
      </c>
      <c r="C14" s="17">
        <v>4.54352722382491E-2</v>
      </c>
      <c r="D14" s="17">
        <v>4.7129375340249802E-2</v>
      </c>
      <c r="E14" s="17">
        <v>3.9728586487116399E-2</v>
      </c>
      <c r="F14" s="17"/>
      <c r="G14" s="17">
        <v>2.1031869836841799E-2</v>
      </c>
      <c r="H14" s="17">
        <v>6.9358047055239305E-2</v>
      </c>
      <c r="I14" s="17">
        <v>4.6121130841519899E-2</v>
      </c>
      <c r="J14" s="17">
        <v>4.97807494196277E-2</v>
      </c>
      <c r="K14" s="17"/>
      <c r="L14" s="17">
        <v>1.7833941671908601E-2</v>
      </c>
      <c r="M14" s="17">
        <v>5.6894744163512402E-2</v>
      </c>
      <c r="N14" s="17">
        <v>3.67539553713696E-2</v>
      </c>
      <c r="O14" s="17">
        <v>7.0113749005925805E-2</v>
      </c>
    </row>
    <row r="15" spans="2:15" x14ac:dyDescent="0.3">
      <c r="B15" s="18" t="s">
        <v>143</v>
      </c>
      <c r="C15" s="21">
        <v>0.46873973806983799</v>
      </c>
      <c r="D15" s="21">
        <v>0.475060342723851</v>
      </c>
      <c r="E15" s="21">
        <v>0.46290049503661401</v>
      </c>
      <c r="F15" s="21"/>
      <c r="G15" s="21">
        <v>0.55457098833172203</v>
      </c>
      <c r="H15" s="21">
        <v>0.47176767393280999</v>
      </c>
      <c r="I15" s="21">
        <v>0.381108247052942</v>
      </c>
      <c r="J15" s="21">
        <v>0.42934720315726599</v>
      </c>
      <c r="K15" s="21"/>
      <c r="L15" s="21">
        <v>0.474350384697035</v>
      </c>
      <c r="M15" s="21">
        <v>0.46586868290601602</v>
      </c>
      <c r="N15" s="21">
        <v>0.46499293608874798</v>
      </c>
      <c r="O15" s="21">
        <v>0.47027668626505298</v>
      </c>
    </row>
    <row r="16" spans="2:15" x14ac:dyDescent="0.3">
      <c r="B16" s="18" t="s">
        <v>144</v>
      </c>
      <c r="C16" s="21">
        <v>0.30703204980404603</v>
      </c>
      <c r="D16" s="21">
        <v>0.30570154586161802</v>
      </c>
      <c r="E16" s="21">
        <v>0.31059846714692602</v>
      </c>
      <c r="F16" s="21"/>
      <c r="G16" s="21">
        <v>0.27068694517123698</v>
      </c>
      <c r="H16" s="21">
        <v>0.30986770455482798</v>
      </c>
      <c r="I16" s="21">
        <v>0.32921979114233002</v>
      </c>
      <c r="J16" s="21">
        <v>0.333305655607121</v>
      </c>
      <c r="K16" s="21"/>
      <c r="L16" s="21">
        <v>0.373475857431463</v>
      </c>
      <c r="M16" s="21">
        <v>0.30496205914872498</v>
      </c>
      <c r="N16" s="21">
        <v>0.25167808801397801</v>
      </c>
      <c r="O16" s="21">
        <v>0.30278184224507998</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520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1.8057507427526601E-2</v>
      </c>
      <c r="D9" s="17">
        <v>1.5370413784445499E-2</v>
      </c>
      <c r="E9" s="17">
        <v>2.0873133485690601E-2</v>
      </c>
      <c r="F9" s="17"/>
      <c r="G9" s="17">
        <v>3.5013524205329299E-2</v>
      </c>
      <c r="H9" s="17">
        <v>1.9903544429069601E-2</v>
      </c>
      <c r="I9" s="17">
        <v>0</v>
      </c>
      <c r="J9" s="17">
        <v>1.05155280745839E-2</v>
      </c>
      <c r="K9" s="17"/>
      <c r="L9" s="17">
        <v>2.22209996833015E-2</v>
      </c>
      <c r="M9" s="17">
        <v>4.0783789730608304E-3</v>
      </c>
      <c r="N9" s="17">
        <v>4.4764124512878797E-2</v>
      </c>
      <c r="O9" s="17">
        <v>0</v>
      </c>
    </row>
    <row r="10" spans="2:15" x14ac:dyDescent="0.3">
      <c r="B10" s="18" t="s">
        <v>138</v>
      </c>
      <c r="C10" s="17">
        <v>8.4145655336274106E-2</v>
      </c>
      <c r="D10" s="17">
        <v>9.3057143790748295E-2</v>
      </c>
      <c r="E10" s="17">
        <v>7.5857499858565297E-2</v>
      </c>
      <c r="F10" s="17"/>
      <c r="G10" s="17">
        <v>0.102608238543504</v>
      </c>
      <c r="H10" s="17">
        <v>6.3759664298535704E-2</v>
      </c>
      <c r="I10" s="17">
        <v>8.6081955741267299E-2</v>
      </c>
      <c r="J10" s="17">
        <v>8.2153201299376005E-2</v>
      </c>
      <c r="K10" s="17"/>
      <c r="L10" s="17">
        <v>8.1306419388382095E-2</v>
      </c>
      <c r="M10" s="17">
        <v>9.4821661709943203E-2</v>
      </c>
      <c r="N10" s="17">
        <v>7.6677564826858696E-2</v>
      </c>
      <c r="O10" s="17">
        <v>8.3590527934055595E-2</v>
      </c>
    </row>
    <row r="11" spans="2:15" x14ac:dyDescent="0.3">
      <c r="B11" s="18" t="s">
        <v>139</v>
      </c>
      <c r="C11" s="17">
        <v>0.102122558420599</v>
      </c>
      <c r="D11" s="17">
        <v>0.102345478037247</v>
      </c>
      <c r="E11" s="17">
        <v>0.102644087760886</v>
      </c>
      <c r="F11" s="17"/>
      <c r="G11" s="17">
        <v>9.1106997859928499E-2</v>
      </c>
      <c r="H11" s="17">
        <v>0.102162373036128</v>
      </c>
      <c r="I11" s="17">
        <v>9.3787078493935305E-2</v>
      </c>
      <c r="J11" s="17">
        <v>0.124831490934443</v>
      </c>
      <c r="K11" s="17"/>
      <c r="L11" s="17">
        <v>9.0142990678461099E-2</v>
      </c>
      <c r="M11" s="17">
        <v>5.1042956069634098E-2</v>
      </c>
      <c r="N11" s="17">
        <v>0.17098241396157099</v>
      </c>
      <c r="O11" s="17">
        <v>9.4453218522420904E-2</v>
      </c>
    </row>
    <row r="12" spans="2:15" x14ac:dyDescent="0.3">
      <c r="B12" s="18" t="s">
        <v>140</v>
      </c>
      <c r="C12" s="17">
        <v>0.18755194806004299</v>
      </c>
      <c r="D12" s="17">
        <v>0.199045524329935</v>
      </c>
      <c r="E12" s="17">
        <v>0.174496526596775</v>
      </c>
      <c r="F12" s="17"/>
      <c r="G12" s="17">
        <v>0.16848221760864099</v>
      </c>
      <c r="H12" s="17">
        <v>0.16572788113669901</v>
      </c>
      <c r="I12" s="17">
        <v>0.191497717265116</v>
      </c>
      <c r="J12" s="17">
        <v>0.227096501450778</v>
      </c>
      <c r="K12" s="17"/>
      <c r="L12" s="17">
        <v>0.21341464946371799</v>
      </c>
      <c r="M12" s="17">
        <v>0.138785734256725</v>
      </c>
      <c r="N12" s="17">
        <v>0.20346829250472101</v>
      </c>
      <c r="O12" s="17">
        <v>0.19690716411456499</v>
      </c>
    </row>
    <row r="13" spans="2:15" x14ac:dyDescent="0.3">
      <c r="B13" s="18" t="s">
        <v>141</v>
      </c>
      <c r="C13" s="17">
        <v>0.58246651298089702</v>
      </c>
      <c r="D13" s="17">
        <v>0.56387243915338703</v>
      </c>
      <c r="E13" s="17">
        <v>0.60093841336680598</v>
      </c>
      <c r="F13" s="17"/>
      <c r="G13" s="17">
        <v>0.58524832240472502</v>
      </c>
      <c r="H13" s="17">
        <v>0.61141880742990995</v>
      </c>
      <c r="I13" s="17">
        <v>0.59849852593642205</v>
      </c>
      <c r="J13" s="17">
        <v>0.53597570827708996</v>
      </c>
      <c r="K13" s="17"/>
      <c r="L13" s="17">
        <v>0.56733369596565897</v>
      </c>
      <c r="M13" s="17">
        <v>0.68030717751579195</v>
      </c>
      <c r="N13" s="17">
        <v>0.48312327662754501</v>
      </c>
      <c r="O13" s="17">
        <v>0.59996833328836696</v>
      </c>
    </row>
    <row r="14" spans="2:15" x14ac:dyDescent="0.3">
      <c r="B14" s="18" t="s">
        <v>142</v>
      </c>
      <c r="C14" s="17">
        <v>2.565581777466E-2</v>
      </c>
      <c r="D14" s="17">
        <v>2.6309000904237299E-2</v>
      </c>
      <c r="E14" s="17">
        <v>2.51903389312776E-2</v>
      </c>
      <c r="F14" s="17"/>
      <c r="G14" s="17">
        <v>1.75406993778729E-2</v>
      </c>
      <c r="H14" s="17">
        <v>3.7027729669656902E-2</v>
      </c>
      <c r="I14" s="17">
        <v>3.0134722563259001E-2</v>
      </c>
      <c r="J14" s="17">
        <v>1.94275699637282E-2</v>
      </c>
      <c r="K14" s="17"/>
      <c r="L14" s="17">
        <v>2.5581244820478601E-2</v>
      </c>
      <c r="M14" s="17">
        <v>3.0964091474845901E-2</v>
      </c>
      <c r="N14" s="17">
        <v>2.09843275664259E-2</v>
      </c>
      <c r="O14" s="17">
        <v>2.5080756140591801E-2</v>
      </c>
    </row>
    <row r="15" spans="2:15" x14ac:dyDescent="0.3">
      <c r="B15" s="18" t="s">
        <v>143</v>
      </c>
      <c r="C15" s="21">
        <v>0.10220316276380099</v>
      </c>
      <c r="D15" s="21">
        <v>0.108427557575194</v>
      </c>
      <c r="E15" s="21">
        <v>9.6730633344255995E-2</v>
      </c>
      <c r="F15" s="21"/>
      <c r="G15" s="21">
        <v>0.137621762748833</v>
      </c>
      <c r="H15" s="21">
        <v>8.3663208727605298E-2</v>
      </c>
      <c r="I15" s="21">
        <v>8.6081955741267299E-2</v>
      </c>
      <c r="J15" s="21">
        <v>9.2668729373959993E-2</v>
      </c>
      <c r="K15" s="21"/>
      <c r="L15" s="21">
        <v>0.103527419071684</v>
      </c>
      <c r="M15" s="21">
        <v>9.8900040683003995E-2</v>
      </c>
      <c r="N15" s="21">
        <v>0.12144168933973799</v>
      </c>
      <c r="O15" s="21">
        <v>8.3590527934055595E-2</v>
      </c>
    </row>
    <row r="16" spans="2:15" x14ac:dyDescent="0.3">
      <c r="B16" s="18" t="s">
        <v>144</v>
      </c>
      <c r="C16" s="21">
        <v>0.77001846104093996</v>
      </c>
      <c r="D16" s="21">
        <v>0.76291796348332197</v>
      </c>
      <c r="E16" s="21">
        <v>0.77543493996358104</v>
      </c>
      <c r="F16" s="21"/>
      <c r="G16" s="21">
        <v>0.75373054001336603</v>
      </c>
      <c r="H16" s="21">
        <v>0.77714668856660896</v>
      </c>
      <c r="I16" s="21">
        <v>0.78999624320153805</v>
      </c>
      <c r="J16" s="21">
        <v>0.76307220972786804</v>
      </c>
      <c r="K16" s="21"/>
      <c r="L16" s="21">
        <v>0.78074834542937699</v>
      </c>
      <c r="M16" s="21">
        <v>0.81909291177251597</v>
      </c>
      <c r="N16" s="21">
        <v>0.68659156913226604</v>
      </c>
      <c r="O16" s="21">
        <v>0.79687549740293195</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521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2.51821204447541E-2</v>
      </c>
      <c r="D9" s="17">
        <v>3.0949894796464199E-2</v>
      </c>
      <c r="E9" s="17">
        <v>1.9604418283853502E-2</v>
      </c>
      <c r="F9" s="17"/>
      <c r="G9" s="17">
        <v>3.47325821722776E-2</v>
      </c>
      <c r="H9" s="17">
        <v>2.8342792107232801E-2</v>
      </c>
      <c r="I9" s="17">
        <v>1.89321301929265E-2</v>
      </c>
      <c r="J9" s="17">
        <v>1.5067914667240801E-2</v>
      </c>
      <c r="K9" s="17"/>
      <c r="L9" s="17">
        <v>3.0152179611074099E-2</v>
      </c>
      <c r="M9" s="17">
        <v>2.9718922841458301E-2</v>
      </c>
      <c r="N9" s="17">
        <v>3.9334331272875202E-2</v>
      </c>
      <c r="O9" s="17">
        <v>0</v>
      </c>
    </row>
    <row r="10" spans="2:15" x14ac:dyDescent="0.3">
      <c r="B10" s="18" t="s">
        <v>138</v>
      </c>
      <c r="C10" s="17">
        <v>0.113257546384983</v>
      </c>
      <c r="D10" s="17">
        <v>0.10475657676005801</v>
      </c>
      <c r="E10" s="17">
        <v>0.122574181830323</v>
      </c>
      <c r="F10" s="17"/>
      <c r="G10" s="17">
        <v>0.13705985804885301</v>
      </c>
      <c r="H10" s="17">
        <v>0.108868104298394</v>
      </c>
      <c r="I10" s="17">
        <v>0.1080204315398</v>
      </c>
      <c r="J10" s="17">
        <v>9.2937131939884496E-2</v>
      </c>
      <c r="K10" s="17"/>
      <c r="L10" s="17">
        <v>9.8908780593566295E-2</v>
      </c>
      <c r="M10" s="17">
        <v>9.4709621500513499E-2</v>
      </c>
      <c r="N10" s="17">
        <v>0.102347606212148</v>
      </c>
      <c r="O10" s="17">
        <v>0.15937848473935301</v>
      </c>
    </row>
    <row r="11" spans="2:15" x14ac:dyDescent="0.3">
      <c r="B11" s="18" t="s">
        <v>139</v>
      </c>
      <c r="C11" s="17">
        <v>0.14616966228228101</v>
      </c>
      <c r="D11" s="17">
        <v>0.183721306923193</v>
      </c>
      <c r="E11" s="17">
        <v>0.10972592618422999</v>
      </c>
      <c r="F11" s="17"/>
      <c r="G11" s="17">
        <v>8.8168751979901303E-2</v>
      </c>
      <c r="H11" s="17">
        <v>0.11395298741286899</v>
      </c>
      <c r="I11" s="17">
        <v>0.21265743199801601</v>
      </c>
      <c r="J11" s="17">
        <v>0.19870855527313599</v>
      </c>
      <c r="K11" s="17"/>
      <c r="L11" s="17">
        <v>0.16046417484150899</v>
      </c>
      <c r="M11" s="17">
        <v>0.14048657750244301</v>
      </c>
      <c r="N11" s="17">
        <v>0.17350418368627299</v>
      </c>
      <c r="O11" s="17">
        <v>0.108376373040979</v>
      </c>
    </row>
    <row r="12" spans="2:15" x14ac:dyDescent="0.3">
      <c r="B12" s="18" t="s">
        <v>140</v>
      </c>
      <c r="C12" s="17">
        <v>0.308020807681672</v>
      </c>
      <c r="D12" s="17">
        <v>0.30208669871091498</v>
      </c>
      <c r="E12" s="17">
        <v>0.31325113044604702</v>
      </c>
      <c r="F12" s="17"/>
      <c r="G12" s="17">
        <v>0.2825694268326</v>
      </c>
      <c r="H12" s="17">
        <v>0.34573364186664701</v>
      </c>
      <c r="I12" s="17">
        <v>0.27572271310464502</v>
      </c>
      <c r="J12" s="17">
        <v>0.32233103540693497</v>
      </c>
      <c r="K12" s="17"/>
      <c r="L12" s="17">
        <v>0.30028628263495499</v>
      </c>
      <c r="M12" s="17">
        <v>0.29132655624091502</v>
      </c>
      <c r="N12" s="17">
        <v>0.32942191544732702</v>
      </c>
      <c r="O12" s="17">
        <v>0.31052976677459398</v>
      </c>
    </row>
    <row r="13" spans="2:15" x14ac:dyDescent="0.3">
      <c r="B13" s="18" t="s">
        <v>141</v>
      </c>
      <c r="C13" s="17">
        <v>0.36491936886913601</v>
      </c>
      <c r="D13" s="17">
        <v>0.31777897679016298</v>
      </c>
      <c r="E13" s="17">
        <v>0.410319778649399</v>
      </c>
      <c r="F13" s="17"/>
      <c r="G13" s="17">
        <v>0.44791364689865698</v>
      </c>
      <c r="H13" s="17">
        <v>0.34005131062209898</v>
      </c>
      <c r="I13" s="17">
        <v>0.32738479396862302</v>
      </c>
      <c r="J13" s="17">
        <v>0.32227030109469301</v>
      </c>
      <c r="K13" s="17"/>
      <c r="L13" s="17">
        <v>0.37425415584639099</v>
      </c>
      <c r="M13" s="17">
        <v>0.39928288101621601</v>
      </c>
      <c r="N13" s="17">
        <v>0.31798446248087198</v>
      </c>
      <c r="O13" s="17">
        <v>0.36946392195730698</v>
      </c>
    </row>
    <row r="14" spans="2:15" x14ac:dyDescent="0.3">
      <c r="B14" s="18" t="s">
        <v>142</v>
      </c>
      <c r="C14" s="17">
        <v>4.2450494337174099E-2</v>
      </c>
      <c r="D14" s="17">
        <v>6.0706546019206803E-2</v>
      </c>
      <c r="E14" s="17">
        <v>2.45245646061471E-2</v>
      </c>
      <c r="F14" s="17"/>
      <c r="G14" s="17">
        <v>9.5557340677106997E-3</v>
      </c>
      <c r="H14" s="17">
        <v>6.30511636927574E-2</v>
      </c>
      <c r="I14" s="17">
        <v>5.7282499195988601E-2</v>
      </c>
      <c r="J14" s="17">
        <v>4.8685061618110197E-2</v>
      </c>
      <c r="K14" s="17"/>
      <c r="L14" s="17">
        <v>3.5934426472504201E-2</v>
      </c>
      <c r="M14" s="17">
        <v>4.44754408984546E-2</v>
      </c>
      <c r="N14" s="17">
        <v>3.7407500900504403E-2</v>
      </c>
      <c r="O14" s="17">
        <v>5.2251453487767899E-2</v>
      </c>
    </row>
    <row r="15" spans="2:15" x14ac:dyDescent="0.3">
      <c r="B15" s="18" t="s">
        <v>143</v>
      </c>
      <c r="C15" s="21">
        <v>0.13843966682973699</v>
      </c>
      <c r="D15" s="21">
        <v>0.13570647155652199</v>
      </c>
      <c r="E15" s="21">
        <v>0.14217860011417599</v>
      </c>
      <c r="F15" s="21"/>
      <c r="G15" s="21">
        <v>0.17179244022112999</v>
      </c>
      <c r="H15" s="21">
        <v>0.137210896405627</v>
      </c>
      <c r="I15" s="21">
        <v>0.12695256173272701</v>
      </c>
      <c r="J15" s="21">
        <v>0.108005046607125</v>
      </c>
      <c r="K15" s="21"/>
      <c r="L15" s="21">
        <v>0.12906096020464</v>
      </c>
      <c r="M15" s="21">
        <v>0.12442854434197199</v>
      </c>
      <c r="N15" s="21">
        <v>0.141681937485023</v>
      </c>
      <c r="O15" s="21">
        <v>0.15937848473935301</v>
      </c>
    </row>
    <row r="16" spans="2:15" x14ac:dyDescent="0.3">
      <c r="B16" s="18" t="s">
        <v>144</v>
      </c>
      <c r="C16" s="21">
        <v>0.67294017655080796</v>
      </c>
      <c r="D16" s="21">
        <v>0.61986567550107796</v>
      </c>
      <c r="E16" s="21">
        <v>0.72357090909544697</v>
      </c>
      <c r="F16" s="21"/>
      <c r="G16" s="21">
        <v>0.73048307373125798</v>
      </c>
      <c r="H16" s="21">
        <v>0.68578495248874605</v>
      </c>
      <c r="I16" s="21">
        <v>0.60310750707326899</v>
      </c>
      <c r="J16" s="21">
        <v>0.64460133650162799</v>
      </c>
      <c r="K16" s="21"/>
      <c r="L16" s="21">
        <v>0.67454043848134604</v>
      </c>
      <c r="M16" s="21">
        <v>0.69060943725713098</v>
      </c>
      <c r="N16" s="21">
        <v>0.64740637792819899</v>
      </c>
      <c r="O16" s="21">
        <v>0.67999368873190003</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522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2.3573584126775401E-2</v>
      </c>
      <c r="D9" s="17">
        <v>1.28789223052723E-2</v>
      </c>
      <c r="E9" s="17">
        <v>3.4427863766228799E-2</v>
      </c>
      <c r="F9" s="17"/>
      <c r="G9" s="17">
        <v>2.7374407027974799E-2</v>
      </c>
      <c r="H9" s="17">
        <v>4.1527301588447203E-2</v>
      </c>
      <c r="I9" s="17">
        <v>0</v>
      </c>
      <c r="J9" s="17">
        <v>1.9949928389492898E-2</v>
      </c>
      <c r="K9" s="17"/>
      <c r="L9" s="17">
        <v>9.1430317647263806E-3</v>
      </c>
      <c r="M9" s="17">
        <v>1.3696772363256801E-2</v>
      </c>
      <c r="N9" s="17">
        <v>3.51545922013742E-2</v>
      </c>
      <c r="O9" s="17">
        <v>3.6083099486945797E-2</v>
      </c>
    </row>
    <row r="10" spans="2:15" x14ac:dyDescent="0.3">
      <c r="B10" s="18" t="s">
        <v>138</v>
      </c>
      <c r="C10" s="17">
        <v>7.2391963488404307E-2</v>
      </c>
      <c r="D10" s="17">
        <v>7.0008295900454598E-2</v>
      </c>
      <c r="E10" s="17">
        <v>7.5300458951371302E-2</v>
      </c>
      <c r="F10" s="17"/>
      <c r="G10" s="17">
        <v>7.1778667385037895E-2</v>
      </c>
      <c r="H10" s="17">
        <v>6.7766271219705299E-2</v>
      </c>
      <c r="I10" s="17">
        <v>7.0860724346321499E-2</v>
      </c>
      <c r="J10" s="17">
        <v>8.0411707506866895E-2</v>
      </c>
      <c r="K10" s="17"/>
      <c r="L10" s="17">
        <v>7.7438979201648703E-2</v>
      </c>
      <c r="M10" s="17">
        <v>8.7192543702830097E-2</v>
      </c>
      <c r="N10" s="17">
        <v>8.8656320432378602E-2</v>
      </c>
      <c r="O10" s="17">
        <v>3.3803391461244899E-2</v>
      </c>
    </row>
    <row r="11" spans="2:15" x14ac:dyDescent="0.3">
      <c r="B11" s="18" t="s">
        <v>139</v>
      </c>
      <c r="C11" s="17">
        <v>0.12618805009969999</v>
      </c>
      <c r="D11" s="17">
        <v>0.124229033332747</v>
      </c>
      <c r="E11" s="17">
        <v>0.129064404895742</v>
      </c>
      <c r="F11" s="17"/>
      <c r="G11" s="17">
        <v>9.2008831398252902E-2</v>
      </c>
      <c r="H11" s="17">
        <v>0.130628679384372</v>
      </c>
      <c r="I11" s="17">
        <v>0.13568436838721601</v>
      </c>
      <c r="J11" s="17">
        <v>0.15796871305410801</v>
      </c>
      <c r="K11" s="17"/>
      <c r="L11" s="17">
        <v>0.16177145531484999</v>
      </c>
      <c r="M11" s="17">
        <v>9.6957368675278002E-2</v>
      </c>
      <c r="N11" s="17">
        <v>0.14867516951124099</v>
      </c>
      <c r="O11" s="17">
        <v>9.7688725842258295E-2</v>
      </c>
    </row>
    <row r="12" spans="2:15" x14ac:dyDescent="0.3">
      <c r="B12" s="18" t="s">
        <v>140</v>
      </c>
      <c r="C12" s="17">
        <v>0.27693661380132101</v>
      </c>
      <c r="D12" s="17">
        <v>0.31749419051111</v>
      </c>
      <c r="E12" s="17">
        <v>0.23550163443441399</v>
      </c>
      <c r="F12" s="17"/>
      <c r="G12" s="17">
        <v>0.26139481457524699</v>
      </c>
      <c r="H12" s="17">
        <v>0.25967527336212398</v>
      </c>
      <c r="I12" s="17">
        <v>0.29507305757596197</v>
      </c>
      <c r="J12" s="17">
        <v>0.29446967487258402</v>
      </c>
      <c r="K12" s="17"/>
      <c r="L12" s="17">
        <v>0.26667974788366</v>
      </c>
      <c r="M12" s="17">
        <v>0.31893862738574003</v>
      </c>
      <c r="N12" s="17">
        <v>0.266319946472522</v>
      </c>
      <c r="O12" s="17">
        <v>0.25351088501467001</v>
      </c>
    </row>
    <row r="13" spans="2:15" x14ac:dyDescent="0.3">
      <c r="B13" s="18" t="s">
        <v>141</v>
      </c>
      <c r="C13" s="17">
        <v>0.484058128265899</v>
      </c>
      <c r="D13" s="17">
        <v>0.45844412801390599</v>
      </c>
      <c r="E13" s="17">
        <v>0.50882483804904199</v>
      </c>
      <c r="F13" s="17"/>
      <c r="G13" s="17">
        <v>0.543568660897218</v>
      </c>
      <c r="H13" s="17">
        <v>0.48538666748306902</v>
      </c>
      <c r="I13" s="17">
        <v>0.47801479046058498</v>
      </c>
      <c r="J13" s="17">
        <v>0.414448911478633</v>
      </c>
      <c r="K13" s="17"/>
      <c r="L13" s="17">
        <v>0.46526040423257398</v>
      </c>
      <c r="M13" s="17">
        <v>0.47578820285609702</v>
      </c>
      <c r="N13" s="17">
        <v>0.44127523102415001</v>
      </c>
      <c r="O13" s="17">
        <v>0.55810042588832998</v>
      </c>
    </row>
    <row r="14" spans="2:15" x14ac:dyDescent="0.3">
      <c r="B14" s="18" t="s">
        <v>142</v>
      </c>
      <c r="C14" s="17">
        <v>1.6851660217900001E-2</v>
      </c>
      <c r="D14" s="17">
        <v>1.6945429936509E-2</v>
      </c>
      <c r="E14" s="17">
        <v>1.6880799903201699E-2</v>
      </c>
      <c r="F14" s="17"/>
      <c r="G14" s="17">
        <v>3.8746187162700101E-3</v>
      </c>
      <c r="H14" s="17">
        <v>1.50158069622819E-2</v>
      </c>
      <c r="I14" s="17">
        <v>2.0367059229916201E-2</v>
      </c>
      <c r="J14" s="17">
        <v>3.2751064698314902E-2</v>
      </c>
      <c r="K14" s="17"/>
      <c r="L14" s="17">
        <v>1.9706381602541099E-2</v>
      </c>
      <c r="M14" s="17">
        <v>7.42648501679716E-3</v>
      </c>
      <c r="N14" s="17">
        <v>1.9918740358333801E-2</v>
      </c>
      <c r="O14" s="17">
        <v>2.0813472306550999E-2</v>
      </c>
    </row>
    <row r="15" spans="2:15" x14ac:dyDescent="0.3">
      <c r="B15" s="18" t="s">
        <v>143</v>
      </c>
      <c r="C15" s="21">
        <v>9.5965547615179697E-2</v>
      </c>
      <c r="D15" s="21">
        <v>8.2887218205726906E-2</v>
      </c>
      <c r="E15" s="21">
        <v>0.1097283227176</v>
      </c>
      <c r="F15" s="21"/>
      <c r="G15" s="21">
        <v>9.9153074413012604E-2</v>
      </c>
      <c r="H15" s="21">
        <v>0.10929357280815299</v>
      </c>
      <c r="I15" s="21">
        <v>7.0860724346321499E-2</v>
      </c>
      <c r="J15" s="21">
        <v>0.10036163589636</v>
      </c>
      <c r="K15" s="21"/>
      <c r="L15" s="21">
        <v>8.6582010966375106E-2</v>
      </c>
      <c r="M15" s="21">
        <v>0.100889316066087</v>
      </c>
      <c r="N15" s="21">
        <v>0.123810912633753</v>
      </c>
      <c r="O15" s="21">
        <v>6.9886490948190605E-2</v>
      </c>
    </row>
    <row r="16" spans="2:15" x14ac:dyDescent="0.3">
      <c r="B16" s="18" t="s">
        <v>144</v>
      </c>
      <c r="C16" s="21">
        <v>0.76099474206721995</v>
      </c>
      <c r="D16" s="21">
        <v>0.77593831852501705</v>
      </c>
      <c r="E16" s="21">
        <v>0.74432647248345596</v>
      </c>
      <c r="F16" s="21"/>
      <c r="G16" s="21">
        <v>0.80496347547246505</v>
      </c>
      <c r="H16" s="21">
        <v>0.74506194084519295</v>
      </c>
      <c r="I16" s="21">
        <v>0.77308784803654695</v>
      </c>
      <c r="J16" s="21">
        <v>0.70891858635121696</v>
      </c>
      <c r="K16" s="21"/>
      <c r="L16" s="21">
        <v>0.73194015211623398</v>
      </c>
      <c r="M16" s="21">
        <v>0.79472683024183799</v>
      </c>
      <c r="N16" s="21">
        <v>0.707595177496672</v>
      </c>
      <c r="O16" s="21">
        <v>0.81161131090299998</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523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2.6309175946068498E-2</v>
      </c>
      <c r="D9" s="17">
        <v>3.1696941494535599E-2</v>
      </c>
      <c r="E9" s="17">
        <v>2.1119263343105099E-2</v>
      </c>
      <c r="F9" s="17"/>
      <c r="G9" s="17">
        <v>3.92156500737273E-2</v>
      </c>
      <c r="H9" s="17">
        <v>3.4298765559861499E-2</v>
      </c>
      <c r="I9" s="17">
        <v>1.84698478408006E-2</v>
      </c>
      <c r="J9" s="17">
        <v>7.8057171804041398E-3</v>
      </c>
      <c r="K9" s="17"/>
      <c r="L9" s="17">
        <v>7.1894244628191101E-3</v>
      </c>
      <c r="M9" s="17">
        <v>1.9436567824661299E-2</v>
      </c>
      <c r="N9" s="17">
        <v>3.9208749323411701E-2</v>
      </c>
      <c r="O9" s="17">
        <v>3.88476498556794E-2</v>
      </c>
    </row>
    <row r="10" spans="2:15" x14ac:dyDescent="0.3">
      <c r="B10" s="18" t="s">
        <v>138</v>
      </c>
      <c r="C10" s="17">
        <v>0.1127965681659</v>
      </c>
      <c r="D10" s="17">
        <v>9.3965162969646299E-2</v>
      </c>
      <c r="E10" s="17">
        <v>0.12514124867388399</v>
      </c>
      <c r="F10" s="17"/>
      <c r="G10" s="17">
        <v>8.8938405706165E-2</v>
      </c>
      <c r="H10" s="17">
        <v>0.15974903128435899</v>
      </c>
      <c r="I10" s="17">
        <v>8.5983466086596502E-2</v>
      </c>
      <c r="J10" s="17">
        <v>0.115924256537556</v>
      </c>
      <c r="K10" s="17"/>
      <c r="L10" s="17">
        <v>0.13181706261117701</v>
      </c>
      <c r="M10" s="17">
        <v>0.10301862156934501</v>
      </c>
      <c r="N10" s="17">
        <v>0.10322739943655899</v>
      </c>
      <c r="O10" s="17">
        <v>0.114661373304008</v>
      </c>
    </row>
    <row r="11" spans="2:15" x14ac:dyDescent="0.3">
      <c r="B11" s="18" t="s">
        <v>139</v>
      </c>
      <c r="C11" s="17">
        <v>0.17090101759642901</v>
      </c>
      <c r="D11" s="17">
        <v>0.16720653423602799</v>
      </c>
      <c r="E11" s="17">
        <v>0.175836699954633</v>
      </c>
      <c r="F11" s="17"/>
      <c r="G11" s="17">
        <v>0.108982405949361</v>
      </c>
      <c r="H11" s="17">
        <v>0.20773858747698401</v>
      </c>
      <c r="I11" s="17">
        <v>0.21179419503658201</v>
      </c>
      <c r="J11" s="17">
        <v>0.173719182773309</v>
      </c>
      <c r="K11" s="17"/>
      <c r="L11" s="17">
        <v>0.216700349421176</v>
      </c>
      <c r="M11" s="17">
        <v>0.13144440419164199</v>
      </c>
      <c r="N11" s="17">
        <v>0.192777132778816</v>
      </c>
      <c r="O11" s="17">
        <v>0.14384831177469901</v>
      </c>
    </row>
    <row r="12" spans="2:15" x14ac:dyDescent="0.3">
      <c r="B12" s="18" t="s">
        <v>140</v>
      </c>
      <c r="C12" s="17">
        <v>0.25132570955184902</v>
      </c>
      <c r="D12" s="17">
        <v>0.226937491778854</v>
      </c>
      <c r="E12" s="17">
        <v>0.27751765597526301</v>
      </c>
      <c r="F12" s="17"/>
      <c r="G12" s="17">
        <v>0.25787384904045801</v>
      </c>
      <c r="H12" s="17">
        <v>0.19763061956618599</v>
      </c>
      <c r="I12" s="17">
        <v>0.25468684811606201</v>
      </c>
      <c r="J12" s="17">
        <v>0.294738800223384</v>
      </c>
      <c r="K12" s="17"/>
      <c r="L12" s="17">
        <v>0.22408038035129799</v>
      </c>
      <c r="M12" s="17">
        <v>0.266184600790355</v>
      </c>
      <c r="N12" s="17">
        <v>0.2395026858</v>
      </c>
      <c r="O12" s="17">
        <v>0.275394749666387</v>
      </c>
    </row>
    <row r="13" spans="2:15" x14ac:dyDescent="0.3">
      <c r="B13" s="18" t="s">
        <v>141</v>
      </c>
      <c r="C13" s="17">
        <v>0.42660273503219798</v>
      </c>
      <c r="D13" s="17">
        <v>0.46747910838429402</v>
      </c>
      <c r="E13" s="17">
        <v>0.38888164669490699</v>
      </c>
      <c r="F13" s="17"/>
      <c r="G13" s="17">
        <v>0.49543395516257799</v>
      </c>
      <c r="H13" s="17">
        <v>0.38700450858320501</v>
      </c>
      <c r="I13" s="17">
        <v>0.42018537829560998</v>
      </c>
      <c r="J13" s="17">
        <v>0.39119770732277198</v>
      </c>
      <c r="K13" s="17"/>
      <c r="L13" s="17">
        <v>0.40480011648773601</v>
      </c>
      <c r="M13" s="17">
        <v>0.46582547173404198</v>
      </c>
      <c r="N13" s="17">
        <v>0.41369962230128898</v>
      </c>
      <c r="O13" s="17">
        <v>0.42018956955285602</v>
      </c>
    </row>
    <row r="14" spans="2:15" x14ac:dyDescent="0.3">
      <c r="B14" s="18" t="s">
        <v>142</v>
      </c>
      <c r="C14" s="17">
        <v>1.2064793707555799E-2</v>
      </c>
      <c r="D14" s="17">
        <v>1.2714761136640799E-2</v>
      </c>
      <c r="E14" s="17">
        <v>1.15034853582071E-2</v>
      </c>
      <c r="F14" s="17"/>
      <c r="G14" s="17">
        <v>9.5557340677106997E-3</v>
      </c>
      <c r="H14" s="17">
        <v>1.35784875294037E-2</v>
      </c>
      <c r="I14" s="17">
        <v>8.8802646243490296E-3</v>
      </c>
      <c r="J14" s="17">
        <v>1.66143359625762E-2</v>
      </c>
      <c r="K14" s="17"/>
      <c r="L14" s="17">
        <v>1.54126666657937E-2</v>
      </c>
      <c r="M14" s="17">
        <v>1.4090333889953901E-2</v>
      </c>
      <c r="N14" s="17">
        <v>1.1584410359923599E-2</v>
      </c>
      <c r="O14" s="17">
        <v>7.0583458463698298E-3</v>
      </c>
    </row>
    <row r="15" spans="2:15" x14ac:dyDescent="0.3">
      <c r="B15" s="18" t="s">
        <v>143</v>
      </c>
      <c r="C15" s="21">
        <v>0.13910574411196899</v>
      </c>
      <c r="D15" s="21">
        <v>0.125662104464182</v>
      </c>
      <c r="E15" s="21">
        <v>0.146260512016989</v>
      </c>
      <c r="F15" s="21"/>
      <c r="G15" s="21">
        <v>0.128154055779892</v>
      </c>
      <c r="H15" s="21">
        <v>0.19404779684422099</v>
      </c>
      <c r="I15" s="21">
        <v>0.104453313927397</v>
      </c>
      <c r="J15" s="21">
        <v>0.12372997371796</v>
      </c>
      <c r="K15" s="21"/>
      <c r="L15" s="21">
        <v>0.13900648707399599</v>
      </c>
      <c r="M15" s="21">
        <v>0.122455189394006</v>
      </c>
      <c r="N15" s="21">
        <v>0.14243614875996999</v>
      </c>
      <c r="O15" s="21">
        <v>0.15350902315968801</v>
      </c>
    </row>
    <row r="16" spans="2:15" x14ac:dyDescent="0.3">
      <c r="B16" s="18" t="s">
        <v>144</v>
      </c>
      <c r="C16" s="21">
        <v>0.677928444584046</v>
      </c>
      <c r="D16" s="21">
        <v>0.69441660016314899</v>
      </c>
      <c r="E16" s="21">
        <v>0.666399302670171</v>
      </c>
      <c r="F16" s="21"/>
      <c r="G16" s="21">
        <v>0.753307804203036</v>
      </c>
      <c r="H16" s="21">
        <v>0.584635128149391</v>
      </c>
      <c r="I16" s="21">
        <v>0.67487222641167199</v>
      </c>
      <c r="J16" s="21">
        <v>0.68593650754615498</v>
      </c>
      <c r="K16" s="21"/>
      <c r="L16" s="21">
        <v>0.62888049683903402</v>
      </c>
      <c r="M16" s="21">
        <v>0.73201007252439698</v>
      </c>
      <c r="N16" s="21">
        <v>0.65320230810128999</v>
      </c>
      <c r="O16" s="21">
        <v>0.69558431921924302</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B2:I21"/>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9" width="20.6640625" customWidth="1"/>
  </cols>
  <sheetData>
    <row r="2" spans="2:9" ht="40.049999999999997" customHeight="1" x14ac:dyDescent="0.3">
      <c r="D2" s="30" t="s">
        <v>145</v>
      </c>
      <c r="E2" s="26"/>
      <c r="F2" s="26"/>
      <c r="G2" s="26"/>
      <c r="H2" s="26"/>
      <c r="I2" s="26"/>
    </row>
    <row r="6" spans="2:9" ht="49.95" customHeight="1" x14ac:dyDescent="0.3">
      <c r="B6" s="20" t="s">
        <v>14</v>
      </c>
      <c r="C6" s="20" t="s">
        <v>524</v>
      </c>
      <c r="D6" s="20" t="s">
        <v>525</v>
      </c>
      <c r="E6" s="20" t="s">
        <v>526</v>
      </c>
      <c r="F6" s="20" t="s">
        <v>527</v>
      </c>
      <c r="G6" s="20" t="s">
        <v>528</v>
      </c>
      <c r="H6" s="20" t="s">
        <v>529</v>
      </c>
    </row>
    <row r="7" spans="2:9" x14ac:dyDescent="0.3">
      <c r="B7" s="18" t="s">
        <v>137</v>
      </c>
      <c r="C7" s="17">
        <v>0.104087441161272</v>
      </c>
      <c r="D7" s="17">
        <v>9.4808800630989495E-2</v>
      </c>
      <c r="E7" s="17">
        <v>9.4420748547286701E-2</v>
      </c>
      <c r="F7" s="17">
        <v>8.7667752185522904E-2</v>
      </c>
      <c r="G7" s="17">
        <v>5.7158800898086302E-2</v>
      </c>
      <c r="H7" s="17">
        <v>5.0525759445359898E-2</v>
      </c>
    </row>
    <row r="8" spans="2:9" x14ac:dyDescent="0.3">
      <c r="B8" s="18" t="s">
        <v>138</v>
      </c>
      <c r="C8" s="17">
        <v>0.306502502757596</v>
      </c>
      <c r="D8" s="17">
        <v>0.28781149732622202</v>
      </c>
      <c r="E8" s="17">
        <v>0.31573556417901599</v>
      </c>
      <c r="F8" s="17">
        <v>0.25610594848527002</v>
      </c>
      <c r="G8" s="17">
        <v>0.226618535696859</v>
      </c>
      <c r="H8" s="17">
        <v>0.172946105642869</v>
      </c>
    </row>
    <row r="9" spans="2:9" x14ac:dyDescent="0.3">
      <c r="B9" s="18" t="s">
        <v>139</v>
      </c>
      <c r="C9" s="17">
        <v>0.24565191108620099</v>
      </c>
      <c r="D9" s="17">
        <v>0.291548652484722</v>
      </c>
      <c r="E9" s="17">
        <v>0.25718020791851698</v>
      </c>
      <c r="F9" s="17">
        <v>0.28132643053256601</v>
      </c>
      <c r="G9" s="17">
        <v>0.227985238403943</v>
      </c>
      <c r="H9" s="17">
        <v>0.23007781431899199</v>
      </c>
    </row>
    <row r="10" spans="2:9" x14ac:dyDescent="0.3">
      <c r="B10" s="18" t="s">
        <v>140</v>
      </c>
      <c r="C10" s="17">
        <v>0.15996234838286</v>
      </c>
      <c r="D10" s="17">
        <v>0.127601461652468</v>
      </c>
      <c r="E10" s="17">
        <v>0.15534771334345501</v>
      </c>
      <c r="F10" s="17">
        <v>0.188018837467922</v>
      </c>
      <c r="G10" s="17">
        <v>0.25941673263936199</v>
      </c>
      <c r="H10" s="17">
        <v>0.26573968128464798</v>
      </c>
    </row>
    <row r="11" spans="2:9" x14ac:dyDescent="0.3">
      <c r="B11" s="18" t="s">
        <v>141</v>
      </c>
      <c r="C11" s="17">
        <v>0.14391900529420701</v>
      </c>
      <c r="D11" s="17">
        <v>0.17856861947424599</v>
      </c>
      <c r="E11" s="17">
        <v>0.157131718503144</v>
      </c>
      <c r="F11" s="17">
        <v>0.164425338420605</v>
      </c>
      <c r="G11" s="17">
        <v>0.207981933775781</v>
      </c>
      <c r="H11" s="17">
        <v>0.245322500347017</v>
      </c>
    </row>
    <row r="12" spans="2:9" x14ac:dyDescent="0.3">
      <c r="B12" s="18" t="s">
        <v>142</v>
      </c>
      <c r="C12" s="17">
        <v>3.9876791317863799E-2</v>
      </c>
      <c r="D12" s="17">
        <v>1.9660968431352701E-2</v>
      </c>
      <c r="E12" s="17">
        <v>2.0184047508582E-2</v>
      </c>
      <c r="F12" s="17">
        <v>2.2455692908114201E-2</v>
      </c>
      <c r="G12" s="17">
        <v>2.08387585859693E-2</v>
      </c>
      <c r="H12" s="17">
        <v>3.5388138961113098E-2</v>
      </c>
    </row>
    <row r="13" spans="2:9" x14ac:dyDescent="0.3">
      <c r="B13" s="22" t="s">
        <v>143</v>
      </c>
      <c r="C13" s="21">
        <v>0.41058994391886799</v>
      </c>
      <c r="D13" s="21">
        <v>0.38262029795721098</v>
      </c>
      <c r="E13" s="21">
        <v>0.41015631272630199</v>
      </c>
      <c r="F13" s="21">
        <v>0.34377370067079299</v>
      </c>
      <c r="G13" s="21">
        <v>0.28377733659494497</v>
      </c>
      <c r="H13" s="21">
        <v>0.223471865088229</v>
      </c>
    </row>
    <row r="14" spans="2:9" x14ac:dyDescent="0.3">
      <c r="B14" s="22" t="s">
        <v>144</v>
      </c>
      <c r="C14" s="21">
        <v>0.30388135367706698</v>
      </c>
      <c r="D14" s="21">
        <v>0.30617008112671401</v>
      </c>
      <c r="E14" s="21">
        <v>0.31247943184659799</v>
      </c>
      <c r="F14" s="21">
        <v>0.352444175888528</v>
      </c>
      <c r="G14" s="21">
        <v>0.46739866641514299</v>
      </c>
      <c r="H14" s="21">
        <v>0.51106218163166495</v>
      </c>
    </row>
    <row r="15" spans="2:9" x14ac:dyDescent="0.3">
      <c r="B15" s="16"/>
      <c r="C15" s="16"/>
      <c r="D15" s="16"/>
      <c r="E15" s="16"/>
      <c r="F15" s="16"/>
      <c r="G15" s="16"/>
      <c r="H15" s="16"/>
    </row>
    <row r="16" spans="2:9" x14ac:dyDescent="0.3">
      <c r="B16" t="s">
        <v>47</v>
      </c>
    </row>
    <row r="17" spans="2:2" x14ac:dyDescent="0.3">
      <c r="B17" t="s">
        <v>48</v>
      </c>
    </row>
    <row r="21" spans="2:2" x14ac:dyDescent="0.3">
      <c r="B21"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530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8.7667752185522904E-2</v>
      </c>
      <c r="D9" s="17">
        <v>8.1935450324230205E-2</v>
      </c>
      <c r="E9" s="17">
        <v>9.4032390420193998E-2</v>
      </c>
      <c r="F9" s="17"/>
      <c r="G9" s="17">
        <v>0.14664363841268199</v>
      </c>
      <c r="H9" s="17">
        <v>8.4574340917209001E-2</v>
      </c>
      <c r="I9" s="17">
        <v>5.8549468943694498E-2</v>
      </c>
      <c r="J9" s="17">
        <v>3.37553464072863E-2</v>
      </c>
      <c r="K9" s="17"/>
      <c r="L9" s="17">
        <v>0.110054007234031</v>
      </c>
      <c r="M9" s="17">
        <v>6.5987716761559498E-2</v>
      </c>
      <c r="N9" s="17">
        <v>0.100647321155186</v>
      </c>
      <c r="O9" s="17">
        <v>7.4542759769900505E-2</v>
      </c>
    </row>
    <row r="10" spans="2:15" x14ac:dyDescent="0.3">
      <c r="B10" s="18" t="s">
        <v>138</v>
      </c>
      <c r="C10" s="17">
        <v>0.25610594848527002</v>
      </c>
      <c r="D10" s="17">
        <v>0.274893536669162</v>
      </c>
      <c r="E10" s="17">
        <v>0.23920605340860701</v>
      </c>
      <c r="F10" s="17"/>
      <c r="G10" s="17">
        <v>0.290523891136302</v>
      </c>
      <c r="H10" s="17">
        <v>0.220132738944504</v>
      </c>
      <c r="I10" s="17">
        <v>0.238969461624602</v>
      </c>
      <c r="J10" s="17">
        <v>0.26980704879378098</v>
      </c>
      <c r="K10" s="17"/>
      <c r="L10" s="17">
        <v>0.18167779621703001</v>
      </c>
      <c r="M10" s="17">
        <v>0.32381933640236399</v>
      </c>
      <c r="N10" s="17">
        <v>0.299018987196075</v>
      </c>
      <c r="O10" s="17">
        <v>0.211201785451445</v>
      </c>
    </row>
    <row r="11" spans="2:15" x14ac:dyDescent="0.3">
      <c r="B11" s="18" t="s">
        <v>139</v>
      </c>
      <c r="C11" s="17">
        <v>0.28132643053256601</v>
      </c>
      <c r="D11" s="17">
        <v>0.300327937314534</v>
      </c>
      <c r="E11" s="17">
        <v>0.26145498235599102</v>
      </c>
      <c r="F11" s="17"/>
      <c r="G11" s="17">
        <v>0.26636972232765499</v>
      </c>
      <c r="H11" s="17">
        <v>0.226342352841087</v>
      </c>
      <c r="I11" s="17">
        <v>0.34604398576280498</v>
      </c>
      <c r="J11" s="17">
        <v>0.306368613136909</v>
      </c>
      <c r="K11" s="17"/>
      <c r="L11" s="17">
        <v>0.28686340144537098</v>
      </c>
      <c r="M11" s="17">
        <v>0.23011056849844599</v>
      </c>
      <c r="N11" s="17">
        <v>0.30102933539370302</v>
      </c>
      <c r="O11" s="17">
        <v>0.30954049760235502</v>
      </c>
    </row>
    <row r="12" spans="2:15" x14ac:dyDescent="0.3">
      <c r="B12" s="18" t="s">
        <v>140</v>
      </c>
      <c r="C12" s="17">
        <v>0.188018837467922</v>
      </c>
      <c r="D12" s="17">
        <v>0.146944713072125</v>
      </c>
      <c r="E12" s="17">
        <v>0.22607075929414699</v>
      </c>
      <c r="F12" s="17"/>
      <c r="G12" s="17">
        <v>0.15194277889300201</v>
      </c>
      <c r="H12" s="17">
        <v>0.25575322560533598</v>
      </c>
      <c r="I12" s="17">
        <v>0.17648122693579901</v>
      </c>
      <c r="J12" s="17">
        <v>0.17011865817234401</v>
      </c>
      <c r="K12" s="17"/>
      <c r="L12" s="17">
        <v>0.19650817700496001</v>
      </c>
      <c r="M12" s="17">
        <v>0.20577684385994999</v>
      </c>
      <c r="N12" s="17">
        <v>0.166365864103868</v>
      </c>
      <c r="O12" s="17">
        <v>0.18388357583536699</v>
      </c>
    </row>
    <row r="13" spans="2:15" x14ac:dyDescent="0.3">
      <c r="B13" s="18" t="s">
        <v>141</v>
      </c>
      <c r="C13" s="17">
        <v>0.164425338420605</v>
      </c>
      <c r="D13" s="17">
        <v>0.16972764679989699</v>
      </c>
      <c r="E13" s="17">
        <v>0.16032727638045599</v>
      </c>
      <c r="F13" s="17"/>
      <c r="G13" s="17">
        <v>0.125473353380571</v>
      </c>
      <c r="H13" s="17">
        <v>0.19969114338043301</v>
      </c>
      <c r="I13" s="17">
        <v>0.15995769229267701</v>
      </c>
      <c r="J13" s="17">
        <v>0.18047950322689699</v>
      </c>
      <c r="K13" s="17"/>
      <c r="L13" s="17">
        <v>0.172527704180504</v>
      </c>
      <c r="M13" s="17">
        <v>0.16793468231514899</v>
      </c>
      <c r="N13" s="17">
        <v>0.101394311995326</v>
      </c>
      <c r="O13" s="17">
        <v>0.220831381340933</v>
      </c>
    </row>
    <row r="14" spans="2:15" x14ac:dyDescent="0.3">
      <c r="B14" s="18" t="s">
        <v>142</v>
      </c>
      <c r="C14" s="17">
        <v>2.2455692908114201E-2</v>
      </c>
      <c r="D14" s="17">
        <v>2.6170715820051E-2</v>
      </c>
      <c r="E14" s="17">
        <v>1.8908538140604302E-2</v>
      </c>
      <c r="F14" s="17"/>
      <c r="G14" s="17">
        <v>1.9046615849787001E-2</v>
      </c>
      <c r="H14" s="17">
        <v>1.35061983114311E-2</v>
      </c>
      <c r="I14" s="17">
        <v>1.9998164440422499E-2</v>
      </c>
      <c r="J14" s="17">
        <v>3.9470830262783099E-2</v>
      </c>
      <c r="K14" s="17"/>
      <c r="L14" s="17">
        <v>5.2368913918104297E-2</v>
      </c>
      <c r="M14" s="17">
        <v>6.3708521625318896E-3</v>
      </c>
      <c r="N14" s="17">
        <v>3.1544180155841997E-2</v>
      </c>
      <c r="O14" s="17">
        <v>0</v>
      </c>
    </row>
    <row r="15" spans="2:15" x14ac:dyDescent="0.3">
      <c r="B15" s="18" t="s">
        <v>143</v>
      </c>
      <c r="C15" s="21">
        <v>0.34377370067079299</v>
      </c>
      <c r="D15" s="21">
        <v>0.35682898699339199</v>
      </c>
      <c r="E15" s="21">
        <v>0.33323844382880102</v>
      </c>
      <c r="F15" s="21"/>
      <c r="G15" s="21">
        <v>0.43716752954898502</v>
      </c>
      <c r="H15" s="21">
        <v>0.30470707986171303</v>
      </c>
      <c r="I15" s="21">
        <v>0.29751893056829598</v>
      </c>
      <c r="J15" s="21">
        <v>0.30356239520106798</v>
      </c>
      <c r="K15" s="21"/>
      <c r="L15" s="21">
        <v>0.29173180345106098</v>
      </c>
      <c r="M15" s="21">
        <v>0.389807053163923</v>
      </c>
      <c r="N15" s="21">
        <v>0.39966630835126199</v>
      </c>
      <c r="O15" s="21">
        <v>0.28574454522134501</v>
      </c>
    </row>
    <row r="16" spans="2:15" x14ac:dyDescent="0.3">
      <c r="B16" s="18" t="s">
        <v>144</v>
      </c>
      <c r="C16" s="21">
        <v>0.352444175888528</v>
      </c>
      <c r="D16" s="21">
        <v>0.31667235987202302</v>
      </c>
      <c r="E16" s="21">
        <v>0.38639803567460301</v>
      </c>
      <c r="F16" s="21"/>
      <c r="G16" s="21">
        <v>0.27741613227357298</v>
      </c>
      <c r="H16" s="21">
        <v>0.45544436898576901</v>
      </c>
      <c r="I16" s="21">
        <v>0.33643891922847702</v>
      </c>
      <c r="J16" s="21">
        <v>0.35059816139924099</v>
      </c>
      <c r="K16" s="21"/>
      <c r="L16" s="21">
        <v>0.36903588118546399</v>
      </c>
      <c r="M16" s="21">
        <v>0.37371152617509901</v>
      </c>
      <c r="N16" s="21">
        <v>0.267760176099194</v>
      </c>
      <c r="O16" s="21">
        <v>0.40471495717630002</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531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0.104087441161272</v>
      </c>
      <c r="D9" s="17">
        <v>8.5277664530760799E-2</v>
      </c>
      <c r="E9" s="17">
        <v>0.12363432818164501</v>
      </c>
      <c r="F9" s="17"/>
      <c r="G9" s="17">
        <v>0.12478684233555</v>
      </c>
      <c r="H9" s="17">
        <v>8.6209431919646903E-2</v>
      </c>
      <c r="I9" s="17">
        <v>7.7680681976976196E-2</v>
      </c>
      <c r="J9" s="17">
        <v>0.114429259095613</v>
      </c>
      <c r="K9" s="17"/>
      <c r="L9" s="17">
        <v>0.122378312113622</v>
      </c>
      <c r="M9" s="17">
        <v>7.1240421986756897E-2</v>
      </c>
      <c r="N9" s="17">
        <v>0.14949316769945101</v>
      </c>
      <c r="O9" s="17">
        <v>7.1942462843932894E-2</v>
      </c>
    </row>
    <row r="10" spans="2:15" x14ac:dyDescent="0.3">
      <c r="B10" s="18" t="s">
        <v>138</v>
      </c>
      <c r="C10" s="17">
        <v>0.306502502757596</v>
      </c>
      <c r="D10" s="17">
        <v>0.26115315012604601</v>
      </c>
      <c r="E10" s="17">
        <v>0.34968821126245297</v>
      </c>
      <c r="F10" s="17"/>
      <c r="G10" s="17">
        <v>0.33329382307470001</v>
      </c>
      <c r="H10" s="17">
        <v>0.28632688712598098</v>
      </c>
      <c r="I10" s="17">
        <v>0.353123126676193</v>
      </c>
      <c r="J10" s="17">
        <v>0.25441639188507298</v>
      </c>
      <c r="K10" s="17"/>
      <c r="L10" s="17">
        <v>0.31168147245426903</v>
      </c>
      <c r="M10" s="17">
        <v>0.319812168762861</v>
      </c>
      <c r="N10" s="17">
        <v>0.29228539006524101</v>
      </c>
      <c r="O10" s="17">
        <v>0.30240743110834101</v>
      </c>
    </row>
    <row r="11" spans="2:15" x14ac:dyDescent="0.3">
      <c r="B11" s="18" t="s">
        <v>139</v>
      </c>
      <c r="C11" s="17">
        <v>0.24565191108620099</v>
      </c>
      <c r="D11" s="17">
        <v>0.245830622043927</v>
      </c>
      <c r="E11" s="17">
        <v>0.24432187028862801</v>
      </c>
      <c r="F11" s="17"/>
      <c r="G11" s="17">
        <v>0.21186565885390901</v>
      </c>
      <c r="H11" s="17">
        <v>0.19714223099577299</v>
      </c>
      <c r="I11" s="17">
        <v>0.29786554420210098</v>
      </c>
      <c r="J11" s="17">
        <v>0.29898146907259998</v>
      </c>
      <c r="K11" s="17"/>
      <c r="L11" s="17">
        <v>0.30694719859124298</v>
      </c>
      <c r="M11" s="17">
        <v>0.26337840578771099</v>
      </c>
      <c r="N11" s="17">
        <v>0.22819767889211701</v>
      </c>
      <c r="O11" s="17">
        <v>0.18419596415797401</v>
      </c>
    </row>
    <row r="12" spans="2:15" x14ac:dyDescent="0.3">
      <c r="B12" s="18" t="s">
        <v>140</v>
      </c>
      <c r="C12" s="17">
        <v>0.15996234838286</v>
      </c>
      <c r="D12" s="17">
        <v>0.16529459484933601</v>
      </c>
      <c r="E12" s="17">
        <v>0.15580185928047999</v>
      </c>
      <c r="F12" s="17"/>
      <c r="G12" s="17">
        <v>0.15699861547215099</v>
      </c>
      <c r="H12" s="17">
        <v>0.19601178487715201</v>
      </c>
      <c r="I12" s="17">
        <v>0.120392496182621</v>
      </c>
      <c r="J12" s="17">
        <v>0.16028507374061701</v>
      </c>
      <c r="K12" s="17"/>
      <c r="L12" s="17">
        <v>8.0588274073172997E-2</v>
      </c>
      <c r="M12" s="17">
        <v>0.187868470162736</v>
      </c>
      <c r="N12" s="17">
        <v>0.16360538857043</v>
      </c>
      <c r="O12" s="17">
        <v>0.20536957390796401</v>
      </c>
    </row>
    <row r="13" spans="2:15" x14ac:dyDescent="0.3">
      <c r="B13" s="18" t="s">
        <v>141</v>
      </c>
      <c r="C13" s="17">
        <v>0.14391900529420701</v>
      </c>
      <c r="D13" s="17">
        <v>0.18852698199448201</v>
      </c>
      <c r="E13" s="17">
        <v>0.100410565342685</v>
      </c>
      <c r="F13" s="17"/>
      <c r="G13" s="17">
        <v>0.13721876533796001</v>
      </c>
      <c r="H13" s="17">
        <v>0.196202284709286</v>
      </c>
      <c r="I13" s="17">
        <v>0.119321340249514</v>
      </c>
      <c r="J13" s="17">
        <v>0.116889688855893</v>
      </c>
      <c r="K13" s="17"/>
      <c r="L13" s="17">
        <v>0.10646280784593699</v>
      </c>
      <c r="M13" s="17">
        <v>0.14170388186947599</v>
      </c>
      <c r="N13" s="17">
        <v>0.120403490998668</v>
      </c>
      <c r="O13" s="17">
        <v>0.20923327903470301</v>
      </c>
    </row>
    <row r="14" spans="2:15" x14ac:dyDescent="0.3">
      <c r="B14" s="18" t="s">
        <v>142</v>
      </c>
      <c r="C14" s="17">
        <v>3.9876791317863799E-2</v>
      </c>
      <c r="D14" s="17">
        <v>5.3916986455447E-2</v>
      </c>
      <c r="E14" s="17">
        <v>2.6143165644108901E-2</v>
      </c>
      <c r="F14" s="17"/>
      <c r="G14" s="17">
        <v>3.5836294925730101E-2</v>
      </c>
      <c r="H14" s="17">
        <v>3.8107380372160403E-2</v>
      </c>
      <c r="I14" s="17">
        <v>3.1616810712594798E-2</v>
      </c>
      <c r="J14" s="17">
        <v>5.4998117350204802E-2</v>
      </c>
      <c r="K14" s="17"/>
      <c r="L14" s="17">
        <v>7.1941934921755199E-2</v>
      </c>
      <c r="M14" s="17">
        <v>1.5996651430458201E-2</v>
      </c>
      <c r="N14" s="17">
        <v>4.60148837740929E-2</v>
      </c>
      <c r="O14" s="17">
        <v>2.6851288947084901E-2</v>
      </c>
    </row>
    <row r="15" spans="2:15" x14ac:dyDescent="0.3">
      <c r="B15" s="18" t="s">
        <v>143</v>
      </c>
      <c r="C15" s="21">
        <v>0.41058994391886799</v>
      </c>
      <c r="D15" s="21">
        <v>0.34643081465680697</v>
      </c>
      <c r="E15" s="21">
        <v>0.47332253944409802</v>
      </c>
      <c r="F15" s="21"/>
      <c r="G15" s="21">
        <v>0.45808066541025</v>
      </c>
      <c r="H15" s="21">
        <v>0.37253631904562801</v>
      </c>
      <c r="I15" s="21">
        <v>0.43080380865316897</v>
      </c>
      <c r="J15" s="21">
        <v>0.368845650980686</v>
      </c>
      <c r="K15" s="21"/>
      <c r="L15" s="21">
        <v>0.43405978456789102</v>
      </c>
      <c r="M15" s="21">
        <v>0.39105259074961801</v>
      </c>
      <c r="N15" s="21">
        <v>0.44177855776469199</v>
      </c>
      <c r="O15" s="21">
        <v>0.37434989395227403</v>
      </c>
    </row>
    <row r="16" spans="2:15" x14ac:dyDescent="0.3">
      <c r="B16" s="18" t="s">
        <v>144</v>
      </c>
      <c r="C16" s="21">
        <v>0.30388135367706698</v>
      </c>
      <c r="D16" s="21">
        <v>0.35382157684381799</v>
      </c>
      <c r="E16" s="21">
        <v>0.25621242462316501</v>
      </c>
      <c r="F16" s="21"/>
      <c r="G16" s="21">
        <v>0.29421738081011101</v>
      </c>
      <c r="H16" s="21">
        <v>0.39221406958643801</v>
      </c>
      <c r="I16" s="21">
        <v>0.23971383643213501</v>
      </c>
      <c r="J16" s="21">
        <v>0.27717476259650897</v>
      </c>
      <c r="K16" s="21"/>
      <c r="L16" s="21">
        <v>0.18705108191910999</v>
      </c>
      <c r="M16" s="21">
        <v>0.32957235203221202</v>
      </c>
      <c r="N16" s="21">
        <v>0.28400887956909798</v>
      </c>
      <c r="O16" s="21">
        <v>0.41460285294266802</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532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9.4808800630989495E-2</v>
      </c>
      <c r="D9" s="17">
        <v>9.5638499761920098E-2</v>
      </c>
      <c r="E9" s="17">
        <v>9.4670943534715807E-2</v>
      </c>
      <c r="F9" s="17"/>
      <c r="G9" s="17">
        <v>0.138027761204017</v>
      </c>
      <c r="H9" s="17">
        <v>4.9569520485704101E-2</v>
      </c>
      <c r="I9" s="17">
        <v>7.4517302185937898E-2</v>
      </c>
      <c r="J9" s="17">
        <v>0.101239754545266</v>
      </c>
      <c r="K9" s="17"/>
      <c r="L9" s="17">
        <v>7.1266004411035797E-2</v>
      </c>
      <c r="M9" s="17">
        <v>0.10150967212302101</v>
      </c>
      <c r="N9" s="17">
        <v>9.7490869075688602E-2</v>
      </c>
      <c r="O9" s="17">
        <v>0.108237509430788</v>
      </c>
    </row>
    <row r="10" spans="2:15" x14ac:dyDescent="0.3">
      <c r="B10" s="18" t="s">
        <v>138</v>
      </c>
      <c r="C10" s="17">
        <v>0.28781149732622202</v>
      </c>
      <c r="D10" s="17">
        <v>0.32997202315787899</v>
      </c>
      <c r="E10" s="17">
        <v>0.244854641106062</v>
      </c>
      <c r="F10" s="17"/>
      <c r="G10" s="17">
        <v>0.31348117182588903</v>
      </c>
      <c r="H10" s="17">
        <v>0.31429465595523698</v>
      </c>
      <c r="I10" s="17">
        <v>0.316055498237727</v>
      </c>
      <c r="J10" s="17">
        <v>0.20085180761606899</v>
      </c>
      <c r="K10" s="17"/>
      <c r="L10" s="17">
        <v>0.27902395282770998</v>
      </c>
      <c r="M10" s="17">
        <v>0.29587541626130098</v>
      </c>
      <c r="N10" s="17">
        <v>0.35495048974772098</v>
      </c>
      <c r="O10" s="17">
        <v>0.21519031148340301</v>
      </c>
    </row>
    <row r="11" spans="2:15" x14ac:dyDescent="0.3">
      <c r="B11" s="18" t="s">
        <v>139</v>
      </c>
      <c r="C11" s="17">
        <v>0.291548652484722</v>
      </c>
      <c r="D11" s="17">
        <v>0.28716373374636101</v>
      </c>
      <c r="E11" s="17">
        <v>0.298053177226072</v>
      </c>
      <c r="F11" s="17"/>
      <c r="G11" s="17">
        <v>0.229376170770828</v>
      </c>
      <c r="H11" s="17">
        <v>0.25805196664987301</v>
      </c>
      <c r="I11" s="17">
        <v>0.35264419476310199</v>
      </c>
      <c r="J11" s="17">
        <v>0.35704375791995602</v>
      </c>
      <c r="K11" s="17"/>
      <c r="L11" s="17">
        <v>0.25934269011911898</v>
      </c>
      <c r="M11" s="17">
        <v>0.28493595039411801</v>
      </c>
      <c r="N11" s="17">
        <v>0.30165460925909399</v>
      </c>
      <c r="O11" s="17">
        <v>0.319920159381618</v>
      </c>
    </row>
    <row r="12" spans="2:15" x14ac:dyDescent="0.3">
      <c r="B12" s="18" t="s">
        <v>140</v>
      </c>
      <c r="C12" s="17">
        <v>0.127601461652468</v>
      </c>
      <c r="D12" s="17">
        <v>9.57941796335125E-2</v>
      </c>
      <c r="E12" s="17">
        <v>0.15595680768594899</v>
      </c>
      <c r="F12" s="17"/>
      <c r="G12" s="17">
        <v>0.14312686192430699</v>
      </c>
      <c r="H12" s="17">
        <v>0.143494905422582</v>
      </c>
      <c r="I12" s="17">
        <v>8.4125294617817106E-2</v>
      </c>
      <c r="J12" s="17">
        <v>0.13004394391587401</v>
      </c>
      <c r="K12" s="17"/>
      <c r="L12" s="17">
        <v>0.14137599448938401</v>
      </c>
      <c r="M12" s="17">
        <v>0.135403026721444</v>
      </c>
      <c r="N12" s="17">
        <v>0.112780806359873</v>
      </c>
      <c r="O12" s="17">
        <v>0.121490045990147</v>
      </c>
    </row>
    <row r="13" spans="2:15" x14ac:dyDescent="0.3">
      <c r="B13" s="18" t="s">
        <v>141</v>
      </c>
      <c r="C13" s="17">
        <v>0.17856861947424599</v>
      </c>
      <c r="D13" s="17">
        <v>0.172638278699523</v>
      </c>
      <c r="E13" s="17">
        <v>0.185793491009036</v>
      </c>
      <c r="F13" s="17"/>
      <c r="G13" s="17">
        <v>0.145930304142637</v>
      </c>
      <c r="H13" s="17">
        <v>0.20750426564576899</v>
      </c>
      <c r="I13" s="17">
        <v>0.17265771019541601</v>
      </c>
      <c r="J13" s="17">
        <v>0.19501894498766201</v>
      </c>
      <c r="K13" s="17"/>
      <c r="L13" s="17">
        <v>0.19850204372857999</v>
      </c>
      <c r="M13" s="17">
        <v>0.170496038918137</v>
      </c>
      <c r="N13" s="17">
        <v>0.115944645192721</v>
      </c>
      <c r="O13" s="17">
        <v>0.23516197371404399</v>
      </c>
    </row>
    <row r="14" spans="2:15" x14ac:dyDescent="0.3">
      <c r="B14" s="18" t="s">
        <v>142</v>
      </c>
      <c r="C14" s="17">
        <v>1.9660968431352701E-2</v>
      </c>
      <c r="D14" s="17">
        <v>1.8793285000803999E-2</v>
      </c>
      <c r="E14" s="17">
        <v>2.06709394381644E-2</v>
      </c>
      <c r="F14" s="17"/>
      <c r="G14" s="17">
        <v>3.0057730132322099E-2</v>
      </c>
      <c r="H14" s="17">
        <v>2.7084685840834798E-2</v>
      </c>
      <c r="I14" s="17">
        <v>0</v>
      </c>
      <c r="J14" s="17">
        <v>1.5801791015173601E-2</v>
      </c>
      <c r="K14" s="17"/>
      <c r="L14" s="17">
        <v>5.0489314424171199E-2</v>
      </c>
      <c r="M14" s="17">
        <v>1.1779895581978801E-2</v>
      </c>
      <c r="N14" s="17">
        <v>1.7178580364902499E-2</v>
      </c>
      <c r="O14" s="17">
        <v>0</v>
      </c>
    </row>
    <row r="15" spans="2:15" x14ac:dyDescent="0.3">
      <c r="B15" s="18" t="s">
        <v>143</v>
      </c>
      <c r="C15" s="21">
        <v>0.38262029795721098</v>
      </c>
      <c r="D15" s="21">
        <v>0.42561052291979901</v>
      </c>
      <c r="E15" s="21">
        <v>0.33952558464077798</v>
      </c>
      <c r="F15" s="21"/>
      <c r="G15" s="21">
        <v>0.45150893302990602</v>
      </c>
      <c r="H15" s="21">
        <v>0.36386417644094099</v>
      </c>
      <c r="I15" s="21">
        <v>0.39057280042366499</v>
      </c>
      <c r="J15" s="21">
        <v>0.30209156216133398</v>
      </c>
      <c r="K15" s="21"/>
      <c r="L15" s="21">
        <v>0.35028995723874601</v>
      </c>
      <c r="M15" s="21">
        <v>0.39738508838432202</v>
      </c>
      <c r="N15" s="21">
        <v>0.45244135882341002</v>
      </c>
      <c r="O15" s="21">
        <v>0.32342782091419098</v>
      </c>
    </row>
    <row r="16" spans="2:15" x14ac:dyDescent="0.3">
      <c r="B16" s="18" t="s">
        <v>144</v>
      </c>
      <c r="C16" s="21">
        <v>0.30617008112671401</v>
      </c>
      <c r="D16" s="21">
        <v>0.26843245833303497</v>
      </c>
      <c r="E16" s="21">
        <v>0.34175029869498502</v>
      </c>
      <c r="F16" s="21"/>
      <c r="G16" s="21">
        <v>0.28905716606694398</v>
      </c>
      <c r="H16" s="21">
        <v>0.35099917106835199</v>
      </c>
      <c r="I16" s="21">
        <v>0.25678300481323302</v>
      </c>
      <c r="J16" s="21">
        <v>0.32506288890353602</v>
      </c>
      <c r="K16" s="21"/>
      <c r="L16" s="21">
        <v>0.33987803821796397</v>
      </c>
      <c r="M16" s="21">
        <v>0.30589906563958102</v>
      </c>
      <c r="N16" s="21">
        <v>0.22872545155259399</v>
      </c>
      <c r="O16" s="21">
        <v>0.35665201970419103</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533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9.4420748547286701E-2</v>
      </c>
      <c r="D9" s="17">
        <v>0.100237543236622</v>
      </c>
      <c r="E9" s="17">
        <v>8.92986428411114E-2</v>
      </c>
      <c r="F9" s="17"/>
      <c r="G9" s="17">
        <v>0.14560973842582201</v>
      </c>
      <c r="H9" s="17">
        <v>8.4446924629476103E-2</v>
      </c>
      <c r="I9" s="17">
        <v>7.1307653417660599E-2</v>
      </c>
      <c r="J9" s="17">
        <v>5.3025609770508499E-2</v>
      </c>
      <c r="K9" s="17"/>
      <c r="L9" s="17">
        <v>0.117436562868742</v>
      </c>
      <c r="M9" s="17">
        <v>6.3182169555091094E-2</v>
      </c>
      <c r="N9" s="17">
        <v>0.132299512291781</v>
      </c>
      <c r="O9" s="17">
        <v>6.3974744842719297E-2</v>
      </c>
    </row>
    <row r="10" spans="2:15" x14ac:dyDescent="0.3">
      <c r="B10" s="18" t="s">
        <v>138</v>
      </c>
      <c r="C10" s="17">
        <v>0.31573556417901599</v>
      </c>
      <c r="D10" s="17">
        <v>0.32219525450509201</v>
      </c>
      <c r="E10" s="17">
        <v>0.30864241005122001</v>
      </c>
      <c r="F10" s="17"/>
      <c r="G10" s="17">
        <v>0.33180409939295502</v>
      </c>
      <c r="H10" s="17">
        <v>0.30544227048496903</v>
      </c>
      <c r="I10" s="17">
        <v>0.29477007524106802</v>
      </c>
      <c r="J10" s="17">
        <v>0.32814108900021999</v>
      </c>
      <c r="K10" s="17"/>
      <c r="L10" s="17">
        <v>0.20727072840890401</v>
      </c>
      <c r="M10" s="17">
        <v>0.422888570328049</v>
      </c>
      <c r="N10" s="17">
        <v>0.28201973594543001</v>
      </c>
      <c r="O10" s="17">
        <v>0.34545522240549098</v>
      </c>
    </row>
    <row r="11" spans="2:15" x14ac:dyDescent="0.3">
      <c r="B11" s="18" t="s">
        <v>139</v>
      </c>
      <c r="C11" s="17">
        <v>0.25718020791851698</v>
      </c>
      <c r="D11" s="17">
        <v>0.25931299723782397</v>
      </c>
      <c r="E11" s="17">
        <v>0.25692398871887701</v>
      </c>
      <c r="F11" s="17"/>
      <c r="G11" s="17">
        <v>0.22084528633454101</v>
      </c>
      <c r="H11" s="17">
        <v>0.222649756549581</v>
      </c>
      <c r="I11" s="17">
        <v>0.32432468275015303</v>
      </c>
      <c r="J11" s="17">
        <v>0.28442699332138599</v>
      </c>
      <c r="K11" s="17"/>
      <c r="L11" s="17">
        <v>0.256765602538647</v>
      </c>
      <c r="M11" s="17">
        <v>0.21590417546075699</v>
      </c>
      <c r="N11" s="17">
        <v>0.27644366712266299</v>
      </c>
      <c r="O11" s="17">
        <v>0.28112907044087998</v>
      </c>
    </row>
    <row r="12" spans="2:15" x14ac:dyDescent="0.3">
      <c r="B12" s="18" t="s">
        <v>140</v>
      </c>
      <c r="C12" s="17">
        <v>0.15534771334345501</v>
      </c>
      <c r="D12" s="17">
        <v>0.14662564030946301</v>
      </c>
      <c r="E12" s="17">
        <v>0.16084631353839501</v>
      </c>
      <c r="F12" s="17"/>
      <c r="G12" s="17">
        <v>0.133136850076472</v>
      </c>
      <c r="H12" s="17">
        <v>0.19732883318366201</v>
      </c>
      <c r="I12" s="17">
        <v>0.136190183382213</v>
      </c>
      <c r="J12" s="17">
        <v>0.155324728351909</v>
      </c>
      <c r="K12" s="17"/>
      <c r="L12" s="17">
        <v>0.18535456057840799</v>
      </c>
      <c r="M12" s="17">
        <v>0.158529189578312</v>
      </c>
      <c r="N12" s="17">
        <v>0.142889476397353</v>
      </c>
      <c r="O12" s="17">
        <v>0.135414792305039</v>
      </c>
    </row>
    <row r="13" spans="2:15" x14ac:dyDescent="0.3">
      <c r="B13" s="18" t="s">
        <v>141</v>
      </c>
      <c r="C13" s="17">
        <v>0.157131718503144</v>
      </c>
      <c r="D13" s="17">
        <v>0.15608123183750799</v>
      </c>
      <c r="E13" s="17">
        <v>0.159326072070582</v>
      </c>
      <c r="F13" s="17"/>
      <c r="G13" s="17">
        <v>0.13874408790302301</v>
      </c>
      <c r="H13" s="17">
        <v>0.16081263174146301</v>
      </c>
      <c r="I13" s="17">
        <v>0.17340740520890499</v>
      </c>
      <c r="J13" s="17">
        <v>0.163279788540802</v>
      </c>
      <c r="K13" s="17"/>
      <c r="L13" s="17">
        <v>0.186806136795482</v>
      </c>
      <c r="M13" s="17">
        <v>0.13206941006099401</v>
      </c>
      <c r="N13" s="17">
        <v>0.139032117005497</v>
      </c>
      <c r="O13" s="17">
        <v>0.17402617000587101</v>
      </c>
    </row>
    <row r="14" spans="2:15" x14ac:dyDescent="0.3">
      <c r="B14" s="18" t="s">
        <v>142</v>
      </c>
      <c r="C14" s="17">
        <v>2.0184047508582E-2</v>
      </c>
      <c r="D14" s="17">
        <v>1.55473328734898E-2</v>
      </c>
      <c r="E14" s="17">
        <v>2.4962572779815201E-2</v>
      </c>
      <c r="F14" s="17"/>
      <c r="G14" s="17">
        <v>2.9859937867187498E-2</v>
      </c>
      <c r="H14" s="17">
        <v>2.9319583410849101E-2</v>
      </c>
      <c r="I14" s="17">
        <v>0</v>
      </c>
      <c r="J14" s="17">
        <v>1.5801791015173601E-2</v>
      </c>
      <c r="K14" s="17"/>
      <c r="L14" s="17">
        <v>4.6366408809817301E-2</v>
      </c>
      <c r="M14" s="17">
        <v>7.42648501679716E-3</v>
      </c>
      <c r="N14" s="17">
        <v>2.7315491237275901E-2</v>
      </c>
      <c r="O14" s="17">
        <v>0</v>
      </c>
    </row>
    <row r="15" spans="2:15" x14ac:dyDescent="0.3">
      <c r="B15" s="18" t="s">
        <v>143</v>
      </c>
      <c r="C15" s="21">
        <v>0.41015631272630199</v>
      </c>
      <c r="D15" s="21">
        <v>0.42243279774171499</v>
      </c>
      <c r="E15" s="21">
        <v>0.397941052892331</v>
      </c>
      <c r="F15" s="21"/>
      <c r="G15" s="21">
        <v>0.477413837818778</v>
      </c>
      <c r="H15" s="21">
        <v>0.38988919511444498</v>
      </c>
      <c r="I15" s="21">
        <v>0.36607772865872901</v>
      </c>
      <c r="J15" s="21">
        <v>0.38116669877072901</v>
      </c>
      <c r="K15" s="21"/>
      <c r="L15" s="21">
        <v>0.32470729127764503</v>
      </c>
      <c r="M15" s="21">
        <v>0.48607073988313998</v>
      </c>
      <c r="N15" s="21">
        <v>0.414319248237211</v>
      </c>
      <c r="O15" s="21">
        <v>0.40942996724821001</v>
      </c>
    </row>
    <row r="16" spans="2:15" x14ac:dyDescent="0.3">
      <c r="B16" s="18" t="s">
        <v>144</v>
      </c>
      <c r="C16" s="21">
        <v>0.31247943184659799</v>
      </c>
      <c r="D16" s="21">
        <v>0.30270687214697101</v>
      </c>
      <c r="E16" s="21">
        <v>0.32017238560897698</v>
      </c>
      <c r="F16" s="21"/>
      <c r="G16" s="21">
        <v>0.27188093797949398</v>
      </c>
      <c r="H16" s="21">
        <v>0.358141464925125</v>
      </c>
      <c r="I16" s="21">
        <v>0.30959758859111802</v>
      </c>
      <c r="J16" s="21">
        <v>0.31860451689271202</v>
      </c>
      <c r="K16" s="21"/>
      <c r="L16" s="21">
        <v>0.37216069737389001</v>
      </c>
      <c r="M16" s="21">
        <v>0.29059859963930601</v>
      </c>
      <c r="N16" s="21">
        <v>0.28192159340285</v>
      </c>
      <c r="O16" s="21">
        <v>0.30944096231091001</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534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5.7158800898086302E-2</v>
      </c>
      <c r="D9" s="17">
        <v>4.8612560358873902E-2</v>
      </c>
      <c r="E9" s="17">
        <v>6.6111848686743094E-2</v>
      </c>
      <c r="F9" s="17"/>
      <c r="G9" s="17">
        <v>6.7481694647209295E-2</v>
      </c>
      <c r="H9" s="17">
        <v>5.0040209464703098E-2</v>
      </c>
      <c r="I9" s="17">
        <v>4.9150720700239202E-2</v>
      </c>
      <c r="J9" s="17">
        <v>5.9563739534071597E-2</v>
      </c>
      <c r="K9" s="17"/>
      <c r="L9" s="17">
        <v>0.10002629919059899</v>
      </c>
      <c r="M9" s="17">
        <v>7.0749633940152407E-2</v>
      </c>
      <c r="N9" s="17">
        <v>4.5022509758725002E-2</v>
      </c>
      <c r="O9" s="17">
        <v>1.2818509734022199E-2</v>
      </c>
    </row>
    <row r="10" spans="2:15" x14ac:dyDescent="0.3">
      <c r="B10" s="18" t="s">
        <v>138</v>
      </c>
      <c r="C10" s="17">
        <v>0.226618535696859</v>
      </c>
      <c r="D10" s="17">
        <v>0.17460456301451799</v>
      </c>
      <c r="E10" s="17">
        <v>0.27587914407602199</v>
      </c>
      <c r="F10" s="17"/>
      <c r="G10" s="17">
        <v>0.161083636346843</v>
      </c>
      <c r="H10" s="17">
        <v>0.27425523495205301</v>
      </c>
      <c r="I10" s="17">
        <v>0.30815861826409302</v>
      </c>
      <c r="J10" s="17">
        <v>0.185235116251386</v>
      </c>
      <c r="K10" s="17"/>
      <c r="L10" s="17">
        <v>0.235919248972702</v>
      </c>
      <c r="M10" s="17">
        <v>0.26962811281939297</v>
      </c>
      <c r="N10" s="17">
        <v>0.23124796388111299</v>
      </c>
      <c r="O10" s="17">
        <v>0.16603473013504599</v>
      </c>
    </row>
    <row r="11" spans="2:15" x14ac:dyDescent="0.3">
      <c r="B11" s="18" t="s">
        <v>139</v>
      </c>
      <c r="C11" s="17">
        <v>0.227985238403943</v>
      </c>
      <c r="D11" s="17">
        <v>0.23483614868547001</v>
      </c>
      <c r="E11" s="17">
        <v>0.22280351515958599</v>
      </c>
      <c r="F11" s="17"/>
      <c r="G11" s="17">
        <v>0.19571250895242401</v>
      </c>
      <c r="H11" s="17">
        <v>0.164390558922545</v>
      </c>
      <c r="I11" s="17">
        <v>0.24058518422368499</v>
      </c>
      <c r="J11" s="17">
        <v>0.33247639038137999</v>
      </c>
      <c r="K11" s="17"/>
      <c r="L11" s="17">
        <v>0.20954144298826299</v>
      </c>
      <c r="M11" s="17">
        <v>0.20959306668949201</v>
      </c>
      <c r="N11" s="17">
        <v>0.226462412714038</v>
      </c>
      <c r="O11" s="17">
        <v>0.26786427970680698</v>
      </c>
    </row>
    <row r="12" spans="2:15" x14ac:dyDescent="0.3">
      <c r="B12" s="18" t="s">
        <v>140</v>
      </c>
      <c r="C12" s="17">
        <v>0.25941673263936199</v>
      </c>
      <c r="D12" s="17">
        <v>0.26960293420190101</v>
      </c>
      <c r="E12" s="17">
        <v>0.24819089676842301</v>
      </c>
      <c r="F12" s="17"/>
      <c r="G12" s="17">
        <v>0.30318902663039299</v>
      </c>
      <c r="H12" s="17">
        <v>0.28667581194185399</v>
      </c>
      <c r="I12" s="17">
        <v>0.218018287662088</v>
      </c>
      <c r="J12" s="17">
        <v>0.203412872815317</v>
      </c>
      <c r="K12" s="17"/>
      <c r="L12" s="17">
        <v>0.206534177114608</v>
      </c>
      <c r="M12" s="17">
        <v>0.27241254453139901</v>
      </c>
      <c r="N12" s="17">
        <v>0.24390746456668</v>
      </c>
      <c r="O12" s="17">
        <v>0.31512065214687301</v>
      </c>
    </row>
    <row r="13" spans="2:15" x14ac:dyDescent="0.3">
      <c r="B13" s="18" t="s">
        <v>141</v>
      </c>
      <c r="C13" s="17">
        <v>0.207981933775781</v>
      </c>
      <c r="D13" s="17">
        <v>0.24422530651291499</v>
      </c>
      <c r="E13" s="17">
        <v>0.173295424005386</v>
      </c>
      <c r="F13" s="17"/>
      <c r="G13" s="17">
        <v>0.25406651878979802</v>
      </c>
      <c r="H13" s="17">
        <v>0.21113198640741301</v>
      </c>
      <c r="I13" s="17">
        <v>0.16307611984905099</v>
      </c>
      <c r="J13" s="17">
        <v>0.187055524958012</v>
      </c>
      <c r="K13" s="17"/>
      <c r="L13" s="17">
        <v>0.208165903877263</v>
      </c>
      <c r="M13" s="17">
        <v>0.170208336951262</v>
      </c>
      <c r="N13" s="17">
        <v>0.217463196863137</v>
      </c>
      <c r="O13" s="17">
        <v>0.23816182827725199</v>
      </c>
    </row>
    <row r="14" spans="2:15" x14ac:dyDescent="0.3">
      <c r="B14" s="18" t="s">
        <v>142</v>
      </c>
      <c r="C14" s="17">
        <v>2.08387585859693E-2</v>
      </c>
      <c r="D14" s="17">
        <v>2.8118487226321601E-2</v>
      </c>
      <c r="E14" s="17">
        <v>1.37191713038402E-2</v>
      </c>
      <c r="F14" s="17"/>
      <c r="G14" s="17">
        <v>1.8466614633332799E-2</v>
      </c>
      <c r="H14" s="17">
        <v>1.35061983114311E-2</v>
      </c>
      <c r="I14" s="17">
        <v>2.1011069300843899E-2</v>
      </c>
      <c r="J14" s="17">
        <v>3.2256356059833E-2</v>
      </c>
      <c r="K14" s="17"/>
      <c r="L14" s="17">
        <v>3.9812927856564297E-2</v>
      </c>
      <c r="M14" s="17">
        <v>7.40830506830128E-3</v>
      </c>
      <c r="N14" s="17">
        <v>3.5896452216306801E-2</v>
      </c>
      <c r="O14" s="17">
        <v>0</v>
      </c>
    </row>
    <row r="15" spans="2:15" x14ac:dyDescent="0.3">
      <c r="B15" s="18" t="s">
        <v>143</v>
      </c>
      <c r="C15" s="21">
        <v>0.28377733659494497</v>
      </c>
      <c r="D15" s="21">
        <v>0.223217123373392</v>
      </c>
      <c r="E15" s="21">
        <v>0.34199099276276601</v>
      </c>
      <c r="F15" s="21"/>
      <c r="G15" s="21">
        <v>0.22856533099405199</v>
      </c>
      <c r="H15" s="21">
        <v>0.32429544441675601</v>
      </c>
      <c r="I15" s="21">
        <v>0.35730933896433198</v>
      </c>
      <c r="J15" s="21">
        <v>0.24479885578545801</v>
      </c>
      <c r="K15" s="21"/>
      <c r="L15" s="21">
        <v>0.33594554816330102</v>
      </c>
      <c r="M15" s="21">
        <v>0.34037774675954502</v>
      </c>
      <c r="N15" s="21">
        <v>0.27627047363983798</v>
      </c>
      <c r="O15" s="21">
        <v>0.17885323986906801</v>
      </c>
    </row>
    <row r="16" spans="2:15" x14ac:dyDescent="0.3">
      <c r="B16" s="18" t="s">
        <v>144</v>
      </c>
      <c r="C16" s="21">
        <v>0.46739866641514299</v>
      </c>
      <c r="D16" s="21">
        <v>0.51382824071481703</v>
      </c>
      <c r="E16" s="21">
        <v>0.42148632077380899</v>
      </c>
      <c r="F16" s="21"/>
      <c r="G16" s="21">
        <v>0.55725554542019096</v>
      </c>
      <c r="H16" s="21">
        <v>0.49780779834926803</v>
      </c>
      <c r="I16" s="21">
        <v>0.38109440751113899</v>
      </c>
      <c r="J16" s="21">
        <v>0.39046839777332998</v>
      </c>
      <c r="K16" s="21"/>
      <c r="L16" s="21">
        <v>0.414700080991871</v>
      </c>
      <c r="M16" s="21">
        <v>0.44262088148266099</v>
      </c>
      <c r="N16" s="21">
        <v>0.46137066142981698</v>
      </c>
      <c r="O16" s="21">
        <v>0.55328248042412498</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B2:O21"/>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535</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137</v>
      </c>
      <c r="C9" s="17">
        <v>5.0525759445359898E-2</v>
      </c>
      <c r="D9" s="17">
        <v>4.7702582971509797E-2</v>
      </c>
      <c r="E9" s="17">
        <v>5.37139186091556E-2</v>
      </c>
      <c r="F9" s="17"/>
      <c r="G9" s="17">
        <v>5.2854345924340497E-2</v>
      </c>
      <c r="H9" s="17">
        <v>4.1772877951290498E-2</v>
      </c>
      <c r="I9" s="17">
        <v>1.8473787701849102E-2</v>
      </c>
      <c r="J9" s="17">
        <v>8.7080021363748095E-2</v>
      </c>
      <c r="K9" s="17"/>
      <c r="L9" s="17">
        <v>4.8776973797151603E-2</v>
      </c>
      <c r="M9" s="17">
        <v>5.2107361043420002E-2</v>
      </c>
      <c r="N9" s="17">
        <v>5.7624790031833399E-2</v>
      </c>
      <c r="O9" s="17">
        <v>4.2882508723945001E-2</v>
      </c>
    </row>
    <row r="10" spans="2:15" x14ac:dyDescent="0.3">
      <c r="B10" s="18" t="s">
        <v>138</v>
      </c>
      <c r="C10" s="17">
        <v>0.172946105642869</v>
      </c>
      <c r="D10" s="17">
        <v>0.14207007795433399</v>
      </c>
      <c r="E10" s="17">
        <v>0.20070169596425999</v>
      </c>
      <c r="F10" s="17"/>
      <c r="G10" s="17">
        <v>0.15255438441922101</v>
      </c>
      <c r="H10" s="17">
        <v>0.17862229766828699</v>
      </c>
      <c r="I10" s="17">
        <v>0.21984028363910199</v>
      </c>
      <c r="J10" s="17">
        <v>0.15162147793134501</v>
      </c>
      <c r="K10" s="17"/>
      <c r="L10" s="17">
        <v>0.21123968928407</v>
      </c>
      <c r="M10" s="17">
        <v>0.15187837345746899</v>
      </c>
      <c r="N10" s="17">
        <v>0.16402085071392</v>
      </c>
      <c r="O10" s="17">
        <v>0.166985320677174</v>
      </c>
    </row>
    <row r="11" spans="2:15" x14ac:dyDescent="0.3">
      <c r="B11" s="18" t="s">
        <v>139</v>
      </c>
      <c r="C11" s="17">
        <v>0.23007781431899199</v>
      </c>
      <c r="D11" s="17">
        <v>0.22371702037539801</v>
      </c>
      <c r="E11" s="17">
        <v>0.235166344406633</v>
      </c>
      <c r="F11" s="17"/>
      <c r="G11" s="17">
        <v>0.178453478610206</v>
      </c>
      <c r="H11" s="17">
        <v>0.196997867028739</v>
      </c>
      <c r="I11" s="17">
        <v>0.28148770695345499</v>
      </c>
      <c r="J11" s="17">
        <v>0.28972244830973398</v>
      </c>
      <c r="K11" s="17"/>
      <c r="L11" s="17">
        <v>0.24047164070483401</v>
      </c>
      <c r="M11" s="17">
        <v>0.216640387954745</v>
      </c>
      <c r="N11" s="17">
        <v>0.24673755494279501</v>
      </c>
      <c r="O11" s="17">
        <v>0.21609134880072101</v>
      </c>
    </row>
    <row r="12" spans="2:15" x14ac:dyDescent="0.3">
      <c r="B12" s="18" t="s">
        <v>140</v>
      </c>
      <c r="C12" s="17">
        <v>0.26573968128464798</v>
      </c>
      <c r="D12" s="17">
        <v>0.27637122868368902</v>
      </c>
      <c r="E12" s="17">
        <v>0.25705674994709798</v>
      </c>
      <c r="F12" s="17"/>
      <c r="G12" s="17">
        <v>0.29824000328586497</v>
      </c>
      <c r="H12" s="17">
        <v>0.309501268495945</v>
      </c>
      <c r="I12" s="17">
        <v>0.247350873016113</v>
      </c>
      <c r="J12" s="17">
        <v>0.18472916428724001</v>
      </c>
      <c r="K12" s="17"/>
      <c r="L12" s="17">
        <v>0.17038607962217001</v>
      </c>
      <c r="M12" s="17">
        <v>0.33894631307352202</v>
      </c>
      <c r="N12" s="17">
        <v>0.28198503032158601</v>
      </c>
      <c r="O12" s="17">
        <v>0.26474156608119997</v>
      </c>
    </row>
    <row r="13" spans="2:15" x14ac:dyDescent="0.3">
      <c r="B13" s="18" t="s">
        <v>141</v>
      </c>
      <c r="C13" s="17">
        <v>0.245322500347017</v>
      </c>
      <c r="D13" s="17">
        <v>0.27445299771111198</v>
      </c>
      <c r="E13" s="17">
        <v>0.218012883269249</v>
      </c>
      <c r="F13" s="17"/>
      <c r="G13" s="17">
        <v>0.28914301164295603</v>
      </c>
      <c r="H13" s="17">
        <v>0.23695386276493499</v>
      </c>
      <c r="I13" s="17">
        <v>0.188643738016639</v>
      </c>
      <c r="J13" s="17">
        <v>0.25145604781256797</v>
      </c>
      <c r="K13" s="17"/>
      <c r="L13" s="17">
        <v>0.24370360053992399</v>
      </c>
      <c r="M13" s="17">
        <v>0.226630227291514</v>
      </c>
      <c r="N13" s="17">
        <v>0.206322960763696</v>
      </c>
      <c r="O13" s="17">
        <v>0.30929925571696099</v>
      </c>
    </row>
    <row r="14" spans="2:15" x14ac:dyDescent="0.3">
      <c r="B14" s="18" t="s">
        <v>142</v>
      </c>
      <c r="C14" s="17">
        <v>3.5388138961113098E-2</v>
      </c>
      <c r="D14" s="17">
        <v>3.5686092303957501E-2</v>
      </c>
      <c r="E14" s="17">
        <v>3.53484078036033E-2</v>
      </c>
      <c r="F14" s="17"/>
      <c r="G14" s="17">
        <v>2.8754776117411101E-2</v>
      </c>
      <c r="H14" s="17">
        <v>3.6151826090803502E-2</v>
      </c>
      <c r="I14" s="17">
        <v>4.4203610672841502E-2</v>
      </c>
      <c r="J14" s="17">
        <v>3.5390840295365801E-2</v>
      </c>
      <c r="K14" s="17"/>
      <c r="L14" s="17">
        <v>8.5422016051849695E-2</v>
      </c>
      <c r="M14" s="17">
        <v>1.37973371793291E-2</v>
      </c>
      <c r="N14" s="17">
        <v>4.33088132261693E-2</v>
      </c>
      <c r="O14" s="17">
        <v>0</v>
      </c>
    </row>
    <row r="15" spans="2:15" x14ac:dyDescent="0.3">
      <c r="B15" s="18" t="s">
        <v>143</v>
      </c>
      <c r="C15" s="21">
        <v>0.223471865088229</v>
      </c>
      <c r="D15" s="21">
        <v>0.18977266092584399</v>
      </c>
      <c r="E15" s="21">
        <v>0.25441561457341599</v>
      </c>
      <c r="F15" s="21"/>
      <c r="G15" s="21">
        <v>0.205408730343562</v>
      </c>
      <c r="H15" s="21">
        <v>0.220395175619578</v>
      </c>
      <c r="I15" s="21">
        <v>0.23831407134095101</v>
      </c>
      <c r="J15" s="21">
        <v>0.23870149929509299</v>
      </c>
      <c r="K15" s="21"/>
      <c r="L15" s="21">
        <v>0.26001666308122201</v>
      </c>
      <c r="M15" s="21">
        <v>0.203985734500889</v>
      </c>
      <c r="N15" s="21">
        <v>0.22164564074575299</v>
      </c>
      <c r="O15" s="21">
        <v>0.209867829401119</v>
      </c>
    </row>
    <row r="16" spans="2:15" x14ac:dyDescent="0.3">
      <c r="B16" s="18" t="s">
        <v>144</v>
      </c>
      <c r="C16" s="21">
        <v>0.51106218163166495</v>
      </c>
      <c r="D16" s="21">
        <v>0.550824226394801</v>
      </c>
      <c r="E16" s="21">
        <v>0.47506963321634699</v>
      </c>
      <c r="F16" s="21"/>
      <c r="G16" s="21">
        <v>0.58738301492882095</v>
      </c>
      <c r="H16" s="21">
        <v>0.54645513126087997</v>
      </c>
      <c r="I16" s="21">
        <v>0.435994611032752</v>
      </c>
      <c r="J16" s="21">
        <v>0.43618521209980698</v>
      </c>
      <c r="K16" s="21"/>
      <c r="L16" s="21">
        <v>0.41408968016209502</v>
      </c>
      <c r="M16" s="21">
        <v>0.56557654036503702</v>
      </c>
      <c r="N16" s="21">
        <v>0.488307991085282</v>
      </c>
      <c r="O16" s="21">
        <v>0.57404082179816096</v>
      </c>
    </row>
    <row r="17" spans="2:2" x14ac:dyDescent="0.3">
      <c r="B17" s="16"/>
    </row>
    <row r="18" spans="2:2" x14ac:dyDescent="0.3">
      <c r="B18" t="s">
        <v>47</v>
      </c>
    </row>
    <row r="19" spans="2:2" x14ac:dyDescent="0.3">
      <c r="B19" t="s">
        <v>48</v>
      </c>
    </row>
    <row r="21" spans="2:2" x14ac:dyDescent="0.3">
      <c r="B2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5" width="20.6640625" customWidth="1"/>
  </cols>
  <sheetData>
    <row r="2" spans="2:15" ht="40.049999999999997" customHeight="1" x14ac:dyDescent="0.3">
      <c r="D2" s="30" t="s">
        <v>552</v>
      </c>
      <c r="E2" s="26"/>
      <c r="F2" s="26"/>
      <c r="G2" s="26"/>
      <c r="H2" s="26"/>
      <c r="I2" s="26"/>
      <c r="J2" s="26"/>
      <c r="K2" s="26"/>
      <c r="L2" s="26"/>
      <c r="M2" s="26"/>
      <c r="N2" s="26"/>
      <c r="O2" s="26"/>
    </row>
    <row r="6" spans="2:15" ht="49.95" customHeight="1" x14ac:dyDescent="0.3">
      <c r="B6" s="20" t="s">
        <v>14</v>
      </c>
      <c r="C6" s="20" t="s">
        <v>536</v>
      </c>
      <c r="D6" s="20" t="s">
        <v>537</v>
      </c>
      <c r="E6" s="20" t="s">
        <v>538</v>
      </c>
      <c r="F6" s="20" t="s">
        <v>539</v>
      </c>
      <c r="G6" s="20" t="s">
        <v>540</v>
      </c>
      <c r="H6" s="20" t="s">
        <v>541</v>
      </c>
      <c r="I6" s="20" t="s">
        <v>542</v>
      </c>
      <c r="J6" s="20" t="s">
        <v>543</v>
      </c>
      <c r="K6" s="20" t="s">
        <v>544</v>
      </c>
      <c r="L6" s="20" t="s">
        <v>545</v>
      </c>
      <c r="M6" s="20" t="s">
        <v>546</v>
      </c>
      <c r="N6" s="20" t="s">
        <v>547</v>
      </c>
    </row>
    <row r="7" spans="2:15" x14ac:dyDescent="0.3">
      <c r="B7" s="18" t="s">
        <v>548</v>
      </c>
      <c r="C7" s="17">
        <v>0.15836735451485701</v>
      </c>
      <c r="D7" s="17">
        <v>0.16699937809528601</v>
      </c>
      <c r="E7" s="17">
        <v>6.0848451940841097E-2</v>
      </c>
      <c r="F7" s="17">
        <v>0.11181725316044</v>
      </c>
      <c r="G7" s="17">
        <v>0.20695887697684001</v>
      </c>
      <c r="H7" s="17">
        <v>0.17393677050564499</v>
      </c>
      <c r="I7" s="17">
        <v>0.23164697823518701</v>
      </c>
      <c r="J7" s="17">
        <v>0.112213280680419</v>
      </c>
      <c r="K7" s="17">
        <v>0.16123889653474599</v>
      </c>
      <c r="L7" s="17">
        <v>0.14358588140171499</v>
      </c>
      <c r="M7" s="17">
        <v>0.11552795041642799</v>
      </c>
      <c r="N7" s="17">
        <v>0.109895329359949</v>
      </c>
    </row>
    <row r="8" spans="2:15" x14ac:dyDescent="0.3">
      <c r="B8" s="18" t="s">
        <v>549</v>
      </c>
      <c r="C8" s="17">
        <v>0.414814959263687</v>
      </c>
      <c r="D8" s="17">
        <v>0.34691917449181298</v>
      </c>
      <c r="E8" s="17">
        <v>0.225227058212249</v>
      </c>
      <c r="F8" s="17">
        <v>0.29811803447727903</v>
      </c>
      <c r="G8" s="17">
        <v>0.452624283578202</v>
      </c>
      <c r="H8" s="17">
        <v>0.31440690188355203</v>
      </c>
      <c r="I8" s="17">
        <v>0.35883639979812698</v>
      </c>
      <c r="J8" s="17">
        <v>0.21584947928685499</v>
      </c>
      <c r="K8" s="17">
        <v>0.274477487013708</v>
      </c>
      <c r="L8" s="17">
        <v>0.32306325939050901</v>
      </c>
      <c r="M8" s="17">
        <v>0.21878270165882199</v>
      </c>
      <c r="N8" s="17">
        <v>0.21396916817244499</v>
      </c>
    </row>
    <row r="9" spans="2:15" x14ac:dyDescent="0.3">
      <c r="B9" s="18" t="s">
        <v>550</v>
      </c>
      <c r="C9" s="17">
        <v>0.36337115247176499</v>
      </c>
      <c r="D9" s="17">
        <v>0.40616275618556402</v>
      </c>
      <c r="E9" s="17">
        <v>0.55189334434433801</v>
      </c>
      <c r="F9" s="17">
        <v>0.495647759890115</v>
      </c>
      <c r="G9" s="17">
        <v>0.277389351846969</v>
      </c>
      <c r="H9" s="17">
        <v>0.42572356695749303</v>
      </c>
      <c r="I9" s="17">
        <v>0.347729052299804</v>
      </c>
      <c r="J9" s="17">
        <v>0.55614759240534495</v>
      </c>
      <c r="K9" s="17">
        <v>0.45284493535582698</v>
      </c>
      <c r="L9" s="17">
        <v>0.45199947963364401</v>
      </c>
      <c r="M9" s="17">
        <v>0.57078752923992104</v>
      </c>
      <c r="N9" s="17">
        <v>0.57317649013233196</v>
      </c>
    </row>
    <row r="10" spans="2:15" x14ac:dyDescent="0.3">
      <c r="B10" s="18" t="s">
        <v>551</v>
      </c>
      <c r="C10" s="17">
        <v>2.728757492423E-2</v>
      </c>
      <c r="D10" s="17">
        <v>4.7924697802241401E-2</v>
      </c>
      <c r="E10" s="17">
        <v>8.6368497268307795E-2</v>
      </c>
      <c r="F10" s="17">
        <v>5.4755761395798901E-2</v>
      </c>
      <c r="G10" s="17">
        <v>2.97281545479442E-2</v>
      </c>
      <c r="H10" s="17">
        <v>4.1439304036301798E-2</v>
      </c>
      <c r="I10" s="17">
        <v>2.2031017921071299E-2</v>
      </c>
      <c r="J10" s="17">
        <v>6.8465690387476297E-2</v>
      </c>
      <c r="K10" s="17">
        <v>6.3726690119101995E-2</v>
      </c>
      <c r="L10" s="17">
        <v>4.7211149393948798E-2</v>
      </c>
      <c r="M10" s="17">
        <v>5.0175684233963402E-2</v>
      </c>
      <c r="N10" s="17">
        <v>5.6218401590025002E-2</v>
      </c>
    </row>
    <row r="11" spans="2:15" x14ac:dyDescent="0.3">
      <c r="B11" s="18" t="s">
        <v>107</v>
      </c>
      <c r="C11" s="17">
        <v>3.6158958825461503E-2</v>
      </c>
      <c r="D11" s="17">
        <v>3.19939934250945E-2</v>
      </c>
      <c r="E11" s="17">
        <v>7.5662648234264399E-2</v>
      </c>
      <c r="F11" s="17">
        <v>3.9661191076367397E-2</v>
      </c>
      <c r="G11" s="17">
        <v>3.3299333050045003E-2</v>
      </c>
      <c r="H11" s="17">
        <v>4.4493456617008202E-2</v>
      </c>
      <c r="I11" s="17">
        <v>3.9756551745810997E-2</v>
      </c>
      <c r="J11" s="17">
        <v>4.73239572399047E-2</v>
      </c>
      <c r="K11" s="17">
        <v>4.7711990976616797E-2</v>
      </c>
      <c r="L11" s="17">
        <v>3.4140230180182897E-2</v>
      </c>
      <c r="M11" s="17">
        <v>4.4726134450864999E-2</v>
      </c>
      <c r="N11" s="17">
        <v>4.6740610745249697E-2</v>
      </c>
    </row>
    <row r="12" spans="2:15" x14ac:dyDescent="0.3">
      <c r="B12" s="16"/>
      <c r="C12" s="16"/>
      <c r="D12" s="16"/>
      <c r="E12" s="16"/>
      <c r="F12" s="16"/>
      <c r="G12" s="16"/>
      <c r="H12" s="16"/>
      <c r="I12" s="16"/>
      <c r="J12" s="16"/>
      <c r="K12" s="16"/>
      <c r="L12" s="16"/>
      <c r="M12" s="16"/>
      <c r="N12" s="16"/>
    </row>
    <row r="13" spans="2:15" x14ac:dyDescent="0.3">
      <c r="B13" t="s">
        <v>47</v>
      </c>
    </row>
    <row r="14" spans="2:15" x14ac:dyDescent="0.3">
      <c r="B14" t="s">
        <v>48</v>
      </c>
    </row>
    <row r="18" spans="2:2" x14ac:dyDescent="0.3">
      <c r="B18"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553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548</v>
      </c>
      <c r="C9" s="17">
        <v>0.15836735451485701</v>
      </c>
      <c r="D9" s="17">
        <v>0.161697514032107</v>
      </c>
      <c r="E9" s="17">
        <v>0.15619505103592901</v>
      </c>
      <c r="F9" s="17"/>
      <c r="G9" s="17">
        <v>0.26164008379852199</v>
      </c>
      <c r="H9" s="17">
        <v>0.10866796548076001</v>
      </c>
      <c r="I9" s="17">
        <v>0.131314849628626</v>
      </c>
      <c r="J9" s="17">
        <v>9.8371573729610196E-2</v>
      </c>
      <c r="K9" s="17"/>
      <c r="L9" s="17">
        <v>0.203073102202873</v>
      </c>
      <c r="M9" s="17">
        <v>0.16161850604931499</v>
      </c>
      <c r="N9" s="17">
        <v>0.16641226479278001</v>
      </c>
      <c r="O9" s="17">
        <v>0.10144883646595999</v>
      </c>
    </row>
    <row r="10" spans="2:15" x14ac:dyDescent="0.3">
      <c r="B10" s="18" t="s">
        <v>549</v>
      </c>
      <c r="C10" s="17">
        <v>0.414814959263687</v>
      </c>
      <c r="D10" s="17">
        <v>0.41818556586852801</v>
      </c>
      <c r="E10" s="17">
        <v>0.411529392729925</v>
      </c>
      <c r="F10" s="17"/>
      <c r="G10" s="17">
        <v>0.37610522138187802</v>
      </c>
      <c r="H10" s="17">
        <v>0.44112646139084299</v>
      </c>
      <c r="I10" s="17">
        <v>0.396596784997445</v>
      </c>
      <c r="J10" s="17">
        <v>0.45525106202371102</v>
      </c>
      <c r="K10" s="17"/>
      <c r="L10" s="17">
        <v>0.43618820436113298</v>
      </c>
      <c r="M10" s="17">
        <v>0.450456358902323</v>
      </c>
      <c r="N10" s="17">
        <v>0.38452419593563603</v>
      </c>
      <c r="O10" s="17">
        <v>0.38791520209976399</v>
      </c>
    </row>
    <row r="11" spans="2:15" x14ac:dyDescent="0.3">
      <c r="B11" s="18" t="s">
        <v>550</v>
      </c>
      <c r="C11" s="17">
        <v>0.36337115247176499</v>
      </c>
      <c r="D11" s="17">
        <v>0.36829084446286198</v>
      </c>
      <c r="E11" s="17">
        <v>0.35675943481224398</v>
      </c>
      <c r="F11" s="17"/>
      <c r="G11" s="17">
        <v>0.32346527878522102</v>
      </c>
      <c r="H11" s="17">
        <v>0.370652868670585</v>
      </c>
      <c r="I11" s="17">
        <v>0.41430221069317502</v>
      </c>
      <c r="J11" s="17">
        <v>0.36344931670814201</v>
      </c>
      <c r="K11" s="17"/>
      <c r="L11" s="17">
        <v>0.30683395909386801</v>
      </c>
      <c r="M11" s="17">
        <v>0.32407935835830798</v>
      </c>
      <c r="N11" s="17">
        <v>0.37326811186503001</v>
      </c>
      <c r="O11" s="17">
        <v>0.45145508502294901</v>
      </c>
    </row>
    <row r="12" spans="2:15" x14ac:dyDescent="0.3">
      <c r="B12" s="18" t="s">
        <v>551</v>
      </c>
      <c r="C12" s="17">
        <v>2.728757492423E-2</v>
      </c>
      <c r="D12" s="17">
        <v>2.8742020903530899E-2</v>
      </c>
      <c r="E12" s="17">
        <v>2.6033636049312001E-2</v>
      </c>
      <c r="F12" s="17"/>
      <c r="G12" s="17">
        <v>1.3127302474163501E-2</v>
      </c>
      <c r="H12" s="17">
        <v>5.2445667789806E-2</v>
      </c>
      <c r="I12" s="17">
        <v>1.0842772073534099E-2</v>
      </c>
      <c r="J12" s="17">
        <v>3.2388361521831201E-2</v>
      </c>
      <c r="K12" s="17"/>
      <c r="L12" s="17">
        <v>1.70291714988513E-2</v>
      </c>
      <c r="M12" s="17">
        <v>1.9090901716474901E-2</v>
      </c>
      <c r="N12" s="17">
        <v>3.7302662429634703E-2</v>
      </c>
      <c r="O12" s="17">
        <v>3.55139335180054E-2</v>
      </c>
    </row>
    <row r="13" spans="2:15" x14ac:dyDescent="0.3">
      <c r="B13" s="18" t="s">
        <v>107</v>
      </c>
      <c r="C13" s="19">
        <v>3.6158958825461503E-2</v>
      </c>
      <c r="D13" s="19">
        <v>2.3084054732971201E-2</v>
      </c>
      <c r="E13" s="19">
        <v>4.9482485372590701E-2</v>
      </c>
      <c r="F13" s="19"/>
      <c r="G13" s="19">
        <v>2.5662113560215302E-2</v>
      </c>
      <c r="H13" s="19">
        <v>2.7107036668006099E-2</v>
      </c>
      <c r="I13" s="19">
        <v>4.6943382607219898E-2</v>
      </c>
      <c r="J13" s="19">
        <v>5.0539686016705297E-2</v>
      </c>
      <c r="K13" s="19"/>
      <c r="L13" s="19">
        <v>3.6875562843275103E-2</v>
      </c>
      <c r="M13" s="19">
        <v>4.4754874973578399E-2</v>
      </c>
      <c r="N13" s="19">
        <v>3.8492764976919301E-2</v>
      </c>
      <c r="O13" s="19">
        <v>2.3666942893321601E-2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554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548</v>
      </c>
      <c r="C9" s="17">
        <v>0.16699937809528601</v>
      </c>
      <c r="D9" s="17">
        <v>0.16208686396660599</v>
      </c>
      <c r="E9" s="17">
        <v>0.16877766316324799</v>
      </c>
      <c r="F9" s="17"/>
      <c r="G9" s="17">
        <v>0.216636154634439</v>
      </c>
      <c r="H9" s="17">
        <v>0.14300636324847901</v>
      </c>
      <c r="I9" s="17">
        <v>0.1324616544127</v>
      </c>
      <c r="J9" s="17">
        <v>0.16246885935493899</v>
      </c>
      <c r="K9" s="17"/>
      <c r="L9" s="17">
        <v>0.18206546752897099</v>
      </c>
      <c r="M9" s="17">
        <v>0.151309247668652</v>
      </c>
      <c r="N9" s="17">
        <v>0.19327529934593801</v>
      </c>
      <c r="O9" s="17">
        <v>0.140346483977804</v>
      </c>
    </row>
    <row r="10" spans="2:15" x14ac:dyDescent="0.3">
      <c r="B10" s="18" t="s">
        <v>549</v>
      </c>
      <c r="C10" s="17">
        <v>0.34691917449181298</v>
      </c>
      <c r="D10" s="17">
        <v>0.34896371066509901</v>
      </c>
      <c r="E10" s="17">
        <v>0.34446339411865401</v>
      </c>
      <c r="F10" s="17"/>
      <c r="G10" s="17">
        <v>0.34663449211972402</v>
      </c>
      <c r="H10" s="17">
        <v>0.35938063356007599</v>
      </c>
      <c r="I10" s="17">
        <v>0.31265086929657598</v>
      </c>
      <c r="J10" s="17">
        <v>0.35923933919429302</v>
      </c>
      <c r="K10" s="17"/>
      <c r="L10" s="17">
        <v>0.34933949442140599</v>
      </c>
      <c r="M10" s="17">
        <v>0.36568365347355702</v>
      </c>
      <c r="N10" s="17">
        <v>0.36247691538961102</v>
      </c>
      <c r="O10" s="17">
        <v>0.30745860483651899</v>
      </c>
    </row>
    <row r="11" spans="2:15" x14ac:dyDescent="0.3">
      <c r="B11" s="18" t="s">
        <v>550</v>
      </c>
      <c r="C11" s="17">
        <v>0.40616275618556402</v>
      </c>
      <c r="D11" s="17">
        <v>0.42721328489413501</v>
      </c>
      <c r="E11" s="17">
        <v>0.38809600098866898</v>
      </c>
      <c r="F11" s="17"/>
      <c r="G11" s="17">
        <v>0.38892032881248201</v>
      </c>
      <c r="H11" s="17">
        <v>0.39395312097945001</v>
      </c>
      <c r="I11" s="17">
        <v>0.48442403675273399</v>
      </c>
      <c r="J11" s="17">
        <v>0.374263326443799</v>
      </c>
      <c r="K11" s="17"/>
      <c r="L11" s="17">
        <v>0.415950708938295</v>
      </c>
      <c r="M11" s="17">
        <v>0.39684099008309398</v>
      </c>
      <c r="N11" s="17">
        <v>0.33340618537856798</v>
      </c>
      <c r="O11" s="17">
        <v>0.48522238231125198</v>
      </c>
    </row>
    <row r="12" spans="2:15" x14ac:dyDescent="0.3">
      <c r="B12" s="18" t="s">
        <v>551</v>
      </c>
      <c r="C12" s="17">
        <v>4.7924697802241401E-2</v>
      </c>
      <c r="D12" s="17">
        <v>4.3269513458672998E-2</v>
      </c>
      <c r="E12" s="17">
        <v>5.2923825548286403E-2</v>
      </c>
      <c r="F12" s="17"/>
      <c r="G12" s="17">
        <v>1.7401323177154499E-2</v>
      </c>
      <c r="H12" s="17">
        <v>7.45782256928961E-2</v>
      </c>
      <c r="I12" s="17">
        <v>6.0805910479062301E-2</v>
      </c>
      <c r="J12" s="17">
        <v>4.6026775759925302E-2</v>
      </c>
      <c r="K12" s="17"/>
      <c r="L12" s="17">
        <v>4.3953419204144799E-2</v>
      </c>
      <c r="M12" s="17">
        <v>3.6685678263294601E-2</v>
      </c>
      <c r="N12" s="17">
        <v>6.3296819529357798E-2</v>
      </c>
      <c r="O12" s="17">
        <v>4.7333304942404397E-2</v>
      </c>
    </row>
    <row r="13" spans="2:15" x14ac:dyDescent="0.3">
      <c r="B13" s="18" t="s">
        <v>107</v>
      </c>
      <c r="C13" s="19">
        <v>3.19939934250945E-2</v>
      </c>
      <c r="D13" s="19">
        <v>1.8466627015487298E-2</v>
      </c>
      <c r="E13" s="19">
        <v>4.5739116181142403E-2</v>
      </c>
      <c r="F13" s="19"/>
      <c r="G13" s="19">
        <v>3.0407701256200501E-2</v>
      </c>
      <c r="H13" s="19">
        <v>2.90816565190994E-2</v>
      </c>
      <c r="I13" s="19">
        <v>9.6575290589285493E-3</v>
      </c>
      <c r="J13" s="19">
        <v>5.8001699247044403E-2</v>
      </c>
      <c r="K13" s="19"/>
      <c r="L13" s="19">
        <v>8.69090990718226E-3</v>
      </c>
      <c r="M13" s="19">
        <v>4.9480430511402003E-2</v>
      </c>
      <c r="N13" s="19">
        <v>4.75447803565247E-2</v>
      </c>
      <c r="O13" s="19">
        <v>1.96392239320206E-2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555</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548</v>
      </c>
      <c r="C9" s="17">
        <v>6.0848451940841097E-2</v>
      </c>
      <c r="D9" s="17">
        <v>4.3704450115954703E-2</v>
      </c>
      <c r="E9" s="17">
        <v>7.8416365171869007E-2</v>
      </c>
      <c r="F9" s="17"/>
      <c r="G9" s="17">
        <v>6.2823687362871E-2</v>
      </c>
      <c r="H9" s="17">
        <v>5.9826572993182899E-2</v>
      </c>
      <c r="I9" s="17">
        <v>5.4931888555479702E-2</v>
      </c>
      <c r="J9" s="17">
        <v>6.5319370738919996E-2</v>
      </c>
      <c r="K9" s="17"/>
      <c r="L9" s="17">
        <v>9.3310984005901404E-2</v>
      </c>
      <c r="M9" s="17">
        <v>4.47460345121291E-2</v>
      </c>
      <c r="N9" s="17">
        <v>6.8894015504936207E-2</v>
      </c>
      <c r="O9" s="17">
        <v>3.6992190218292399E-2</v>
      </c>
    </row>
    <row r="10" spans="2:15" x14ac:dyDescent="0.3">
      <c r="B10" s="18" t="s">
        <v>549</v>
      </c>
      <c r="C10" s="17">
        <v>0.225227058212249</v>
      </c>
      <c r="D10" s="17">
        <v>0.14617949986916301</v>
      </c>
      <c r="E10" s="17">
        <v>0.305825960530893</v>
      </c>
      <c r="F10" s="17"/>
      <c r="G10" s="17">
        <v>0.24612447119620501</v>
      </c>
      <c r="H10" s="17">
        <v>0.2659721765459</v>
      </c>
      <c r="I10" s="17">
        <v>0.21784690932165199</v>
      </c>
      <c r="J10" s="17">
        <v>0.16030576594131801</v>
      </c>
      <c r="K10" s="17"/>
      <c r="L10" s="17">
        <v>0.19225366403323599</v>
      </c>
      <c r="M10" s="17">
        <v>0.21303918378970599</v>
      </c>
      <c r="N10" s="17">
        <v>0.23519145315565801</v>
      </c>
      <c r="O10" s="17">
        <v>0.26051688944500101</v>
      </c>
    </row>
    <row r="11" spans="2:15" x14ac:dyDescent="0.3">
      <c r="B11" s="18" t="s">
        <v>550</v>
      </c>
      <c r="C11" s="17">
        <v>0.55189334434433801</v>
      </c>
      <c r="D11" s="17">
        <v>0.62980689282815805</v>
      </c>
      <c r="E11" s="17">
        <v>0.47080297629664197</v>
      </c>
      <c r="F11" s="17"/>
      <c r="G11" s="17">
        <v>0.57640974793793598</v>
      </c>
      <c r="H11" s="17">
        <v>0.46282451420973503</v>
      </c>
      <c r="I11" s="17">
        <v>0.61133825407999298</v>
      </c>
      <c r="J11" s="17">
        <v>0.57120169748628802</v>
      </c>
      <c r="K11" s="17"/>
      <c r="L11" s="17">
        <v>0.52566576650035601</v>
      </c>
      <c r="M11" s="17">
        <v>0.56481902943115703</v>
      </c>
      <c r="N11" s="17">
        <v>0.565308220317156</v>
      </c>
      <c r="O11" s="17">
        <v>0.54968323623042903</v>
      </c>
    </row>
    <row r="12" spans="2:15" x14ac:dyDescent="0.3">
      <c r="B12" s="18" t="s">
        <v>551</v>
      </c>
      <c r="C12" s="17">
        <v>8.6368497268307795E-2</v>
      </c>
      <c r="D12" s="17">
        <v>0.103058012933209</v>
      </c>
      <c r="E12" s="17">
        <v>7.0327363621966593E-2</v>
      </c>
      <c r="F12" s="17"/>
      <c r="G12" s="17">
        <v>6.58955081166612E-2</v>
      </c>
      <c r="H12" s="17">
        <v>0.13022829751308401</v>
      </c>
      <c r="I12" s="17">
        <v>4.3040552675754497E-2</v>
      </c>
      <c r="J12" s="17">
        <v>9.5530225867597393E-2</v>
      </c>
      <c r="K12" s="17"/>
      <c r="L12" s="17">
        <v>7.5896915542146504E-2</v>
      </c>
      <c r="M12" s="17">
        <v>9.8180321230287998E-2</v>
      </c>
      <c r="N12" s="17">
        <v>8.76724681321637E-2</v>
      </c>
      <c r="O12" s="17">
        <v>8.2720784781343606E-2</v>
      </c>
    </row>
    <row r="13" spans="2:15" x14ac:dyDescent="0.3">
      <c r="B13" s="18" t="s">
        <v>107</v>
      </c>
      <c r="C13" s="19">
        <v>7.5662648234264399E-2</v>
      </c>
      <c r="D13" s="19">
        <v>7.7251144253515994E-2</v>
      </c>
      <c r="E13" s="19">
        <v>7.4627334378630006E-2</v>
      </c>
      <c r="F13" s="19"/>
      <c r="G13" s="19">
        <v>4.8746585386326903E-2</v>
      </c>
      <c r="H13" s="19">
        <v>8.1148438738098794E-2</v>
      </c>
      <c r="I13" s="19">
        <v>7.2842395367119894E-2</v>
      </c>
      <c r="J13" s="19">
        <v>0.107642939965877</v>
      </c>
      <c r="K13" s="19"/>
      <c r="L13" s="19">
        <v>0.11287266991835999</v>
      </c>
      <c r="M13" s="19">
        <v>7.9215431036719797E-2</v>
      </c>
      <c r="N13" s="19">
        <v>4.2933842890085297E-2</v>
      </c>
      <c r="O13" s="19">
        <v>7.0086899324933699E-2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556</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548</v>
      </c>
      <c r="C9" s="17">
        <v>0.11181725316044</v>
      </c>
      <c r="D9" s="17">
        <v>0.124915937376263</v>
      </c>
      <c r="E9" s="17">
        <v>9.9548317089129701E-2</v>
      </c>
      <c r="F9" s="17"/>
      <c r="G9" s="17">
        <v>0.15622198481500901</v>
      </c>
      <c r="H9" s="17">
        <v>8.96530754170487E-2</v>
      </c>
      <c r="I9" s="17">
        <v>8.7351217346711099E-2</v>
      </c>
      <c r="J9" s="17">
        <v>9.4460271863528206E-2</v>
      </c>
      <c r="K9" s="17"/>
      <c r="L9" s="17">
        <v>0.13626921910997</v>
      </c>
      <c r="M9" s="17">
        <v>0.11891279715644799</v>
      </c>
      <c r="N9" s="17">
        <v>0.100377502835804</v>
      </c>
      <c r="O9" s="17">
        <v>9.2125264854769795E-2</v>
      </c>
    </row>
    <row r="10" spans="2:15" x14ac:dyDescent="0.3">
      <c r="B10" s="18" t="s">
        <v>549</v>
      </c>
      <c r="C10" s="17">
        <v>0.29811803447727903</v>
      </c>
      <c r="D10" s="17">
        <v>0.28790293687558699</v>
      </c>
      <c r="E10" s="17">
        <v>0.31049397685198998</v>
      </c>
      <c r="F10" s="17"/>
      <c r="G10" s="17">
        <v>0.30841818861758302</v>
      </c>
      <c r="H10" s="17">
        <v>0.28396889011179599</v>
      </c>
      <c r="I10" s="17">
        <v>0.34673002718511098</v>
      </c>
      <c r="J10" s="17">
        <v>0.25877241720482802</v>
      </c>
      <c r="K10" s="17"/>
      <c r="L10" s="17">
        <v>0.32203592914592399</v>
      </c>
      <c r="M10" s="17">
        <v>0.31126626048594802</v>
      </c>
      <c r="N10" s="17">
        <v>0.28119614202306698</v>
      </c>
      <c r="O10" s="17">
        <v>0.27838788623076499</v>
      </c>
    </row>
    <row r="11" spans="2:15" x14ac:dyDescent="0.3">
      <c r="B11" s="18" t="s">
        <v>550</v>
      </c>
      <c r="C11" s="17">
        <v>0.495647759890115</v>
      </c>
      <c r="D11" s="17">
        <v>0.490229438475762</v>
      </c>
      <c r="E11" s="17">
        <v>0.49738456170646</v>
      </c>
      <c r="F11" s="17"/>
      <c r="G11" s="17">
        <v>0.477837543344032</v>
      </c>
      <c r="H11" s="17">
        <v>0.51367620524138502</v>
      </c>
      <c r="I11" s="17">
        <v>0.50237484051374504</v>
      </c>
      <c r="J11" s="17">
        <v>0.49615944503360199</v>
      </c>
      <c r="K11" s="17"/>
      <c r="L11" s="17">
        <v>0.48865122669736999</v>
      </c>
      <c r="M11" s="17">
        <v>0.47117742075852298</v>
      </c>
      <c r="N11" s="17">
        <v>0.51220325940213796</v>
      </c>
      <c r="O11" s="17">
        <v>0.51103332131366896</v>
      </c>
    </row>
    <row r="12" spans="2:15" x14ac:dyDescent="0.3">
      <c r="B12" s="18" t="s">
        <v>551</v>
      </c>
      <c r="C12" s="17">
        <v>5.4755761395798901E-2</v>
      </c>
      <c r="D12" s="17">
        <v>6.9283610032524104E-2</v>
      </c>
      <c r="E12" s="17">
        <v>4.0643464287140801E-2</v>
      </c>
      <c r="F12" s="17"/>
      <c r="G12" s="17">
        <v>3.3150873394504801E-2</v>
      </c>
      <c r="H12" s="17">
        <v>4.3209599207013297E-2</v>
      </c>
      <c r="I12" s="17">
        <v>4.2225487650292999E-2</v>
      </c>
      <c r="J12" s="17">
        <v>0.107849150920757</v>
      </c>
      <c r="K12" s="17"/>
      <c r="L12" s="17">
        <v>1.7411486000908701E-2</v>
      </c>
      <c r="M12" s="17">
        <v>6.3381121685797903E-2</v>
      </c>
      <c r="N12" s="17">
        <v>7.5411393302989793E-2</v>
      </c>
      <c r="O12" s="17">
        <v>6.04443055489607E-2</v>
      </c>
    </row>
    <row r="13" spans="2:15" x14ac:dyDescent="0.3">
      <c r="B13" s="18" t="s">
        <v>107</v>
      </c>
      <c r="C13" s="19">
        <v>3.9661191076367397E-2</v>
      </c>
      <c r="D13" s="19">
        <v>2.7668077239864499E-2</v>
      </c>
      <c r="E13" s="19">
        <v>5.1929680065280003E-2</v>
      </c>
      <c r="F13" s="19"/>
      <c r="G13" s="19">
        <v>2.43714098288704E-2</v>
      </c>
      <c r="H13" s="19">
        <v>6.9492230022756202E-2</v>
      </c>
      <c r="I13" s="19">
        <v>2.1318427304140401E-2</v>
      </c>
      <c r="J13" s="19">
        <v>4.27587149772852E-2</v>
      </c>
      <c r="K13" s="19"/>
      <c r="L13" s="19">
        <v>3.5632139045826898E-2</v>
      </c>
      <c r="M13" s="19">
        <v>3.5262399913282103E-2</v>
      </c>
      <c r="N13" s="19">
        <v>3.0811702436001599E-2</v>
      </c>
      <c r="O13" s="19">
        <v>5.8009222051835098E-2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557</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548</v>
      </c>
      <c r="C9" s="17">
        <v>0.20695887697684001</v>
      </c>
      <c r="D9" s="17">
        <v>0.23273278055832899</v>
      </c>
      <c r="E9" s="17">
        <v>0.182722467907627</v>
      </c>
      <c r="F9" s="17"/>
      <c r="G9" s="17">
        <v>0.22147904376808999</v>
      </c>
      <c r="H9" s="17">
        <v>0.205922911345989</v>
      </c>
      <c r="I9" s="17">
        <v>0.22204092283207499</v>
      </c>
      <c r="J9" s="17">
        <v>0.169182193475719</v>
      </c>
      <c r="K9" s="17"/>
      <c r="L9" s="17">
        <v>0.270354756513559</v>
      </c>
      <c r="M9" s="17">
        <v>0.159180230758662</v>
      </c>
      <c r="N9" s="17">
        <v>0.21508839876739599</v>
      </c>
      <c r="O9" s="17">
        <v>0.186154256128998</v>
      </c>
    </row>
    <row r="10" spans="2:15" x14ac:dyDescent="0.3">
      <c r="B10" s="18" t="s">
        <v>549</v>
      </c>
      <c r="C10" s="17">
        <v>0.452624283578202</v>
      </c>
      <c r="D10" s="17">
        <v>0.42281544817630301</v>
      </c>
      <c r="E10" s="17">
        <v>0.47841032157896501</v>
      </c>
      <c r="F10" s="17"/>
      <c r="G10" s="17">
        <v>0.43896369703356602</v>
      </c>
      <c r="H10" s="17">
        <v>0.42452431574894101</v>
      </c>
      <c r="I10" s="17">
        <v>0.481864307564557</v>
      </c>
      <c r="J10" s="17">
        <v>0.47920230301028</v>
      </c>
      <c r="K10" s="17"/>
      <c r="L10" s="17">
        <v>0.44299757901319597</v>
      </c>
      <c r="M10" s="17">
        <v>0.54250576185550703</v>
      </c>
      <c r="N10" s="17">
        <v>0.43617324396684298</v>
      </c>
      <c r="O10" s="17">
        <v>0.38338226654508201</v>
      </c>
    </row>
    <row r="11" spans="2:15" x14ac:dyDescent="0.3">
      <c r="B11" s="18" t="s">
        <v>550</v>
      </c>
      <c r="C11" s="17">
        <v>0.277389351846969</v>
      </c>
      <c r="D11" s="17">
        <v>0.29166241304921497</v>
      </c>
      <c r="E11" s="17">
        <v>0.26515394473464898</v>
      </c>
      <c r="F11" s="17"/>
      <c r="G11" s="17">
        <v>0.27753308351426997</v>
      </c>
      <c r="H11" s="17">
        <v>0.27873714790265303</v>
      </c>
      <c r="I11" s="17">
        <v>0.267222496010532</v>
      </c>
      <c r="J11" s="17">
        <v>0.28715087035062598</v>
      </c>
      <c r="K11" s="17"/>
      <c r="L11" s="17">
        <v>0.25627976580709999</v>
      </c>
      <c r="M11" s="17">
        <v>0.246236269858226</v>
      </c>
      <c r="N11" s="17">
        <v>0.25319936224839701</v>
      </c>
      <c r="O11" s="17">
        <v>0.35821792390954199</v>
      </c>
    </row>
    <row r="12" spans="2:15" x14ac:dyDescent="0.3">
      <c r="B12" s="18" t="s">
        <v>551</v>
      </c>
      <c r="C12" s="17">
        <v>2.97281545479442E-2</v>
      </c>
      <c r="D12" s="17">
        <v>3.2109960788010199E-2</v>
      </c>
      <c r="E12" s="17">
        <v>2.7565695828898298E-2</v>
      </c>
      <c r="F12" s="17"/>
      <c r="G12" s="17">
        <v>2.1966050524708999E-2</v>
      </c>
      <c r="H12" s="17">
        <v>5.9245481744180602E-2</v>
      </c>
      <c r="I12" s="17">
        <v>7.8673597639276407E-3</v>
      </c>
      <c r="J12" s="17">
        <v>2.65158134942154E-2</v>
      </c>
      <c r="K12" s="17"/>
      <c r="L12" s="17">
        <v>2.1676988758962699E-2</v>
      </c>
      <c r="M12" s="17">
        <v>2.6125067426297E-2</v>
      </c>
      <c r="N12" s="17">
        <v>5.3216278529315701E-2</v>
      </c>
      <c r="O12" s="17">
        <v>1.6209900957666501E-2</v>
      </c>
    </row>
    <row r="13" spans="2:15" x14ac:dyDescent="0.3">
      <c r="B13" s="18" t="s">
        <v>107</v>
      </c>
      <c r="C13" s="19">
        <v>3.3299333050045003E-2</v>
      </c>
      <c r="D13" s="19">
        <v>2.0679397428142898E-2</v>
      </c>
      <c r="E13" s="19">
        <v>4.61475699498596E-2</v>
      </c>
      <c r="F13" s="19"/>
      <c r="G13" s="19">
        <v>4.0058125159364202E-2</v>
      </c>
      <c r="H13" s="19">
        <v>3.1570143258236802E-2</v>
      </c>
      <c r="I13" s="19">
        <v>2.1004913828908199E-2</v>
      </c>
      <c r="J13" s="19">
        <v>3.7948819669159098E-2</v>
      </c>
      <c r="K13" s="19"/>
      <c r="L13" s="19">
        <v>8.69090990718226E-3</v>
      </c>
      <c r="M13" s="19">
        <v>2.5952670101308199E-2</v>
      </c>
      <c r="N13" s="19">
        <v>4.2322716488048098E-2</v>
      </c>
      <c r="O13" s="19">
        <v>5.6035652458712303E-2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558</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548</v>
      </c>
      <c r="C9" s="17">
        <v>0.17393677050564499</v>
      </c>
      <c r="D9" s="17">
        <v>0.18254114541300001</v>
      </c>
      <c r="E9" s="17">
        <v>0.16660971177596201</v>
      </c>
      <c r="F9" s="17"/>
      <c r="G9" s="17">
        <v>0.224033825697629</v>
      </c>
      <c r="H9" s="17">
        <v>0.16402054993590401</v>
      </c>
      <c r="I9" s="17">
        <v>0.14606176025364001</v>
      </c>
      <c r="J9" s="17">
        <v>0.13887380762461199</v>
      </c>
      <c r="K9" s="17"/>
      <c r="L9" s="17">
        <v>0.18480746498815401</v>
      </c>
      <c r="M9" s="17">
        <v>0.16257703891571201</v>
      </c>
      <c r="N9" s="17">
        <v>0.20084285585346701</v>
      </c>
      <c r="O9" s="17">
        <v>0.146138134212772</v>
      </c>
    </row>
    <row r="10" spans="2:15" x14ac:dyDescent="0.3">
      <c r="B10" s="18" t="s">
        <v>549</v>
      </c>
      <c r="C10" s="17">
        <v>0.31440690188355203</v>
      </c>
      <c r="D10" s="17">
        <v>0.33629968571079799</v>
      </c>
      <c r="E10" s="17">
        <v>0.29188853316574498</v>
      </c>
      <c r="F10" s="17"/>
      <c r="G10" s="17">
        <v>0.37307622983814698</v>
      </c>
      <c r="H10" s="17">
        <v>0.23756386560642101</v>
      </c>
      <c r="I10" s="17">
        <v>0.30841298127637401</v>
      </c>
      <c r="J10" s="17">
        <v>0.333222808197155</v>
      </c>
      <c r="K10" s="17"/>
      <c r="L10" s="17">
        <v>0.29639054643171597</v>
      </c>
      <c r="M10" s="17">
        <v>0.35529598293348902</v>
      </c>
      <c r="N10" s="17">
        <v>0.30398798536292099</v>
      </c>
      <c r="O10" s="17">
        <v>0.29972367819417001</v>
      </c>
    </row>
    <row r="11" spans="2:15" x14ac:dyDescent="0.3">
      <c r="B11" s="18" t="s">
        <v>550</v>
      </c>
      <c r="C11" s="17">
        <v>0.42572356695749303</v>
      </c>
      <c r="D11" s="17">
        <v>0.42459237739210898</v>
      </c>
      <c r="E11" s="17">
        <v>0.42561022485759697</v>
      </c>
      <c r="F11" s="17"/>
      <c r="G11" s="17">
        <v>0.33773894115442199</v>
      </c>
      <c r="H11" s="17">
        <v>0.468924759333537</v>
      </c>
      <c r="I11" s="17">
        <v>0.48858281152599298</v>
      </c>
      <c r="J11" s="17">
        <v>0.43722072624935698</v>
      </c>
      <c r="K11" s="17"/>
      <c r="L11" s="17">
        <v>0.44379338100482002</v>
      </c>
      <c r="M11" s="17">
        <v>0.37737787163056302</v>
      </c>
      <c r="N11" s="17">
        <v>0.425048045771727</v>
      </c>
      <c r="O11" s="17">
        <v>0.46039381553129199</v>
      </c>
    </row>
    <row r="12" spans="2:15" x14ac:dyDescent="0.3">
      <c r="B12" s="18" t="s">
        <v>551</v>
      </c>
      <c r="C12" s="17">
        <v>4.1439304036301798E-2</v>
      </c>
      <c r="D12" s="17">
        <v>4.48446130947645E-2</v>
      </c>
      <c r="E12" s="17">
        <v>3.8339849519527798E-2</v>
      </c>
      <c r="F12" s="17"/>
      <c r="G12" s="17">
        <v>4.6679853372324602E-2</v>
      </c>
      <c r="H12" s="17">
        <v>6.6784216224193796E-2</v>
      </c>
      <c r="I12" s="17">
        <v>0</v>
      </c>
      <c r="J12" s="17">
        <v>4.3998836290632302E-2</v>
      </c>
      <c r="K12" s="17"/>
      <c r="L12" s="17">
        <v>2.73518066805758E-2</v>
      </c>
      <c r="M12" s="17">
        <v>6.0364175932821201E-2</v>
      </c>
      <c r="N12" s="17">
        <v>3.56913863175954E-2</v>
      </c>
      <c r="O12" s="17">
        <v>4.1395137941037101E-2</v>
      </c>
    </row>
    <row r="13" spans="2:15" x14ac:dyDescent="0.3">
      <c r="B13" s="18" t="s">
        <v>107</v>
      </c>
      <c r="C13" s="19">
        <v>4.4493456617008202E-2</v>
      </c>
      <c r="D13" s="19">
        <v>1.17221783893286E-2</v>
      </c>
      <c r="E13" s="19">
        <v>7.7551680681168703E-2</v>
      </c>
      <c r="F13" s="19"/>
      <c r="G13" s="19">
        <v>1.8471149937477799E-2</v>
      </c>
      <c r="H13" s="19">
        <v>6.2706608899945296E-2</v>
      </c>
      <c r="I13" s="19">
        <v>5.6942446943992801E-2</v>
      </c>
      <c r="J13" s="19">
        <v>4.6683821638243701E-2</v>
      </c>
      <c r="K13" s="19"/>
      <c r="L13" s="19">
        <v>4.76568008947343E-2</v>
      </c>
      <c r="M13" s="19">
        <v>4.4384930587415501E-2</v>
      </c>
      <c r="N13" s="19">
        <v>3.44297266942893E-2</v>
      </c>
      <c r="O13" s="19">
        <v>5.2349234120728602E-2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559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548</v>
      </c>
      <c r="C9" s="17">
        <v>0.23164697823518701</v>
      </c>
      <c r="D9" s="17">
        <v>0.23807879886243999</v>
      </c>
      <c r="E9" s="17">
        <v>0.22691055187489101</v>
      </c>
      <c r="F9" s="17"/>
      <c r="G9" s="17">
        <v>0.26853445116782898</v>
      </c>
      <c r="H9" s="17">
        <v>0.18819590752170501</v>
      </c>
      <c r="I9" s="17">
        <v>0.23263071359465701</v>
      </c>
      <c r="J9" s="17">
        <v>0.22595900315909501</v>
      </c>
      <c r="K9" s="17"/>
      <c r="L9" s="17">
        <v>0.23889580989984699</v>
      </c>
      <c r="M9" s="17">
        <v>0.21747052831678701</v>
      </c>
      <c r="N9" s="17">
        <v>0.26187020312017101</v>
      </c>
      <c r="O9" s="17">
        <v>0.20690674300886</v>
      </c>
    </row>
    <row r="10" spans="2:15" x14ac:dyDescent="0.3">
      <c r="B10" s="18" t="s">
        <v>549</v>
      </c>
      <c r="C10" s="17">
        <v>0.35883639979812698</v>
      </c>
      <c r="D10" s="17">
        <v>0.38408161680726399</v>
      </c>
      <c r="E10" s="17">
        <v>0.33329318264184699</v>
      </c>
      <c r="F10" s="17"/>
      <c r="G10" s="17">
        <v>0.38016679838399198</v>
      </c>
      <c r="H10" s="17">
        <v>0.335754830973443</v>
      </c>
      <c r="I10" s="17">
        <v>0.28784799060473998</v>
      </c>
      <c r="J10" s="17">
        <v>0.42489950696080098</v>
      </c>
      <c r="K10" s="17"/>
      <c r="L10" s="17">
        <v>0.32858080692766101</v>
      </c>
      <c r="M10" s="17">
        <v>0.400421738474527</v>
      </c>
      <c r="N10" s="17">
        <v>0.37208115803974501</v>
      </c>
      <c r="O10" s="17">
        <v>0.33000776145192401</v>
      </c>
    </row>
    <row r="11" spans="2:15" x14ac:dyDescent="0.3">
      <c r="B11" s="18" t="s">
        <v>550</v>
      </c>
      <c r="C11" s="17">
        <v>0.347729052299804</v>
      </c>
      <c r="D11" s="17">
        <v>0.33633552840630898</v>
      </c>
      <c r="E11" s="17">
        <v>0.35729799949202001</v>
      </c>
      <c r="F11" s="17"/>
      <c r="G11" s="17">
        <v>0.32594110584110098</v>
      </c>
      <c r="H11" s="17">
        <v>0.36678092804430101</v>
      </c>
      <c r="I11" s="17">
        <v>0.42673552325359698</v>
      </c>
      <c r="J11" s="17">
        <v>0.28512200597855702</v>
      </c>
      <c r="K11" s="17"/>
      <c r="L11" s="17">
        <v>0.36999019960308099</v>
      </c>
      <c r="M11" s="17">
        <v>0.32634879095803099</v>
      </c>
      <c r="N11" s="17">
        <v>0.29652728322775701</v>
      </c>
      <c r="O11" s="17">
        <v>0.40393646626800001</v>
      </c>
    </row>
    <row r="12" spans="2:15" x14ac:dyDescent="0.3">
      <c r="B12" s="18" t="s">
        <v>551</v>
      </c>
      <c r="C12" s="17">
        <v>2.2031017921071299E-2</v>
      </c>
      <c r="D12" s="17">
        <v>2.2193654953679101E-2</v>
      </c>
      <c r="E12" s="17">
        <v>2.2029112066693501E-2</v>
      </c>
      <c r="F12" s="17"/>
      <c r="G12" s="17">
        <v>1.42650881341391E-2</v>
      </c>
      <c r="H12" s="17">
        <v>5.21265755959089E-2</v>
      </c>
      <c r="I12" s="17">
        <v>1.0747827483622401E-2</v>
      </c>
      <c r="J12" s="17">
        <v>8.4533682503133301E-3</v>
      </c>
      <c r="K12" s="17"/>
      <c r="L12" s="17">
        <v>1.4876382674676799E-2</v>
      </c>
      <c r="M12" s="17">
        <v>1.8721294943660999E-2</v>
      </c>
      <c r="N12" s="17">
        <v>3.0357935596297101E-2</v>
      </c>
      <c r="O12" s="17">
        <v>2.3725285252579002E-2</v>
      </c>
    </row>
    <row r="13" spans="2:15" x14ac:dyDescent="0.3">
      <c r="B13" s="18" t="s">
        <v>107</v>
      </c>
      <c r="C13" s="19">
        <v>3.9756551745810997E-2</v>
      </c>
      <c r="D13" s="19">
        <v>1.93104009703081E-2</v>
      </c>
      <c r="E13" s="19">
        <v>6.0469153924548297E-2</v>
      </c>
      <c r="F13" s="19"/>
      <c r="G13" s="19">
        <v>1.10925564729384E-2</v>
      </c>
      <c r="H13" s="19">
        <v>5.7141757864642102E-2</v>
      </c>
      <c r="I13" s="19">
        <v>4.2037945063382501E-2</v>
      </c>
      <c r="J13" s="19">
        <v>5.5566115651232699E-2</v>
      </c>
      <c r="K13" s="19"/>
      <c r="L13" s="19">
        <v>4.76568008947343E-2</v>
      </c>
      <c r="M13" s="19">
        <v>3.7037647306993403E-2</v>
      </c>
      <c r="N13" s="19">
        <v>3.9163420016029397E-2</v>
      </c>
      <c r="O13" s="19">
        <v>3.5423744018636703E-2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560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548</v>
      </c>
      <c r="C9" s="17">
        <v>0.112213280680419</v>
      </c>
      <c r="D9" s="17">
        <v>7.5624460962618698E-2</v>
      </c>
      <c r="E9" s="17">
        <v>0.14957819534091399</v>
      </c>
      <c r="F9" s="17"/>
      <c r="G9" s="17">
        <v>0.16380428457593699</v>
      </c>
      <c r="H9" s="17">
        <v>0.108750067004176</v>
      </c>
      <c r="I9" s="17">
        <v>5.1778781143322697E-2</v>
      </c>
      <c r="J9" s="17">
        <v>0.105037402003973</v>
      </c>
      <c r="K9" s="17"/>
      <c r="L9" s="17">
        <v>0.16343928861579901</v>
      </c>
      <c r="M9" s="17">
        <v>8.3700661466277707E-2</v>
      </c>
      <c r="N9" s="17">
        <v>9.2061938693508205E-2</v>
      </c>
      <c r="O9" s="17">
        <v>0.113490559355163</v>
      </c>
    </row>
    <row r="10" spans="2:15" x14ac:dyDescent="0.3">
      <c r="B10" s="18" t="s">
        <v>549</v>
      </c>
      <c r="C10" s="17">
        <v>0.21584947928685499</v>
      </c>
      <c r="D10" s="17">
        <v>0.149903783880277</v>
      </c>
      <c r="E10" s="17">
        <v>0.278947480462857</v>
      </c>
      <c r="F10" s="17"/>
      <c r="G10" s="17">
        <v>0.239281919695538</v>
      </c>
      <c r="H10" s="17">
        <v>0.20251880908763401</v>
      </c>
      <c r="I10" s="17">
        <v>0.21898135470906999</v>
      </c>
      <c r="J10" s="17">
        <v>0.19140301418910999</v>
      </c>
      <c r="K10" s="17"/>
      <c r="L10" s="17">
        <v>0.21531896783895099</v>
      </c>
      <c r="M10" s="17">
        <v>0.19019340825730299</v>
      </c>
      <c r="N10" s="17">
        <v>0.246359135217112</v>
      </c>
      <c r="O10" s="17">
        <v>0.21092757625119801</v>
      </c>
    </row>
    <row r="11" spans="2:15" x14ac:dyDescent="0.3">
      <c r="B11" s="18" t="s">
        <v>550</v>
      </c>
      <c r="C11" s="17">
        <v>0.55614759240534495</v>
      </c>
      <c r="D11" s="17">
        <v>0.62484361751103801</v>
      </c>
      <c r="E11" s="17">
        <v>0.48864087078509599</v>
      </c>
      <c r="F11" s="17"/>
      <c r="G11" s="17">
        <v>0.50680167151904798</v>
      </c>
      <c r="H11" s="17">
        <v>0.56394873092418096</v>
      </c>
      <c r="I11" s="17">
        <v>0.61708626187103199</v>
      </c>
      <c r="J11" s="17">
        <v>0.56031913461124105</v>
      </c>
      <c r="K11" s="17"/>
      <c r="L11" s="17">
        <v>0.52114206062925195</v>
      </c>
      <c r="M11" s="17">
        <v>0.56800920509799602</v>
      </c>
      <c r="N11" s="17">
        <v>0.53279481673468598</v>
      </c>
      <c r="O11" s="17">
        <v>0.60369174477649501</v>
      </c>
    </row>
    <row r="12" spans="2:15" x14ac:dyDescent="0.3">
      <c r="B12" s="18" t="s">
        <v>551</v>
      </c>
      <c r="C12" s="17">
        <v>6.8465690387476297E-2</v>
      </c>
      <c r="D12" s="17">
        <v>0.10056707951649201</v>
      </c>
      <c r="E12" s="17">
        <v>3.6899757671276297E-2</v>
      </c>
      <c r="F12" s="17"/>
      <c r="G12" s="17">
        <v>6.7377150659677795E-2</v>
      </c>
      <c r="H12" s="17">
        <v>5.97795612964113E-2</v>
      </c>
      <c r="I12" s="17">
        <v>7.9245292933157893E-2</v>
      </c>
      <c r="J12" s="17">
        <v>7.0446542881349203E-2</v>
      </c>
      <c r="K12" s="17"/>
      <c r="L12" s="17">
        <v>5.2506882765371098E-2</v>
      </c>
      <c r="M12" s="17">
        <v>0.101490939761459</v>
      </c>
      <c r="N12" s="17">
        <v>7.5875488667232496E-2</v>
      </c>
      <c r="O12" s="17">
        <v>4.0870054334500097E-2</v>
      </c>
    </row>
    <row r="13" spans="2:15" x14ac:dyDescent="0.3">
      <c r="B13" s="18" t="s">
        <v>107</v>
      </c>
      <c r="C13" s="19">
        <v>4.73239572399047E-2</v>
      </c>
      <c r="D13" s="19">
        <v>4.9061058129574397E-2</v>
      </c>
      <c r="E13" s="19">
        <v>4.5933695739856797E-2</v>
      </c>
      <c r="F13" s="19"/>
      <c r="G13" s="19">
        <v>2.27349735497996E-2</v>
      </c>
      <c r="H13" s="19">
        <v>6.5002831687597698E-2</v>
      </c>
      <c r="I13" s="19">
        <v>3.2908309343417597E-2</v>
      </c>
      <c r="J13" s="19">
        <v>7.2793906314327403E-2</v>
      </c>
      <c r="K13" s="19"/>
      <c r="L13" s="19">
        <v>4.7592800150627203E-2</v>
      </c>
      <c r="M13" s="19">
        <v>5.6605785416963497E-2</v>
      </c>
      <c r="N13" s="19">
        <v>5.2908620687461799E-2</v>
      </c>
      <c r="O13" s="19">
        <v>3.10200652826444E-2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561</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548</v>
      </c>
      <c r="C9" s="17">
        <v>0.16123889653474599</v>
      </c>
      <c r="D9" s="17">
        <v>0.158988639519724</v>
      </c>
      <c r="E9" s="17">
        <v>0.16466158537990799</v>
      </c>
      <c r="F9" s="17"/>
      <c r="G9" s="17">
        <v>0.20197808784308</v>
      </c>
      <c r="H9" s="17">
        <v>0.116038025259741</v>
      </c>
      <c r="I9" s="17">
        <v>0.15119938200562799</v>
      </c>
      <c r="J9" s="17">
        <v>0.162024877893158</v>
      </c>
      <c r="K9" s="17"/>
      <c r="L9" s="17">
        <v>0.192973109069799</v>
      </c>
      <c r="M9" s="17">
        <v>0.142688310119819</v>
      </c>
      <c r="N9" s="17">
        <v>0.18384556454043399</v>
      </c>
      <c r="O9" s="17">
        <v>0.124970060864133</v>
      </c>
    </row>
    <row r="10" spans="2:15" x14ac:dyDescent="0.3">
      <c r="B10" s="18" t="s">
        <v>549</v>
      </c>
      <c r="C10" s="17">
        <v>0.274477487013708</v>
      </c>
      <c r="D10" s="17">
        <v>0.29782295564454903</v>
      </c>
      <c r="E10" s="17">
        <v>0.25315877635658102</v>
      </c>
      <c r="F10" s="17"/>
      <c r="G10" s="17">
        <v>0.31139227077461201</v>
      </c>
      <c r="H10" s="17">
        <v>0.25336287226426402</v>
      </c>
      <c r="I10" s="17">
        <v>0.30873853347750502</v>
      </c>
      <c r="J10" s="17">
        <v>0.221306088160729</v>
      </c>
      <c r="K10" s="17"/>
      <c r="L10" s="17">
        <v>0.25608820371121199</v>
      </c>
      <c r="M10" s="17">
        <v>0.312413934608754</v>
      </c>
      <c r="N10" s="17">
        <v>0.27701825003792102</v>
      </c>
      <c r="O10" s="17">
        <v>0.24930385614227399</v>
      </c>
    </row>
    <row r="11" spans="2:15" x14ac:dyDescent="0.3">
      <c r="B11" s="18" t="s">
        <v>550</v>
      </c>
      <c r="C11" s="17">
        <v>0.45284493535582698</v>
      </c>
      <c r="D11" s="17">
        <v>0.46240058603405598</v>
      </c>
      <c r="E11" s="17">
        <v>0.43931288787999101</v>
      </c>
      <c r="F11" s="17"/>
      <c r="G11" s="17">
        <v>0.39955536800904301</v>
      </c>
      <c r="H11" s="17">
        <v>0.47344216664369099</v>
      </c>
      <c r="I11" s="17">
        <v>0.45387645768782903</v>
      </c>
      <c r="J11" s="17">
        <v>0.50147744312045195</v>
      </c>
      <c r="K11" s="17"/>
      <c r="L11" s="17">
        <v>0.46642728885831403</v>
      </c>
      <c r="M11" s="17">
        <v>0.42891567146464898</v>
      </c>
      <c r="N11" s="17">
        <v>0.42901898610301498</v>
      </c>
      <c r="O11" s="17">
        <v>0.49081611379045897</v>
      </c>
    </row>
    <row r="12" spans="2:15" x14ac:dyDescent="0.3">
      <c r="B12" s="18" t="s">
        <v>551</v>
      </c>
      <c r="C12" s="17">
        <v>6.3726690119101995E-2</v>
      </c>
      <c r="D12" s="17">
        <v>5.3047784515671201E-2</v>
      </c>
      <c r="E12" s="17">
        <v>7.4857838246341707E-2</v>
      </c>
      <c r="F12" s="17"/>
      <c r="G12" s="17">
        <v>5.6397533715154602E-2</v>
      </c>
      <c r="H12" s="17">
        <v>8.8164856527229205E-2</v>
      </c>
      <c r="I12" s="17">
        <v>4.2444166911883602E-2</v>
      </c>
      <c r="J12" s="17">
        <v>6.5457389679560593E-2</v>
      </c>
      <c r="K12" s="17"/>
      <c r="L12" s="17">
        <v>5.5266452148820103E-2</v>
      </c>
      <c r="M12" s="17">
        <v>5.8921304912462898E-2</v>
      </c>
      <c r="N12" s="17">
        <v>7.1027220900603802E-2</v>
      </c>
      <c r="O12" s="17">
        <v>6.9447449283232293E-2</v>
      </c>
    </row>
    <row r="13" spans="2:15" x14ac:dyDescent="0.3">
      <c r="B13" s="18" t="s">
        <v>107</v>
      </c>
      <c r="C13" s="19">
        <v>4.7711990976616797E-2</v>
      </c>
      <c r="D13" s="19">
        <v>2.7740034285999301E-2</v>
      </c>
      <c r="E13" s="19">
        <v>6.8008912137178607E-2</v>
      </c>
      <c r="F13" s="19"/>
      <c r="G13" s="19">
        <v>3.0676739658110502E-2</v>
      </c>
      <c r="H13" s="19">
        <v>6.8992079305074602E-2</v>
      </c>
      <c r="I13" s="19">
        <v>4.3741459917154002E-2</v>
      </c>
      <c r="J13" s="19">
        <v>4.9734201146100603E-2</v>
      </c>
      <c r="K13" s="19"/>
      <c r="L13" s="19">
        <v>2.92449462118551E-2</v>
      </c>
      <c r="M13" s="19">
        <v>5.7060778894315101E-2</v>
      </c>
      <c r="N13" s="19">
        <v>3.9089978418026798E-2</v>
      </c>
      <c r="O13" s="19">
        <v>6.5462519919902901E-2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562</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548</v>
      </c>
      <c r="C9" s="17">
        <v>0.14358588140171499</v>
      </c>
      <c r="D9" s="17">
        <v>0.152603224011674</v>
      </c>
      <c r="E9" s="17">
        <v>0.13127953982665999</v>
      </c>
      <c r="F9" s="17"/>
      <c r="G9" s="17">
        <v>0.15353283787916899</v>
      </c>
      <c r="H9" s="17">
        <v>0.158333707917999</v>
      </c>
      <c r="I9" s="17">
        <v>0.11781249437338399</v>
      </c>
      <c r="J9" s="17">
        <v>0.13062905555600701</v>
      </c>
      <c r="K9" s="17"/>
      <c r="L9" s="17">
        <v>0.18225744041432301</v>
      </c>
      <c r="M9" s="17">
        <v>0.103553934388336</v>
      </c>
      <c r="N9" s="17">
        <v>0.15926557034642699</v>
      </c>
      <c r="O9" s="17">
        <v>0.13099266297097201</v>
      </c>
    </row>
    <row r="10" spans="2:15" x14ac:dyDescent="0.3">
      <c r="B10" s="18" t="s">
        <v>549</v>
      </c>
      <c r="C10" s="17">
        <v>0.32306325939050901</v>
      </c>
      <c r="D10" s="17">
        <v>0.33254778499326298</v>
      </c>
      <c r="E10" s="17">
        <v>0.31594377740996099</v>
      </c>
      <c r="F10" s="17"/>
      <c r="G10" s="17">
        <v>0.407725888438009</v>
      </c>
      <c r="H10" s="17">
        <v>0.230659268590622</v>
      </c>
      <c r="I10" s="17">
        <v>0.31144234156977402</v>
      </c>
      <c r="J10" s="17">
        <v>0.330912344943396</v>
      </c>
      <c r="K10" s="17"/>
      <c r="L10" s="17">
        <v>0.29397204701358398</v>
      </c>
      <c r="M10" s="17">
        <v>0.36536848932801602</v>
      </c>
      <c r="N10" s="17">
        <v>0.34892592244728898</v>
      </c>
      <c r="O10" s="17">
        <v>0.27862641518981701</v>
      </c>
    </row>
    <row r="11" spans="2:15" x14ac:dyDescent="0.3">
      <c r="B11" s="18" t="s">
        <v>550</v>
      </c>
      <c r="C11" s="17">
        <v>0.45199947963364401</v>
      </c>
      <c r="D11" s="17">
        <v>0.45423052405641401</v>
      </c>
      <c r="E11" s="17">
        <v>0.45012315245314899</v>
      </c>
      <c r="F11" s="17"/>
      <c r="G11" s="17">
        <v>0.38903010767858798</v>
      </c>
      <c r="H11" s="17">
        <v>0.50021450166862003</v>
      </c>
      <c r="I11" s="17">
        <v>0.48568278426739903</v>
      </c>
      <c r="J11" s="17">
        <v>0.45208159494643102</v>
      </c>
      <c r="K11" s="17"/>
      <c r="L11" s="17">
        <v>0.45497721184239398</v>
      </c>
      <c r="M11" s="17">
        <v>0.46471776420403699</v>
      </c>
      <c r="N11" s="17">
        <v>0.39149631257703998</v>
      </c>
      <c r="O11" s="17">
        <v>0.50088505409230499</v>
      </c>
    </row>
    <row r="12" spans="2:15" x14ac:dyDescent="0.3">
      <c r="B12" s="18" t="s">
        <v>551</v>
      </c>
      <c r="C12" s="17">
        <v>4.7211149393948798E-2</v>
      </c>
      <c r="D12" s="17">
        <v>3.7218945229607198E-2</v>
      </c>
      <c r="E12" s="17">
        <v>5.7536024168047102E-2</v>
      </c>
      <c r="F12" s="17"/>
      <c r="G12" s="17">
        <v>2.8812668901053801E-2</v>
      </c>
      <c r="H12" s="17">
        <v>6.3834291831730894E-2</v>
      </c>
      <c r="I12" s="17">
        <v>6.3274046054019498E-2</v>
      </c>
      <c r="J12" s="17">
        <v>3.8006878131322898E-2</v>
      </c>
      <c r="K12" s="17"/>
      <c r="L12" s="17">
        <v>3.4907581813156001E-2</v>
      </c>
      <c r="M12" s="17">
        <v>4.4448977826639001E-2</v>
      </c>
      <c r="N12" s="17">
        <v>5.7285164031579801E-2</v>
      </c>
      <c r="O12" s="17">
        <v>5.1572628106383599E-2</v>
      </c>
    </row>
    <row r="13" spans="2:15" x14ac:dyDescent="0.3">
      <c r="B13" s="18" t="s">
        <v>107</v>
      </c>
      <c r="C13" s="19">
        <v>3.4140230180182897E-2</v>
      </c>
      <c r="D13" s="19">
        <v>2.3399521709042099E-2</v>
      </c>
      <c r="E13" s="19">
        <v>4.5117506142182899E-2</v>
      </c>
      <c r="F13" s="19"/>
      <c r="G13" s="19">
        <v>2.08984971031798E-2</v>
      </c>
      <c r="H13" s="19">
        <v>4.6958229991028201E-2</v>
      </c>
      <c r="I13" s="19">
        <v>2.1788333735423399E-2</v>
      </c>
      <c r="J13" s="19">
        <v>4.8370126422842601E-2</v>
      </c>
      <c r="K13" s="19"/>
      <c r="L13" s="19">
        <v>3.3885718916542198E-2</v>
      </c>
      <c r="M13" s="19">
        <v>2.1910834252972002E-2</v>
      </c>
      <c r="N13" s="19">
        <v>4.3027030597663801E-2</v>
      </c>
      <c r="O13" s="19">
        <v>3.7923239640522098E-2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563</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548</v>
      </c>
      <c r="C9" s="17">
        <v>0.11552795041642799</v>
      </c>
      <c r="D9" s="17">
        <v>0.111924245307525</v>
      </c>
      <c r="E9" s="17">
        <v>0.119969438980148</v>
      </c>
      <c r="F9" s="17"/>
      <c r="G9" s="17">
        <v>0.14428148307737901</v>
      </c>
      <c r="H9" s="17">
        <v>0.11694417981942699</v>
      </c>
      <c r="I9" s="17">
        <v>4.3175995791493497E-2</v>
      </c>
      <c r="J9" s="17">
        <v>0.135508584913724</v>
      </c>
      <c r="K9" s="17"/>
      <c r="L9" s="17">
        <v>0.17395197504773999</v>
      </c>
      <c r="M9" s="17">
        <v>9.6523587904188302E-2</v>
      </c>
      <c r="N9" s="17">
        <v>0.120222027634379</v>
      </c>
      <c r="O9" s="17">
        <v>7.2462762410655496E-2</v>
      </c>
    </row>
    <row r="10" spans="2:15" x14ac:dyDescent="0.3">
      <c r="B10" s="18" t="s">
        <v>549</v>
      </c>
      <c r="C10" s="17">
        <v>0.21878270165882199</v>
      </c>
      <c r="D10" s="17">
        <v>0.20022039018185001</v>
      </c>
      <c r="E10" s="17">
        <v>0.23891822116647701</v>
      </c>
      <c r="F10" s="17"/>
      <c r="G10" s="17">
        <v>0.2292719693427</v>
      </c>
      <c r="H10" s="17">
        <v>0.232965486409099</v>
      </c>
      <c r="I10" s="17">
        <v>0.22294487313096201</v>
      </c>
      <c r="J10" s="17">
        <v>0.186970601172464</v>
      </c>
      <c r="K10" s="17"/>
      <c r="L10" s="17">
        <v>0.221348593528233</v>
      </c>
      <c r="M10" s="17">
        <v>0.225815457945058</v>
      </c>
      <c r="N10" s="17">
        <v>0.223445810861851</v>
      </c>
      <c r="O10" s="17">
        <v>0.203599567299421</v>
      </c>
    </row>
    <row r="11" spans="2:15" x14ac:dyDescent="0.3">
      <c r="B11" s="18" t="s">
        <v>550</v>
      </c>
      <c r="C11" s="17">
        <v>0.57078752923992104</v>
      </c>
      <c r="D11" s="17">
        <v>0.58704553789154101</v>
      </c>
      <c r="E11" s="17">
        <v>0.55576584037990795</v>
      </c>
      <c r="F11" s="17"/>
      <c r="G11" s="17">
        <v>0.55903573951309704</v>
      </c>
      <c r="H11" s="17">
        <v>0.53696280822006703</v>
      </c>
      <c r="I11" s="17">
        <v>0.66448023262748801</v>
      </c>
      <c r="J11" s="17">
        <v>0.54349708831570598</v>
      </c>
      <c r="K11" s="17"/>
      <c r="L11" s="17">
        <v>0.52250720037764697</v>
      </c>
      <c r="M11" s="17">
        <v>0.58566949487282505</v>
      </c>
      <c r="N11" s="17">
        <v>0.52198069676129799</v>
      </c>
      <c r="O11" s="17">
        <v>0.65593253934894302</v>
      </c>
    </row>
    <row r="12" spans="2:15" x14ac:dyDescent="0.3">
      <c r="B12" s="18" t="s">
        <v>551</v>
      </c>
      <c r="C12" s="17">
        <v>5.0175684233963402E-2</v>
      </c>
      <c r="D12" s="17">
        <v>6.1161640224868502E-2</v>
      </c>
      <c r="E12" s="17">
        <v>3.9567873181417301E-2</v>
      </c>
      <c r="F12" s="17"/>
      <c r="G12" s="17">
        <v>4.6981665613183198E-2</v>
      </c>
      <c r="H12" s="17">
        <v>6.5712994950517495E-2</v>
      </c>
      <c r="I12" s="17">
        <v>3.1626938132533797E-2</v>
      </c>
      <c r="J12" s="17">
        <v>5.4024056327887801E-2</v>
      </c>
      <c r="K12" s="17"/>
      <c r="L12" s="17">
        <v>3.82744328291321E-2</v>
      </c>
      <c r="M12" s="17">
        <v>6.4318931568218204E-2</v>
      </c>
      <c r="N12" s="17">
        <v>5.9704758215859903E-2</v>
      </c>
      <c r="O12" s="17">
        <v>3.6539066692768803E-2</v>
      </c>
    </row>
    <row r="13" spans="2:15" x14ac:dyDescent="0.3">
      <c r="B13" s="18" t="s">
        <v>107</v>
      </c>
      <c r="C13" s="19">
        <v>4.4726134450864999E-2</v>
      </c>
      <c r="D13" s="19">
        <v>3.9648186394215003E-2</v>
      </c>
      <c r="E13" s="19">
        <v>4.57786262920492E-2</v>
      </c>
      <c r="F13" s="19"/>
      <c r="G13" s="19">
        <v>2.0429142453640501E-2</v>
      </c>
      <c r="H13" s="19">
        <v>4.7414530600889897E-2</v>
      </c>
      <c r="I13" s="19">
        <v>3.77719603175228E-2</v>
      </c>
      <c r="J13" s="19">
        <v>7.9999669270217705E-2</v>
      </c>
      <c r="K13" s="19"/>
      <c r="L13" s="19">
        <v>4.39177982172472E-2</v>
      </c>
      <c r="M13" s="19">
        <v>2.76725277097097E-2</v>
      </c>
      <c r="N13" s="19">
        <v>7.4646706526612094E-2</v>
      </c>
      <c r="O13" s="19">
        <v>3.14660642482118E-2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dimension ref="B2:O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564</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x14ac:dyDescent="0.3">
      <c r="B9" s="18" t="s">
        <v>548</v>
      </c>
      <c r="C9" s="17">
        <v>0.109895329359949</v>
      </c>
      <c r="D9" s="17">
        <v>0.10045193865513501</v>
      </c>
      <c r="E9" s="17">
        <v>0.12012881210453499</v>
      </c>
      <c r="F9" s="17"/>
      <c r="G9" s="17">
        <v>0.14008541187450799</v>
      </c>
      <c r="H9" s="17">
        <v>0.110128559104167</v>
      </c>
      <c r="I9" s="17">
        <v>5.2055635954945299E-2</v>
      </c>
      <c r="J9" s="17">
        <v>0.123992124303493</v>
      </c>
      <c r="K9" s="17"/>
      <c r="L9" s="17">
        <v>0.14790188556970399</v>
      </c>
      <c r="M9" s="17">
        <v>8.1650840807797206E-2</v>
      </c>
      <c r="N9" s="17">
        <v>0.121589139953645</v>
      </c>
      <c r="O9" s="17">
        <v>8.9604700873733095E-2</v>
      </c>
    </row>
    <row r="10" spans="2:15" x14ac:dyDescent="0.3">
      <c r="B10" s="18" t="s">
        <v>549</v>
      </c>
      <c r="C10" s="17">
        <v>0.21396916817244499</v>
      </c>
      <c r="D10" s="17">
        <v>0.216995404827798</v>
      </c>
      <c r="E10" s="17">
        <v>0.20956396096160701</v>
      </c>
      <c r="F10" s="17"/>
      <c r="G10" s="17">
        <v>0.23034844050266801</v>
      </c>
      <c r="H10" s="17">
        <v>0.241824057499789</v>
      </c>
      <c r="I10" s="17">
        <v>0.16463394466989001</v>
      </c>
      <c r="J10" s="17">
        <v>0.199824946657366</v>
      </c>
      <c r="K10" s="17"/>
      <c r="L10" s="17">
        <v>0.20818355444671699</v>
      </c>
      <c r="M10" s="17">
        <v>0.20997357388450599</v>
      </c>
      <c r="N10" s="17">
        <v>0.207475729068897</v>
      </c>
      <c r="O10" s="17">
        <v>0.23108763175191899</v>
      </c>
    </row>
    <row r="11" spans="2:15" x14ac:dyDescent="0.3">
      <c r="B11" s="18" t="s">
        <v>550</v>
      </c>
      <c r="C11" s="17">
        <v>0.57317649013233196</v>
      </c>
      <c r="D11" s="17">
        <v>0.57850612949569702</v>
      </c>
      <c r="E11" s="17">
        <v>0.567684201038539</v>
      </c>
      <c r="F11" s="17"/>
      <c r="G11" s="17">
        <v>0.54125529987366505</v>
      </c>
      <c r="H11" s="17">
        <v>0.52935170403102805</v>
      </c>
      <c r="I11" s="17">
        <v>0.68128736683494695</v>
      </c>
      <c r="J11" s="17">
        <v>0.57034820852345103</v>
      </c>
      <c r="K11" s="17"/>
      <c r="L11" s="17">
        <v>0.563486053465725</v>
      </c>
      <c r="M11" s="17">
        <v>0.59895229501441105</v>
      </c>
      <c r="N11" s="17">
        <v>0.52878131756959601</v>
      </c>
      <c r="O11" s="17">
        <v>0.60323317970208901</v>
      </c>
    </row>
    <row r="12" spans="2:15" x14ac:dyDescent="0.3">
      <c r="B12" s="18" t="s">
        <v>551</v>
      </c>
      <c r="C12" s="17">
        <v>5.6218401590025002E-2</v>
      </c>
      <c r="D12" s="17">
        <v>6.0849132074633099E-2</v>
      </c>
      <c r="E12" s="17">
        <v>5.20026194151249E-2</v>
      </c>
      <c r="F12" s="17"/>
      <c r="G12" s="17">
        <v>6.2200589944078198E-2</v>
      </c>
      <c r="H12" s="17">
        <v>7.1281148764125196E-2</v>
      </c>
      <c r="I12" s="17">
        <v>5.2604699701602801E-2</v>
      </c>
      <c r="J12" s="17">
        <v>3.5080522441983598E-2</v>
      </c>
      <c r="K12" s="17"/>
      <c r="L12" s="17">
        <v>4.6364831310142303E-2</v>
      </c>
      <c r="M12" s="17">
        <v>6.5128629874686705E-2</v>
      </c>
      <c r="N12" s="17">
        <v>7.36983850176645E-2</v>
      </c>
      <c r="O12" s="17">
        <v>3.7550077577677303E-2</v>
      </c>
    </row>
    <row r="13" spans="2:15" x14ac:dyDescent="0.3">
      <c r="B13" s="18" t="s">
        <v>107</v>
      </c>
      <c r="C13" s="19">
        <v>4.6740610745249697E-2</v>
      </c>
      <c r="D13" s="19">
        <v>4.3197394946736703E-2</v>
      </c>
      <c r="E13" s="19">
        <v>5.0620406480194301E-2</v>
      </c>
      <c r="F13" s="19"/>
      <c r="G13" s="19">
        <v>2.6110257805081201E-2</v>
      </c>
      <c r="H13" s="19">
        <v>4.7414530600889897E-2</v>
      </c>
      <c r="I13" s="19">
        <v>4.9418352838614697E-2</v>
      </c>
      <c r="J13" s="19">
        <v>7.0754198073707406E-2</v>
      </c>
      <c r="K13" s="19"/>
      <c r="L13" s="19">
        <v>3.4063675207712397E-2</v>
      </c>
      <c r="M13" s="19">
        <v>4.4294660418599197E-2</v>
      </c>
      <c r="N13" s="19">
        <v>6.8455428390197096E-2</v>
      </c>
      <c r="O13" s="19">
        <v>3.8524410094581699E-2</v>
      </c>
    </row>
    <row r="14" spans="2:15" x14ac:dyDescent="0.3">
      <c r="B14" s="16"/>
    </row>
    <row r="15" spans="2:15" x14ac:dyDescent="0.3">
      <c r="B15" t="s">
        <v>47</v>
      </c>
    </row>
    <row r="16" spans="2:15" x14ac:dyDescent="0.3">
      <c r="B16" t="s">
        <v>48</v>
      </c>
    </row>
    <row r="18" spans="2:2" x14ac:dyDescent="0.3">
      <c r="B1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dimension ref="B2:O28"/>
  <sheetViews>
    <sheetView showGridLines="0" topLeftCell="A22"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579</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ht="28.8" x14ac:dyDescent="0.3">
      <c r="B9" s="18" t="s">
        <v>565</v>
      </c>
      <c r="C9" s="17">
        <v>0.28063492707663101</v>
      </c>
      <c r="D9" s="17">
        <v>0.29405930211777498</v>
      </c>
      <c r="E9" s="17">
        <v>0.26927089181304198</v>
      </c>
      <c r="F9" s="17"/>
      <c r="G9" s="17">
        <v>0.328935648211927</v>
      </c>
      <c r="H9" s="17">
        <v>0.248237800895175</v>
      </c>
      <c r="I9" s="17">
        <v>0.26085722511556803</v>
      </c>
      <c r="J9" s="17">
        <v>0.27481313289965997</v>
      </c>
      <c r="K9" s="17"/>
      <c r="L9" s="17">
        <v>0.25158350099458499</v>
      </c>
      <c r="M9" s="17">
        <v>0.306918338116561</v>
      </c>
      <c r="N9" s="17">
        <v>0.25064734668565702</v>
      </c>
      <c r="O9" s="17">
        <v>0.31389832003927698</v>
      </c>
    </row>
    <row r="10" spans="2:15" ht="43.2" x14ac:dyDescent="0.3">
      <c r="B10" s="18" t="s">
        <v>566</v>
      </c>
      <c r="C10" s="17">
        <v>0.27789321285301</v>
      </c>
      <c r="D10" s="17">
        <v>0.31787948007148498</v>
      </c>
      <c r="E10" s="17">
        <v>0.23997753042814901</v>
      </c>
      <c r="F10" s="17"/>
      <c r="G10" s="17">
        <v>0.31393554161229098</v>
      </c>
      <c r="H10" s="17">
        <v>0.23569043221604899</v>
      </c>
      <c r="I10" s="17">
        <v>0.30767221138650702</v>
      </c>
      <c r="J10" s="17">
        <v>0.253908751636932</v>
      </c>
      <c r="K10" s="17"/>
      <c r="L10" s="17">
        <v>0.21129280516419899</v>
      </c>
      <c r="M10" s="17">
        <v>0.29706311504735999</v>
      </c>
      <c r="N10" s="17">
        <v>0.303046903795749</v>
      </c>
      <c r="O10" s="17">
        <v>0.296621621175084</v>
      </c>
    </row>
    <row r="11" spans="2:15" ht="43.2" x14ac:dyDescent="0.3">
      <c r="B11" s="18" t="s">
        <v>567</v>
      </c>
      <c r="C11" s="17">
        <v>0.25958056595286899</v>
      </c>
      <c r="D11" s="17">
        <v>0.21808569338500799</v>
      </c>
      <c r="E11" s="17">
        <v>0.29857424727057302</v>
      </c>
      <c r="F11" s="17"/>
      <c r="G11" s="17">
        <v>0.152355999230572</v>
      </c>
      <c r="H11" s="17">
        <v>0.286258683177119</v>
      </c>
      <c r="I11" s="17">
        <v>0.313357101267973</v>
      </c>
      <c r="J11" s="17">
        <v>0.32184329544822698</v>
      </c>
      <c r="K11" s="17"/>
      <c r="L11" s="17">
        <v>0.27323904404868199</v>
      </c>
      <c r="M11" s="17">
        <v>0.25788340158969603</v>
      </c>
      <c r="N11" s="17">
        <v>0.214262827330293</v>
      </c>
      <c r="O11" s="17">
        <v>0.29684204211916698</v>
      </c>
    </row>
    <row r="12" spans="2:15" ht="43.2" x14ac:dyDescent="0.3">
      <c r="B12" s="18" t="s">
        <v>568</v>
      </c>
      <c r="C12" s="17">
        <v>0.22586324868722599</v>
      </c>
      <c r="D12" s="17">
        <v>0.23759648181578299</v>
      </c>
      <c r="E12" s="17">
        <v>0.21284762810202501</v>
      </c>
      <c r="F12" s="17"/>
      <c r="G12" s="17">
        <v>0.230612504229115</v>
      </c>
      <c r="H12" s="17">
        <v>0.25840607729875997</v>
      </c>
      <c r="I12" s="17">
        <v>0.21928206029276101</v>
      </c>
      <c r="J12" s="17">
        <v>0.19054468723992701</v>
      </c>
      <c r="K12" s="17"/>
      <c r="L12" s="17">
        <v>0.27091865803348403</v>
      </c>
      <c r="M12" s="17">
        <v>0.18776483180953099</v>
      </c>
      <c r="N12" s="17">
        <v>0.261225520112909</v>
      </c>
      <c r="O12" s="17">
        <v>0.18348337254369601</v>
      </c>
    </row>
    <row r="13" spans="2:15" ht="43.2" x14ac:dyDescent="0.3">
      <c r="B13" s="18" t="s">
        <v>569</v>
      </c>
      <c r="C13" s="17">
        <v>0.20010744691221599</v>
      </c>
      <c r="D13" s="17">
        <v>0.19630350460641099</v>
      </c>
      <c r="E13" s="17">
        <v>0.20536529898266301</v>
      </c>
      <c r="F13" s="17"/>
      <c r="G13" s="17">
        <v>0.28318539546841498</v>
      </c>
      <c r="H13" s="17">
        <v>0.16167074837922901</v>
      </c>
      <c r="I13" s="17">
        <v>0.144214147875348</v>
      </c>
      <c r="J13" s="17">
        <v>0.18819591904832</v>
      </c>
      <c r="K13" s="17"/>
      <c r="L13" s="17">
        <v>0.21039855298437199</v>
      </c>
      <c r="M13" s="17">
        <v>0.21520211806829201</v>
      </c>
      <c r="N13" s="17">
        <v>0.23037607424939399</v>
      </c>
      <c r="O13" s="17">
        <v>0.14078712104173299</v>
      </c>
    </row>
    <row r="14" spans="2:15" ht="43.2" x14ac:dyDescent="0.3">
      <c r="B14" s="18" t="s">
        <v>570</v>
      </c>
      <c r="C14" s="17">
        <v>0.154547605326777</v>
      </c>
      <c r="D14" s="17">
        <v>0.13875609744875</v>
      </c>
      <c r="E14" s="17">
        <v>0.171447375225174</v>
      </c>
      <c r="F14" s="17"/>
      <c r="G14" s="17">
        <v>0.21382418253167601</v>
      </c>
      <c r="H14" s="17">
        <v>0.107060484475891</v>
      </c>
      <c r="I14" s="17">
        <v>9.95869370224505E-2</v>
      </c>
      <c r="J14" s="17">
        <v>0.182674028621405</v>
      </c>
      <c r="K14" s="17"/>
      <c r="L14" s="17">
        <v>0.14910928098828</v>
      </c>
      <c r="M14" s="17">
        <v>0.18930795108578699</v>
      </c>
      <c r="N14" s="17">
        <v>0.12607004503896199</v>
      </c>
      <c r="O14" s="17">
        <v>0.15344291469086399</v>
      </c>
    </row>
    <row r="15" spans="2:15" ht="28.8" x14ac:dyDescent="0.3">
      <c r="B15" s="18" t="s">
        <v>571</v>
      </c>
      <c r="C15" s="17">
        <v>0.153344319224127</v>
      </c>
      <c r="D15" s="17">
        <v>0.13694477565684199</v>
      </c>
      <c r="E15" s="17">
        <v>0.17084266425271799</v>
      </c>
      <c r="F15" s="17"/>
      <c r="G15" s="17">
        <v>0.177933303825352</v>
      </c>
      <c r="H15" s="17">
        <v>0.14469615133723199</v>
      </c>
      <c r="I15" s="17">
        <v>0.14671169746229901</v>
      </c>
      <c r="J15" s="17">
        <v>0.13842493301342701</v>
      </c>
      <c r="K15" s="17"/>
      <c r="L15" s="17">
        <v>0.19630154579659601</v>
      </c>
      <c r="M15" s="17">
        <v>0.138274705638325</v>
      </c>
      <c r="N15" s="17">
        <v>0.159944117579084</v>
      </c>
      <c r="O15" s="17">
        <v>0.119448562079118</v>
      </c>
    </row>
    <row r="16" spans="2:15" ht="28.8" x14ac:dyDescent="0.3">
      <c r="B16" s="18" t="s">
        <v>572</v>
      </c>
      <c r="C16" s="17">
        <v>0.137190281231612</v>
      </c>
      <c r="D16" s="17">
        <v>0.17535775924848199</v>
      </c>
      <c r="E16" s="17">
        <v>0.10006597728078501</v>
      </c>
      <c r="F16" s="17"/>
      <c r="G16" s="17">
        <v>0.17892336615907001</v>
      </c>
      <c r="H16" s="17">
        <v>0.13899140460030601</v>
      </c>
      <c r="I16" s="17">
        <v>0.106130230549282</v>
      </c>
      <c r="J16" s="17">
        <v>0.11026158652370401</v>
      </c>
      <c r="K16" s="17"/>
      <c r="L16" s="17">
        <v>0.12557103106593001</v>
      </c>
      <c r="M16" s="17">
        <v>0.110910780302136</v>
      </c>
      <c r="N16" s="17">
        <v>0.157579168125215</v>
      </c>
      <c r="O16" s="17">
        <v>0.15499194280790099</v>
      </c>
    </row>
    <row r="17" spans="2:15" ht="43.2" x14ac:dyDescent="0.3">
      <c r="B17" s="18" t="s">
        <v>573</v>
      </c>
      <c r="C17" s="17">
        <v>0.13586982306752499</v>
      </c>
      <c r="D17" s="17">
        <v>0.15225293682164101</v>
      </c>
      <c r="E17" s="17">
        <v>0.120495472516169</v>
      </c>
      <c r="F17" s="17"/>
      <c r="G17" s="17">
        <v>0.27034983989581701</v>
      </c>
      <c r="H17" s="17">
        <v>8.0694790683412898E-2</v>
      </c>
      <c r="I17" s="17">
        <v>6.8852712487023196E-2</v>
      </c>
      <c r="J17" s="17">
        <v>8.56951610616251E-2</v>
      </c>
      <c r="K17" s="17"/>
      <c r="L17" s="17">
        <v>0.14499941998819499</v>
      </c>
      <c r="M17" s="17">
        <v>0.111072730220973</v>
      </c>
      <c r="N17" s="17">
        <v>0.16114012941992101</v>
      </c>
      <c r="O17" s="17">
        <v>0.1260397214182</v>
      </c>
    </row>
    <row r="18" spans="2:15" ht="28.8" x14ac:dyDescent="0.3">
      <c r="B18" s="18" t="s">
        <v>574</v>
      </c>
      <c r="C18" s="17">
        <v>0.11217249036335999</v>
      </c>
      <c r="D18" s="17">
        <v>0.11634618761941801</v>
      </c>
      <c r="E18" s="17">
        <v>0.108820974265156</v>
      </c>
      <c r="F18" s="17"/>
      <c r="G18" s="17">
        <v>0.19860811797178901</v>
      </c>
      <c r="H18" s="17">
        <v>8.8541731771390395E-2</v>
      </c>
      <c r="I18" s="17">
        <v>8.5695395845295702E-2</v>
      </c>
      <c r="J18" s="17">
        <v>5.1544473035309797E-2</v>
      </c>
      <c r="K18" s="17"/>
      <c r="L18" s="17">
        <v>6.7129663041764404E-2</v>
      </c>
      <c r="M18" s="17">
        <v>0.115000174301499</v>
      </c>
      <c r="N18" s="17">
        <v>0.157646651301661</v>
      </c>
      <c r="O18" s="17">
        <v>0.104909740916828</v>
      </c>
    </row>
    <row r="19" spans="2:15" ht="43.2" x14ac:dyDescent="0.3">
      <c r="B19" s="18" t="s">
        <v>575</v>
      </c>
      <c r="C19" s="17">
        <v>0.111520335998298</v>
      </c>
      <c r="D19" s="17">
        <v>0.115905863143801</v>
      </c>
      <c r="E19" s="17">
        <v>0.107952478621791</v>
      </c>
      <c r="F19" s="17"/>
      <c r="G19" s="17">
        <v>0.18695751720475701</v>
      </c>
      <c r="H19" s="17">
        <v>0.100394970012139</v>
      </c>
      <c r="I19" s="17">
        <v>8.0294769084770401E-2</v>
      </c>
      <c r="J19" s="17">
        <v>5.53425255057634E-2</v>
      </c>
      <c r="K19" s="17"/>
      <c r="L19" s="17">
        <v>0.118313793906692</v>
      </c>
      <c r="M19" s="17">
        <v>0.109601743430464</v>
      </c>
      <c r="N19" s="17">
        <v>0.14565473962907999</v>
      </c>
      <c r="O19" s="17">
        <v>6.9811881312863602E-2</v>
      </c>
    </row>
    <row r="20" spans="2:15" ht="57.6" x14ac:dyDescent="0.3">
      <c r="B20" s="18" t="s">
        <v>576</v>
      </c>
      <c r="C20" s="17">
        <v>9.4343150624892999E-2</v>
      </c>
      <c r="D20" s="17">
        <v>7.0736363551202205E-2</v>
      </c>
      <c r="E20" s="17">
        <v>0.11861058025679599</v>
      </c>
      <c r="F20" s="17"/>
      <c r="G20" s="17">
        <v>0.14720100653700099</v>
      </c>
      <c r="H20" s="17">
        <v>8.8243312165154297E-2</v>
      </c>
      <c r="I20" s="17">
        <v>3.2124136310947203E-2</v>
      </c>
      <c r="J20" s="17">
        <v>8.2066015267178702E-2</v>
      </c>
      <c r="K20" s="17"/>
      <c r="L20" s="17">
        <v>0.125414266559292</v>
      </c>
      <c r="M20" s="17">
        <v>7.5404305218346096E-2</v>
      </c>
      <c r="N20" s="17">
        <v>0.107630241389197</v>
      </c>
      <c r="O20" s="17">
        <v>6.9251292784691804E-2</v>
      </c>
    </row>
    <row r="21" spans="2:15" ht="57.6" x14ac:dyDescent="0.3">
      <c r="B21" s="18" t="s">
        <v>577</v>
      </c>
      <c r="C21" s="17">
        <v>9.1045837415646896E-2</v>
      </c>
      <c r="D21" s="17">
        <v>9.4198006096212802E-2</v>
      </c>
      <c r="E21" s="17">
        <v>8.8560731743707002E-2</v>
      </c>
      <c r="F21" s="17"/>
      <c r="G21" s="17">
        <v>0.146377471787734</v>
      </c>
      <c r="H21" s="17">
        <v>7.5479227330321294E-2</v>
      </c>
      <c r="I21" s="17">
        <v>5.2921592628625398E-2</v>
      </c>
      <c r="J21" s="17">
        <v>7.2210200301730101E-2</v>
      </c>
      <c r="K21" s="17"/>
      <c r="L21" s="17">
        <v>6.7891209609983197E-2</v>
      </c>
      <c r="M21" s="17">
        <v>0.126761616349198</v>
      </c>
      <c r="N21" s="17">
        <v>8.5437999234673795E-2</v>
      </c>
      <c r="O21" s="17">
        <v>8.1854103488847405E-2</v>
      </c>
    </row>
    <row r="22" spans="2:15" ht="43.2" x14ac:dyDescent="0.3">
      <c r="B22" s="18" t="s">
        <v>578</v>
      </c>
      <c r="C22" s="17">
        <v>8.1441604010256005E-2</v>
      </c>
      <c r="D22" s="17">
        <v>9.6921359402102406E-2</v>
      </c>
      <c r="E22" s="17">
        <v>6.6572950424385102E-2</v>
      </c>
      <c r="F22" s="17"/>
      <c r="G22" s="17">
        <v>8.00718901213337E-2</v>
      </c>
      <c r="H22" s="17">
        <v>0.109516948784184</v>
      </c>
      <c r="I22" s="17">
        <v>6.07710045344243E-2</v>
      </c>
      <c r="J22" s="17">
        <v>7.0869856051532898E-2</v>
      </c>
      <c r="K22" s="17"/>
      <c r="L22" s="17">
        <v>6.3483218713965298E-2</v>
      </c>
      <c r="M22" s="17">
        <v>7.8284257626492798E-2</v>
      </c>
      <c r="N22" s="17">
        <v>0.105838300201514</v>
      </c>
      <c r="O22" s="17">
        <v>7.6366774390974904E-2</v>
      </c>
    </row>
    <row r="23" spans="2:15" x14ac:dyDescent="0.3">
      <c r="B23" s="18" t="s">
        <v>179</v>
      </c>
      <c r="C23" s="19">
        <v>1.3610943978163301E-2</v>
      </c>
      <c r="D23" s="19">
        <v>1.5276419523302401E-2</v>
      </c>
      <c r="E23" s="19">
        <v>1.20465502785938E-2</v>
      </c>
      <c r="F23" s="19"/>
      <c r="G23" s="19">
        <v>1.6519025516238399E-2</v>
      </c>
      <c r="H23" s="19">
        <v>6.9692945595327899E-3</v>
      </c>
      <c r="I23" s="19">
        <v>0</v>
      </c>
      <c r="J23" s="19">
        <v>2.98930009939243E-2</v>
      </c>
      <c r="K23" s="19"/>
      <c r="L23" s="19">
        <v>2.8514125713821899E-2</v>
      </c>
      <c r="M23" s="19">
        <v>1.8615412403228501E-2</v>
      </c>
      <c r="N23" s="19">
        <v>0</v>
      </c>
      <c r="O23" s="19">
        <v>8.0693567312783397E-3</v>
      </c>
    </row>
    <row r="24" spans="2:15" x14ac:dyDescent="0.3">
      <c r="B24" s="16"/>
    </row>
    <row r="25" spans="2:15" x14ac:dyDescent="0.3">
      <c r="B25" t="s">
        <v>47</v>
      </c>
    </row>
    <row r="26" spans="2:15" x14ac:dyDescent="0.3">
      <c r="B26" t="s">
        <v>48</v>
      </c>
    </row>
    <row r="28" spans="2:15" x14ac:dyDescent="0.3">
      <c r="B28"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dimension ref="B2:O31"/>
  <sheetViews>
    <sheetView showGridLines="0" topLeftCell="A22"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s>
  <sheetData>
    <row r="2" spans="2:15" ht="40.049999999999997" customHeight="1" x14ac:dyDescent="0.3">
      <c r="D2" s="30" t="s">
        <v>590</v>
      </c>
      <c r="E2" s="26"/>
      <c r="F2" s="26"/>
      <c r="G2" s="26"/>
      <c r="H2" s="26"/>
      <c r="I2" s="26"/>
      <c r="J2" s="26"/>
      <c r="K2" s="26"/>
      <c r="L2" s="26"/>
      <c r="M2" s="26"/>
      <c r="N2" s="26"/>
    </row>
    <row r="5" spans="2:15" ht="30" customHeight="1" x14ac:dyDescent="0.3">
      <c r="B5" s="15"/>
      <c r="C5" s="15"/>
      <c r="D5" s="29" t="s">
        <v>28</v>
      </c>
      <c r="E5" s="29"/>
      <c r="F5" s="15"/>
      <c r="G5" s="29" t="s">
        <v>29</v>
      </c>
      <c r="H5" s="29"/>
      <c r="I5" s="29"/>
      <c r="J5" s="29"/>
      <c r="K5" s="15"/>
      <c r="L5" s="29" t="s">
        <v>30</v>
      </c>
      <c r="M5" s="29"/>
      <c r="N5" s="29"/>
      <c r="O5" s="29"/>
    </row>
    <row r="6" spans="2:15" x14ac:dyDescent="0.3">
      <c r="B6" t="s">
        <v>14</v>
      </c>
      <c r="C6" s="9" t="s">
        <v>15</v>
      </c>
      <c r="D6" s="12" t="s">
        <v>16</v>
      </c>
      <c r="E6" s="12" t="s">
        <v>17</v>
      </c>
      <c r="G6" s="12" t="s">
        <v>20</v>
      </c>
      <c r="H6" s="12" t="s">
        <v>21</v>
      </c>
      <c r="I6" s="12" t="s">
        <v>22</v>
      </c>
      <c r="J6" s="12" t="s">
        <v>23</v>
      </c>
      <c r="L6" s="12" t="s">
        <v>24</v>
      </c>
      <c r="M6" s="12" t="s">
        <v>25</v>
      </c>
      <c r="N6" s="12" t="s">
        <v>26</v>
      </c>
      <c r="O6" s="12" t="s">
        <v>27</v>
      </c>
    </row>
    <row r="7" spans="2:15" ht="30" customHeight="1" x14ac:dyDescent="0.3">
      <c r="B7" s="10" t="s">
        <v>18</v>
      </c>
      <c r="C7" s="10">
        <v>549</v>
      </c>
      <c r="D7" s="10">
        <v>284</v>
      </c>
      <c r="E7" s="10">
        <v>263</v>
      </c>
      <c r="F7" s="10"/>
      <c r="G7" s="10">
        <v>209</v>
      </c>
      <c r="H7" s="10">
        <v>144</v>
      </c>
      <c r="I7" s="10">
        <v>94</v>
      </c>
      <c r="J7" s="10">
        <v>101</v>
      </c>
      <c r="K7" s="10"/>
      <c r="L7" s="10">
        <v>117</v>
      </c>
      <c r="M7" s="10">
        <v>151</v>
      </c>
      <c r="N7" s="10">
        <v>167</v>
      </c>
      <c r="O7" s="10">
        <v>114</v>
      </c>
    </row>
    <row r="8" spans="2:15" ht="30" customHeight="1" x14ac:dyDescent="0.3">
      <c r="B8" s="11" t="s">
        <v>19</v>
      </c>
      <c r="C8" s="11">
        <v>549</v>
      </c>
      <c r="D8" s="11">
        <v>273</v>
      </c>
      <c r="E8" s="11">
        <v>274</v>
      </c>
      <c r="F8" s="11"/>
      <c r="G8" s="11">
        <v>164</v>
      </c>
      <c r="H8" s="11">
        <v>143</v>
      </c>
      <c r="I8" s="11">
        <v>115</v>
      </c>
      <c r="J8" s="11">
        <v>126</v>
      </c>
      <c r="K8" s="11"/>
      <c r="L8" s="11">
        <v>132</v>
      </c>
      <c r="M8" s="11">
        <v>142</v>
      </c>
      <c r="N8" s="11">
        <v>143</v>
      </c>
      <c r="O8" s="11">
        <v>132</v>
      </c>
    </row>
    <row r="9" spans="2:15" ht="43.2" x14ac:dyDescent="0.3">
      <c r="B9" s="18" t="s">
        <v>580</v>
      </c>
      <c r="C9" s="17">
        <v>0.33931559487547602</v>
      </c>
      <c r="D9" s="17">
        <v>0.39020926084572599</v>
      </c>
      <c r="E9" s="17">
        <v>0.290952527041349</v>
      </c>
      <c r="F9" s="17"/>
      <c r="G9" s="17">
        <v>0.26094621487796599</v>
      </c>
      <c r="H9" s="17">
        <v>0.306517070531512</v>
      </c>
      <c r="I9" s="17">
        <v>0.39352335857158099</v>
      </c>
      <c r="J9" s="17">
        <v>0.43176392111398498</v>
      </c>
      <c r="K9" s="17"/>
      <c r="L9" s="17">
        <v>0.30697436386343802</v>
      </c>
      <c r="M9" s="17">
        <v>0.34818560563411399</v>
      </c>
      <c r="N9" s="17">
        <v>0.29712644713312197</v>
      </c>
      <c r="O9" s="17">
        <v>0.40781975467107401</v>
      </c>
    </row>
    <row r="10" spans="2:15" ht="43.2" x14ac:dyDescent="0.3">
      <c r="B10" s="18" t="s">
        <v>581</v>
      </c>
      <c r="C10" s="17">
        <v>0.19015162575785299</v>
      </c>
      <c r="D10" s="17">
        <v>0.161373006519483</v>
      </c>
      <c r="E10" s="17">
        <v>0.21593757563837901</v>
      </c>
      <c r="F10" s="17"/>
      <c r="G10" s="17">
        <v>0.190263125148117</v>
      </c>
      <c r="H10" s="17">
        <v>0.21421260089654101</v>
      </c>
      <c r="I10" s="17">
        <v>0.17058924872115</v>
      </c>
      <c r="J10" s="17">
        <v>0.17412740685616199</v>
      </c>
      <c r="K10" s="17"/>
      <c r="L10" s="17">
        <v>0.25724862918858898</v>
      </c>
      <c r="M10" s="17">
        <v>0.21908334539079799</v>
      </c>
      <c r="N10" s="17">
        <v>0.162377499587569</v>
      </c>
      <c r="O10" s="17">
        <v>0.12201974243675801</v>
      </c>
    </row>
    <row r="11" spans="2:15" ht="43.2" x14ac:dyDescent="0.3">
      <c r="B11" s="18" t="s">
        <v>582</v>
      </c>
      <c r="C11" s="17">
        <v>0.172363104073125</v>
      </c>
      <c r="D11" s="17">
        <v>0.15607238100430701</v>
      </c>
      <c r="E11" s="17">
        <v>0.18554573782692299</v>
      </c>
      <c r="F11" s="17"/>
      <c r="G11" s="17">
        <v>0.25265478879069803</v>
      </c>
      <c r="H11" s="17">
        <v>0.146805660574056</v>
      </c>
      <c r="I11" s="17">
        <v>0.12091252618566301</v>
      </c>
      <c r="J11" s="17">
        <v>0.14518627784740101</v>
      </c>
      <c r="K11" s="17"/>
      <c r="L11" s="17">
        <v>0.15276925393333199</v>
      </c>
      <c r="M11" s="17">
        <v>0.212750747516463</v>
      </c>
      <c r="N11" s="17">
        <v>0.20913987949958601</v>
      </c>
      <c r="O11" s="17">
        <v>0.108668134099753</v>
      </c>
    </row>
    <row r="12" spans="2:15" ht="43.2" x14ac:dyDescent="0.3">
      <c r="B12" s="18" t="s">
        <v>569</v>
      </c>
      <c r="C12" s="17">
        <v>0.15496798340328699</v>
      </c>
      <c r="D12" s="17">
        <v>0.141669808501839</v>
      </c>
      <c r="E12" s="17">
        <v>0.169380320887495</v>
      </c>
      <c r="F12" s="17"/>
      <c r="G12" s="17">
        <v>0.239271309720823</v>
      </c>
      <c r="H12" s="17">
        <v>0.161639313316463</v>
      </c>
      <c r="I12" s="17">
        <v>5.9075917117808102E-2</v>
      </c>
      <c r="J12" s="17">
        <v>0.12641042156101601</v>
      </c>
      <c r="K12" s="17"/>
      <c r="L12" s="17">
        <v>0.13812836158467701</v>
      </c>
      <c r="M12" s="17">
        <v>0.160353213184042</v>
      </c>
      <c r="N12" s="17">
        <v>0.17207577658489601</v>
      </c>
      <c r="O12" s="17">
        <v>0.14748096087464699</v>
      </c>
    </row>
    <row r="13" spans="2:15" ht="43.2" x14ac:dyDescent="0.3">
      <c r="B13" s="18" t="s">
        <v>566</v>
      </c>
      <c r="C13" s="17">
        <v>0.148096606855983</v>
      </c>
      <c r="D13" s="17">
        <v>0.130441257768284</v>
      </c>
      <c r="E13" s="17">
        <v>0.16246547715788701</v>
      </c>
      <c r="F13" s="17"/>
      <c r="G13" s="17">
        <v>0.17301681256349</v>
      </c>
      <c r="H13" s="17">
        <v>0.12910957242447099</v>
      </c>
      <c r="I13" s="17">
        <v>0.114147118804608</v>
      </c>
      <c r="J13" s="17">
        <v>0.16936760131693199</v>
      </c>
      <c r="K13" s="17"/>
      <c r="L13" s="17">
        <v>0.13617950857737701</v>
      </c>
      <c r="M13" s="17">
        <v>0.145829685491082</v>
      </c>
      <c r="N13" s="17">
        <v>0.16698307108549401</v>
      </c>
      <c r="O13" s="17">
        <v>0.14199202671789299</v>
      </c>
    </row>
    <row r="14" spans="2:15" ht="28.8" x14ac:dyDescent="0.3">
      <c r="B14" s="18" t="s">
        <v>583</v>
      </c>
      <c r="C14" s="17">
        <v>0.13410290751742299</v>
      </c>
      <c r="D14" s="17">
        <v>0.147958123256792</v>
      </c>
      <c r="E14" s="17">
        <v>0.11829903595706399</v>
      </c>
      <c r="F14" s="17"/>
      <c r="G14" s="17">
        <v>0.20452270895379801</v>
      </c>
      <c r="H14" s="17">
        <v>9.6435639489064695E-2</v>
      </c>
      <c r="I14" s="17">
        <v>8.41512905450017E-2</v>
      </c>
      <c r="J14" s="17">
        <v>0.13184748128591001</v>
      </c>
      <c r="K14" s="17"/>
      <c r="L14" s="17">
        <v>8.3862170593834398E-2</v>
      </c>
      <c r="M14" s="17">
        <v>0.174112764647777</v>
      </c>
      <c r="N14" s="17">
        <v>0.14773165130062099</v>
      </c>
      <c r="O14" s="17">
        <v>0.12653826509625701</v>
      </c>
    </row>
    <row r="15" spans="2:15" ht="43.2" x14ac:dyDescent="0.3">
      <c r="B15" s="18" t="s">
        <v>584</v>
      </c>
      <c r="C15" s="17">
        <v>0.128736433328906</v>
      </c>
      <c r="D15" s="17">
        <v>0.130973512732489</v>
      </c>
      <c r="E15" s="17">
        <v>0.127440037444052</v>
      </c>
      <c r="F15" s="17"/>
      <c r="G15" s="17">
        <v>0.195456146620164</v>
      </c>
      <c r="H15" s="17">
        <v>0.123023654779254</v>
      </c>
      <c r="I15" s="17">
        <v>8.6098853080945503E-2</v>
      </c>
      <c r="J15" s="17">
        <v>8.8312795955901205E-2</v>
      </c>
      <c r="K15" s="17"/>
      <c r="L15" s="17">
        <v>0.109076819581751</v>
      </c>
      <c r="M15" s="17">
        <v>0.13915353764924601</v>
      </c>
      <c r="N15" s="17">
        <v>0.140756100959888</v>
      </c>
      <c r="O15" s="17">
        <v>0.124168461585767</v>
      </c>
    </row>
    <row r="16" spans="2:15" ht="28.8" x14ac:dyDescent="0.3">
      <c r="B16" s="18" t="s">
        <v>572</v>
      </c>
      <c r="C16" s="17">
        <v>0.11780890546136499</v>
      </c>
      <c r="D16" s="17">
        <v>0.11252477346492699</v>
      </c>
      <c r="E16" s="17">
        <v>0.123945530712815</v>
      </c>
      <c r="F16" s="17"/>
      <c r="G16" s="17">
        <v>0.11468053445941701</v>
      </c>
      <c r="H16" s="17">
        <v>0.12484179936452</v>
      </c>
      <c r="I16" s="17">
        <v>0.13347726070186999</v>
      </c>
      <c r="J16" s="17">
        <v>0.100534328963357</v>
      </c>
      <c r="K16" s="17"/>
      <c r="L16" s="17">
        <v>0.112028265435461</v>
      </c>
      <c r="M16" s="17">
        <v>9.3136524531837905E-2</v>
      </c>
      <c r="N16" s="17">
        <v>0.169600272889154</v>
      </c>
      <c r="O16" s="17">
        <v>9.4023731470747704E-2</v>
      </c>
    </row>
    <row r="17" spans="2:15" ht="43.2" x14ac:dyDescent="0.3">
      <c r="B17" s="18" t="s">
        <v>570</v>
      </c>
      <c r="C17" s="17">
        <v>0.116738824371279</v>
      </c>
      <c r="D17" s="17">
        <v>0.109514936560426</v>
      </c>
      <c r="E17" s="17">
        <v>0.124805200222097</v>
      </c>
      <c r="F17" s="17"/>
      <c r="G17" s="17">
        <v>0.13953928860078599</v>
      </c>
      <c r="H17" s="17">
        <v>9.4224491478174494E-2</v>
      </c>
      <c r="I17" s="17">
        <v>9.2353714242308496E-2</v>
      </c>
      <c r="J17" s="17">
        <v>0.13579504222779701</v>
      </c>
      <c r="K17" s="17"/>
      <c r="L17" s="17">
        <v>0.15121360918552601</v>
      </c>
      <c r="M17" s="17">
        <v>0.106337088987393</v>
      </c>
      <c r="N17" s="17">
        <v>0.127657211782815</v>
      </c>
      <c r="O17" s="17">
        <v>8.1625532168109E-2</v>
      </c>
    </row>
    <row r="18" spans="2:15" ht="43.2" x14ac:dyDescent="0.3">
      <c r="B18" s="18" t="s">
        <v>585</v>
      </c>
      <c r="C18" s="17">
        <v>0.113667944299531</v>
      </c>
      <c r="D18" s="17">
        <v>7.8472031018056193E-2</v>
      </c>
      <c r="E18" s="17">
        <v>0.14965213804070099</v>
      </c>
      <c r="F18" s="17"/>
      <c r="G18" s="17">
        <v>0.152407941558099</v>
      </c>
      <c r="H18" s="17">
        <v>0.116527036364549</v>
      </c>
      <c r="I18" s="17">
        <v>6.5645207684147902E-2</v>
      </c>
      <c r="J18" s="17">
        <v>0.104727493272896</v>
      </c>
      <c r="K18" s="17"/>
      <c r="L18" s="17">
        <v>0.17090261334955101</v>
      </c>
      <c r="M18" s="17">
        <v>9.01384122850407E-2</v>
      </c>
      <c r="N18" s="17">
        <v>0.140050229797826</v>
      </c>
      <c r="O18" s="17">
        <v>5.3164538278309699E-2</v>
      </c>
    </row>
    <row r="19" spans="2:15" ht="43.2" x14ac:dyDescent="0.3">
      <c r="B19" s="18" t="s">
        <v>573</v>
      </c>
      <c r="C19" s="17">
        <v>0.104813967728281</v>
      </c>
      <c r="D19" s="17">
        <v>8.9919162668379404E-2</v>
      </c>
      <c r="E19" s="17">
        <v>0.12045563240455801</v>
      </c>
      <c r="F19" s="17"/>
      <c r="G19" s="17">
        <v>0.174667642946507</v>
      </c>
      <c r="H19" s="17">
        <v>7.0203890809058797E-2</v>
      </c>
      <c r="I19" s="17">
        <v>9.7001412748505406E-2</v>
      </c>
      <c r="J19" s="17">
        <v>6.11377911015102E-2</v>
      </c>
      <c r="K19" s="17"/>
      <c r="L19" s="17">
        <v>9.7916964812989907E-2</v>
      </c>
      <c r="M19" s="17">
        <v>9.3700667494755599E-2</v>
      </c>
      <c r="N19" s="17">
        <v>0.112382051765332</v>
      </c>
      <c r="O19" s="17">
        <v>0.115467429854653</v>
      </c>
    </row>
    <row r="20" spans="2:15" ht="43.2" x14ac:dyDescent="0.3">
      <c r="B20" s="18" t="s">
        <v>586</v>
      </c>
      <c r="C20" s="17">
        <v>9.8848322882413894E-2</v>
      </c>
      <c r="D20" s="17">
        <v>7.3814676135570495E-2</v>
      </c>
      <c r="E20" s="17">
        <v>0.124573819005877</v>
      </c>
      <c r="F20" s="17"/>
      <c r="G20" s="17">
        <v>0.12015188428333499</v>
      </c>
      <c r="H20" s="17">
        <v>8.3766885539209093E-2</v>
      </c>
      <c r="I20" s="17">
        <v>8.5996519748116299E-2</v>
      </c>
      <c r="J20" s="17">
        <v>0.100749819363589</v>
      </c>
      <c r="K20" s="17"/>
      <c r="L20" s="17">
        <v>0.10207356747085899</v>
      </c>
      <c r="M20" s="17">
        <v>9.45988331900732E-2</v>
      </c>
      <c r="N20" s="17">
        <v>0.125574397096612</v>
      </c>
      <c r="O20" s="17">
        <v>7.1241251958226601E-2</v>
      </c>
    </row>
    <row r="21" spans="2:15" ht="43.2" x14ac:dyDescent="0.3">
      <c r="B21" s="18" t="s">
        <v>587</v>
      </c>
      <c r="C21" s="17">
        <v>9.4835983031083496E-2</v>
      </c>
      <c r="D21" s="17">
        <v>8.3415655081950105E-2</v>
      </c>
      <c r="E21" s="17">
        <v>0.102588802113235</v>
      </c>
      <c r="F21" s="17"/>
      <c r="G21" s="17">
        <v>9.1141508539128904E-2</v>
      </c>
      <c r="H21" s="17">
        <v>8.8853275999876399E-2</v>
      </c>
      <c r="I21" s="17">
        <v>6.0958826644084502E-2</v>
      </c>
      <c r="J21" s="17">
        <v>0.13810262350861799</v>
      </c>
      <c r="K21" s="17"/>
      <c r="L21" s="17">
        <v>0.120974261828902</v>
      </c>
      <c r="M21" s="17">
        <v>8.2937995258980796E-2</v>
      </c>
      <c r="N21" s="17">
        <v>9.8129917293357294E-2</v>
      </c>
      <c r="O21" s="17">
        <v>7.7928625931245707E-2</v>
      </c>
    </row>
    <row r="22" spans="2:15" ht="43.2" x14ac:dyDescent="0.3">
      <c r="B22" s="18" t="s">
        <v>588</v>
      </c>
      <c r="C22" s="17">
        <v>9.3309913886383294E-2</v>
      </c>
      <c r="D22" s="17">
        <v>0.10667604258936</v>
      </c>
      <c r="E22" s="17">
        <v>8.0638969557143003E-2</v>
      </c>
      <c r="F22" s="17"/>
      <c r="G22" s="17">
        <v>0.15963259282635101</v>
      </c>
      <c r="H22" s="17">
        <v>7.7083247896415699E-2</v>
      </c>
      <c r="I22" s="17">
        <v>7.8175774932219999E-2</v>
      </c>
      <c r="J22" s="17">
        <v>3.9955544893816197E-2</v>
      </c>
      <c r="K22" s="17"/>
      <c r="L22" s="17">
        <v>6.9691870781423401E-2</v>
      </c>
      <c r="M22" s="17">
        <v>7.7496296197001394E-2</v>
      </c>
      <c r="N22" s="17">
        <v>0.12581340928763801</v>
      </c>
      <c r="O22" s="17">
        <v>9.8727456002803499E-2</v>
      </c>
    </row>
    <row r="23" spans="2:15" ht="43.2" x14ac:dyDescent="0.3">
      <c r="B23" s="18" t="s">
        <v>589</v>
      </c>
      <c r="C23" s="17">
        <v>9.0872043527739907E-2</v>
      </c>
      <c r="D23" s="17">
        <v>6.6129755018755093E-2</v>
      </c>
      <c r="E23" s="17">
        <v>0.11624838759707699</v>
      </c>
      <c r="F23" s="17"/>
      <c r="G23" s="17">
        <v>0.110814023195404</v>
      </c>
      <c r="H23" s="17">
        <v>9.3518595893869697E-2</v>
      </c>
      <c r="I23" s="17">
        <v>7.3058832108360103E-2</v>
      </c>
      <c r="J23" s="17">
        <v>7.88897394674615E-2</v>
      </c>
      <c r="K23" s="17"/>
      <c r="L23" s="17">
        <v>0.103826563727515</v>
      </c>
      <c r="M23" s="17">
        <v>5.0568835524981801E-2</v>
      </c>
      <c r="N23" s="17">
        <v>0.121372651204996</v>
      </c>
      <c r="O23" s="17">
        <v>8.8231679680571495E-2</v>
      </c>
    </row>
    <row r="24" spans="2:15" ht="43.2" x14ac:dyDescent="0.3">
      <c r="B24" s="18" t="s">
        <v>575</v>
      </c>
      <c r="C24" s="17">
        <v>9.0120401785051304E-2</v>
      </c>
      <c r="D24" s="17">
        <v>6.8479852843126507E-2</v>
      </c>
      <c r="E24" s="17">
        <v>0.112393058320322</v>
      </c>
      <c r="F24" s="17"/>
      <c r="G24" s="17">
        <v>0.1220231968903</v>
      </c>
      <c r="H24" s="17">
        <v>9.0632948569235899E-2</v>
      </c>
      <c r="I24" s="17">
        <v>6.3146766871127302E-2</v>
      </c>
      <c r="J24" s="17">
        <v>7.3346227658976901E-2</v>
      </c>
      <c r="K24" s="17"/>
      <c r="L24" s="17">
        <v>0.101330681841833</v>
      </c>
      <c r="M24" s="17">
        <v>7.3700849107046801E-2</v>
      </c>
      <c r="N24" s="17">
        <v>9.5455378399100899E-2</v>
      </c>
      <c r="O24" s="17">
        <v>9.0794021913629799E-2</v>
      </c>
    </row>
    <row r="25" spans="2:15" ht="57.6" x14ac:dyDescent="0.3">
      <c r="B25" s="18" t="s">
        <v>577</v>
      </c>
      <c r="C25" s="17">
        <v>8.5027176913659103E-2</v>
      </c>
      <c r="D25" s="17">
        <v>0.105199715554349</v>
      </c>
      <c r="E25" s="17">
        <v>6.5497209034055204E-2</v>
      </c>
      <c r="F25" s="17"/>
      <c r="G25" s="17">
        <v>0.132795230730407</v>
      </c>
      <c r="H25" s="17">
        <v>8.8085772539349405E-2</v>
      </c>
      <c r="I25" s="17">
        <v>2.9724225083869599E-2</v>
      </c>
      <c r="J25" s="17">
        <v>7.0526504733126896E-2</v>
      </c>
      <c r="K25" s="17"/>
      <c r="L25" s="17">
        <v>9.9053270114829506E-2</v>
      </c>
      <c r="M25" s="17">
        <v>9.1719461401378904E-2</v>
      </c>
      <c r="N25" s="17">
        <v>8.8637196920526198E-2</v>
      </c>
      <c r="O25" s="17">
        <v>5.9890952968259997E-2</v>
      </c>
    </row>
    <row r="26" spans="2:15" x14ac:dyDescent="0.3">
      <c r="B26" s="18" t="s">
        <v>179</v>
      </c>
      <c r="C26" s="19">
        <v>2.5514158881197002E-3</v>
      </c>
      <c r="D26" s="19">
        <v>0</v>
      </c>
      <c r="E26" s="19">
        <v>5.1185214052675903E-3</v>
      </c>
      <c r="F26" s="19"/>
      <c r="G26" s="19">
        <v>0</v>
      </c>
      <c r="H26" s="19">
        <v>0</v>
      </c>
      <c r="I26" s="19">
        <v>0</v>
      </c>
      <c r="J26" s="19">
        <v>1.1116563215578501E-2</v>
      </c>
      <c r="K26" s="19"/>
      <c r="L26" s="19">
        <v>1.06115706255887E-2</v>
      </c>
      <c r="M26" s="19">
        <v>0</v>
      </c>
      <c r="N26" s="19">
        <v>0</v>
      </c>
      <c r="O26" s="19">
        <v>0</v>
      </c>
    </row>
    <row r="27" spans="2:15" x14ac:dyDescent="0.3">
      <c r="B27" s="16"/>
    </row>
    <row r="28" spans="2:15" x14ac:dyDescent="0.3">
      <c r="B28" t="s">
        <v>47</v>
      </c>
    </row>
    <row r="29" spans="2:15" x14ac:dyDescent="0.3">
      <c r="B29" t="s">
        <v>48</v>
      </c>
    </row>
    <row r="31" spans="2:15" x14ac:dyDescent="0.3">
      <c r="B31" s="8" t="str">
        <f>HYPERLINK("#'Contents'!A1", "Return to Contents")</f>
        <v>Return to Contents</v>
      </c>
    </row>
  </sheetData>
  <mergeCells count="4">
    <mergeCell ref="D5:E5"/>
    <mergeCell ref="G5:J5"/>
    <mergeCell ref="L5:O5"/>
    <mergeCell ref="D2:N2"/>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218</vt:i4>
      </vt:variant>
    </vt:vector>
  </HeadingPairs>
  <TitlesOfParts>
    <vt:vector size="218"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lpstr>Table 201</vt:lpstr>
      <vt:lpstr>Table 202</vt:lpstr>
      <vt:lpstr>Table 203</vt:lpstr>
      <vt:lpstr>Table 204</vt:lpstr>
      <vt:lpstr>Table 205</vt:lpstr>
      <vt:lpstr>Table 206</vt:lpstr>
      <vt:lpstr>Table 207</vt:lpstr>
      <vt:lpstr>Table 208</vt:lpstr>
      <vt:lpstr>Table 209</vt:lpstr>
      <vt:lpstr>Table 210</vt:lpstr>
      <vt:lpstr>Table 211</vt:lpstr>
      <vt:lpstr>Table 212</vt:lpstr>
      <vt:lpstr>Table 213</vt:lpstr>
      <vt:lpstr>Table 214</vt:lpstr>
      <vt:lpstr>Table 215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Jules Walkden</cp:lastModifiedBy>
  <dcterms:created xsi:type="dcterms:W3CDTF">2025-04-04T17:35:47Z</dcterms:created>
  <dcterms:modified xsi:type="dcterms:W3CDTF">2025-09-11T09:18:06Z</dcterms:modified>
</cp:coreProperties>
</file>